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5846" documentId="13_ncr:1_{DE9A7F1E-AD42-4363-9DCC-148BC0A7954B}" xr6:coauthVersionLast="47" xr6:coauthVersionMax="47" xr10:uidLastSave="{49A3DE94-8EA3-4302-8642-E5D12299D057}"/>
  <bookViews>
    <workbookView xWindow="14655" yWindow="-14520" windowWidth="23640" windowHeight="11235" tabRatio="861" xr2:uid="{00000000-000D-0000-FFFF-FFFF00000000}"/>
  </bookViews>
  <sheets>
    <sheet name="Table of Contents" sheetId="40" r:id="rId1"/>
    <sheet name="Items Document Map" sheetId="34" r:id="rId2"/>
    <sheet name="Items Details" sheetId="2" r:id="rId3"/>
    <sheet name="Option Sets Map" sheetId="16" r:id="rId4"/>
    <sheet name="Option Sets Details" sheetId="10" r:id="rId5"/>
    <sheet name="Assignment_Endorsements" sheetId="32" r:id="rId6"/>
    <sheet name="Assignment Codes" sheetId="44" r:id="rId7"/>
    <sheet name="Districts and Schools" sheetId="21" r:id="rId8"/>
    <sheet name="Changes (after July)" sheetId="6" r:id="rId9"/>
  </sheets>
  <definedNames>
    <definedName name="_xlnm._FilterDatabase" localSheetId="6" hidden="1">'Assignment Codes'!$A$1:$C$1</definedName>
    <definedName name="_xlnm._FilterDatabase" localSheetId="5" hidden="1">Assignment_Endorsements!$A$1:$L$2473</definedName>
    <definedName name="_xlnm._FilterDatabase" localSheetId="7" hidden="1">'Districts and Schools'!$A$1:$D$1047</definedName>
    <definedName name="_xlnm._FilterDatabase" localSheetId="2" hidden="1">'Items Details'!$A$1:$X$383</definedName>
    <definedName name="_xlnm._FilterDatabase" localSheetId="4" hidden="1">'Option Sets Details'!$A$1:$E$4212</definedName>
    <definedName name="_xlnm._FilterDatabase" localSheetId="3" hidden="1">'Option Sets Map'!$A$1:$I$70</definedName>
    <definedName name="Absence_Reason">'Option Sets Details'!$A$2:$B$4</definedName>
    <definedName name="Account_Code">'Option Sets Details'!$A$5:$C$93</definedName>
    <definedName name="Address_Type">'Option Sets Details'!$A$94:$B$95</definedName>
    <definedName name="Annual_School_Finance">'Items Details'!$A$354:$C$364</definedName>
    <definedName name="AssignmentCourse_Codes">Assignment_Endorsements!$D:$D</definedName>
    <definedName name="Border_Student">'Option Sets Details'!$A$96:$B$98</definedName>
    <definedName name="Calendar_Type">'Option Sets Details'!$A$99:$B$104</definedName>
    <definedName name="CIP_Codes">'Option Sets Details'!$A$105:$B$2791</definedName>
    <definedName name="College_Credit">'Option Sets Details'!$A$2792:$B$2806</definedName>
    <definedName name="Content_Grade_Level">'Option Sets Details'!$A$2807:$B$2821</definedName>
    <definedName name="Contract_Number">'Option Sets Details'!$A$2822:$B$2824</definedName>
    <definedName name="Contract_Type">'Option Sets Details'!$A$2825:$B$2838</definedName>
    <definedName name="Country">'Option Sets Details'!$A$2839:$B$3089</definedName>
    <definedName name="Course_Exit_Reason">'Option Sets Details'!$A$3092:$B$3096</definedName>
    <definedName name="Course_Type">'Option Sets Details'!$A$3097:$B$3101</definedName>
    <definedName name="Day_Type">'Option Sets Details'!$A$3097:$B$3100</definedName>
    <definedName name="Disciplinary_Action_Type">'Option Sets Details'!$A$3102:$B$3107</definedName>
    <definedName name="Disciplinary_Actions">'Items Details'!$A$290:$C$309</definedName>
    <definedName name="District_Calendars">'Items Details'!$A$99:$C$106</definedName>
    <definedName name="Districts">'Districts and Schools'!$A:$A</definedName>
    <definedName name="Early_Childhood_Determination">'Option Sets Details'!$A$3108:$B$3110</definedName>
    <definedName name="Early_Childhood_Eligibility_Decision">'Option Sets Details'!$A$3107:$B$3107</definedName>
    <definedName name="Early_Childhood_Refering_Agency">'Option Sets Details'!$A$3108:$B$3108</definedName>
    <definedName name="Education_Degree">'Option Sets Details'!$A$3117:$B$3128</definedName>
    <definedName name="Employment_Status">'Option Sets Details'!$A$3129:$B$3131</definedName>
    <definedName name="Entry_Reasons">'Option Sets Details'!$A$3132:$B$3145</definedName>
    <definedName name="Exceptionality">'Option Sets Details'!$A$3146:$B$3159</definedName>
    <definedName name="Exit_Reasons">'Option Sets Details'!$A$3160:$B$3181</definedName>
    <definedName name="Extra_Pay_Type">'Option Sets Details'!$A$3182:$B$3192</definedName>
    <definedName name="Facility_Type">'Option Sets Details'!$A$3183:$B$3192</definedName>
    <definedName name="FinancialTransparencyAccountCodes">'Option Sets Details'!$A$42:$C$93</definedName>
    <definedName name="Fiscal_Transparency">'Items Details'!$A$366:$C$383</definedName>
    <definedName name="Function_Code">'Option Sets Details'!$A$3193:$B$3235</definedName>
    <definedName name="Fund_Number">'Option Sets Details'!$A$3236:$B$3335</definedName>
    <definedName name="Funding_Source">'Option Sets Details'!$A$3336:$B$3352</definedName>
    <definedName name="Gender">'Option Sets Details'!$A$3353:$B$3354</definedName>
    <definedName name="Gifted_Exit_Reason">'Option Sets Details'!$A$3355:$B$3362</definedName>
    <definedName name="Gifted_Students">'Items Details'!$A$134:$C$146</definedName>
    <definedName name="Grade_Level">'Option Sets Details'!$A$3363:$B$3377</definedName>
    <definedName name="Higher_Ed_Institutions">'Option Sets Details'!$A$3378:$B$3396</definedName>
    <definedName name="Homeless_Residence">'Option Sets Details'!$A$3397:$B$3400</definedName>
    <definedName name="Idaho_Counties">'Option Sets Details'!$A$3401:$B$3445</definedName>
    <definedName name="Idaho_Regions">'Option Sets Details'!$A$3440:$B$3445</definedName>
    <definedName name="IDEA_Interim_Removal_Reason">'Option Sets Details'!$A$3446:$B$3449</definedName>
    <definedName name="Improvement_Status">'Option Sets Details'!$A$3446:$B$3448</definedName>
    <definedName name="Instructional_Setting">'Option Sets Details'!$A$3450:$B$3458</definedName>
    <definedName name="Kindergarten_Session_Type">'Option Sets Details'!$A$3459:$B$3467</definedName>
    <definedName name="Languages">'Option Sets Details'!$A$3468:$B$3952</definedName>
    <definedName name="Lunch_Status">'Option Sets Details'!$A$3111:$B$3116</definedName>
    <definedName name="Master_Course_Schedule">'Items Details'!$A$2:$D$17</definedName>
    <definedName name="Membership_Type">'Option Sets Details'!$A$3954:$B$3956</definedName>
    <definedName name="Migrant_Program_Type">'Option Sets Details'!$A$3113:$B$3113</definedName>
    <definedName name="Military_Connection">'Option Sets Details'!$A$3957:$B$3960</definedName>
    <definedName name="Modified_Duration_Reason">'Option Sets Details'!$A$3961:$B$3972</definedName>
    <definedName name="Object_Code">'Option Sets Details'!$A$3973:$B$3980</definedName>
    <definedName name="Open_Enrollment">'Items Details'!$A$319:$C$328</definedName>
    <definedName name="Open_Enrollment_GradeLevel">'Option Sets Details'!$A$3363:$B$3375</definedName>
    <definedName name="Open_Enrollment_Program_Type">'Option Sets Details'!$A$3981:$B$3982</definedName>
    <definedName name="Parapro_High_School_Degree">'Option Sets Details'!$A$3986:$B$3988</definedName>
    <definedName name="Parapro_Type">'Option Sets Details'!$A$3983:$B$3985</definedName>
    <definedName name="Person_Addresses">'Items Details'!$A$310:$C$318</definedName>
    <definedName name="PH_School">'Option Sets Details'!$A$3994:$B$3996</definedName>
    <definedName name="Phone_Type">'Option Sets Details'!$A$3989:$B$3993</definedName>
    <definedName name="Program_Contact_Role">'Option Sets Details'!$A$3997:$B$4049</definedName>
    <definedName name="Program_Contacts">'Items Details'!$A$330:$C$352</definedName>
    <definedName name="Program_Exit_Reason">'Option Sets Details'!$A$4050:$B$4059</definedName>
    <definedName name="Program_Status_GT">'Option Sets Details'!$A$4060:$B$4061</definedName>
    <definedName name="Program_Status_SE">'Option Sets Details'!$A$4060:$B$4062</definedName>
    <definedName name="Provider_Schools">'Option Sets Details'!#REF!</definedName>
    <definedName name="Record_Type_ASF">'Option Sets Details'!$A$4063:$B$4065</definedName>
    <definedName name="Record_Type_FTR">'Option Sets Details'!$A$4064:$B$4065</definedName>
    <definedName name="Schools">'Districts and Schools'!$C:$C</definedName>
    <definedName name="Special_Ed_Determination_late">'Option Sets Details'!$A$4066:$B$4071</definedName>
    <definedName name="Special_Ed_Eligibility">'Option Sets Details'!$A$4072:$B$4074</definedName>
    <definedName name="Special_Ed_Environment">'Option Sets Details'!$A$4075:$B$4093</definedName>
    <definedName name="Special_Education_Students">'Items Details'!$A$107:$C$133</definedName>
    <definedName name="Staff_Assignments">'Items Details'!$A$274:$C$289</definedName>
    <definedName name="Staff_Demographics">'Items Details'!$A$147:$C$273</definedName>
    <definedName name="Staff_Exit_Reason">'Option Sets Details'!$A$4095:$B$4112</definedName>
    <definedName name="State_Exception_Rule">'Option Sets Details'!$A$4113:$B$4117</definedName>
    <definedName name="State_Province">'Option Sets Details'!$A$4118:$B$4181</definedName>
    <definedName name="Student_Attendance">'Items Details'!$A$91:$C$98</definedName>
    <definedName name="Student_Course_Enrollment">'Items Details'!$A$73:$C$90</definedName>
    <definedName name="Student_Demographics">'Items Details'!$A$18:$D$72</definedName>
    <definedName name="Teaching_Role">'Option Sets Details'!$A$4183:$B$4189</definedName>
    <definedName name="Undetermined_Reason">'Option Sets Details'!$A$4190:$B$4194</definedName>
    <definedName name="Weapon_Type">'Option Sets Details'!$A$4195:$B$4207</definedName>
    <definedName name="Yes_No">'Option Sets Details'!$A$4208:$B$4209</definedName>
    <definedName name="Yes_No_NA">'Option Sets Details'!$A$4210:$B$4212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34" l="1"/>
  <c r="D36" i="34"/>
  <c r="F24" i="34"/>
  <c r="E4013" i="10"/>
  <c r="F17" i="34" l="1"/>
  <c r="D15" i="34"/>
  <c r="H15" i="34" s="1"/>
  <c r="D14" i="34"/>
  <c r="H14" i="34" s="1"/>
  <c r="E4034" i="10"/>
  <c r="E1" i="34" l="1"/>
  <c r="D8" i="34" l="1"/>
  <c r="D9" i="34"/>
  <c r="D10" i="34"/>
  <c r="D11" i="34"/>
  <c r="D12" i="34"/>
  <c r="D7" i="34" l="1"/>
  <c r="D4" i="34"/>
  <c r="D5" i="34"/>
  <c r="D6" i="34"/>
  <c r="D29" i="34" l="1"/>
  <c r="D31" i="34" s="1"/>
  <c r="D22" i="34"/>
  <c r="D24" i="34" s="1"/>
  <c r="F31" i="34"/>
  <c r="D38" i="34" l="1"/>
  <c r="H38" i="34" s="1"/>
  <c r="H36" i="34"/>
  <c r="H29" i="34"/>
  <c r="H22" i="34"/>
  <c r="H31" i="34"/>
  <c r="H24" i="34"/>
  <c r="E4049" i="10" l="1"/>
  <c r="E4028" i="10"/>
  <c r="E4017" i="10"/>
  <c r="E4031" i="10"/>
  <c r="E3997" i="10"/>
  <c r="E4036" i="10"/>
  <c r="E4044" i="10"/>
  <c r="E4023" i="10"/>
  <c r="E4048" i="10"/>
  <c r="E4030" i="10"/>
  <c r="E4027" i="10"/>
  <c r="E4026" i="10"/>
  <c r="E4025" i="10"/>
  <c r="E4001" i="10"/>
  <c r="E4047" i="10"/>
  <c r="E4045" i="10"/>
  <c r="E4046" i="10"/>
  <c r="E4043" i="10"/>
  <c r="E4040" i="10"/>
  <c r="E4042" i="10"/>
  <c r="E4039" i="10"/>
  <c r="E4038" i="10"/>
  <c r="E4041" i="10"/>
  <c r="E4037" i="10"/>
  <c r="E4035" i="10"/>
  <c r="E4033" i="10"/>
  <c r="E4032" i="10"/>
  <c r="E4029" i="10"/>
  <c r="E4024" i="10"/>
  <c r="E4022" i="10"/>
  <c r="E4021" i="10"/>
  <c r="E4020" i="10"/>
  <c r="E4018" i="10"/>
  <c r="E4015" i="10"/>
  <c r="E4016" i="10"/>
  <c r="E4014" i="10"/>
  <c r="E4019" i="10"/>
  <c r="E4011" i="10"/>
  <c r="E4012" i="10"/>
  <c r="E4010" i="10"/>
  <c r="E4004" i="10"/>
  <c r="E4008" i="10"/>
  <c r="E4003" i="10"/>
  <c r="E4006" i="10"/>
  <c r="E4007" i="10"/>
  <c r="E4009" i="10"/>
  <c r="E4002" i="10"/>
  <c r="E4000" i="10"/>
  <c r="E3999" i="10"/>
  <c r="E3998" i="10"/>
  <c r="E4005" i="10"/>
  <c r="B2790" i="10" l="1"/>
  <c r="B2789" i="10"/>
  <c r="B2788" i="10"/>
  <c r="B2787" i="10"/>
  <c r="B2786" i="10"/>
  <c r="B2785" i="10"/>
  <c r="B2784" i="10"/>
  <c r="B2783" i="10"/>
  <c r="B2782" i="10"/>
  <c r="B2781" i="10"/>
  <c r="B2780" i="10"/>
  <c r="B2779" i="10"/>
  <c r="B2778" i="10"/>
  <c r="B2777" i="10"/>
  <c r="B2776" i="10"/>
  <c r="B2775" i="10"/>
  <c r="B2774" i="10"/>
  <c r="B2773" i="10"/>
  <c r="B2772" i="10"/>
  <c r="B2771" i="10"/>
  <c r="B2770" i="10"/>
  <c r="B2769" i="10"/>
  <c r="B2768" i="10"/>
  <c r="B2767" i="10"/>
  <c r="B2766" i="10"/>
  <c r="B2765" i="10"/>
  <c r="B2764" i="10"/>
  <c r="B2763" i="10"/>
  <c r="B2762" i="10"/>
  <c r="B2761" i="10"/>
  <c r="B2760" i="10"/>
  <c r="B2759" i="10"/>
  <c r="B2758" i="10"/>
  <c r="B2757" i="10"/>
  <c r="B2756" i="10"/>
  <c r="B2755" i="10"/>
  <c r="B2754" i="10"/>
  <c r="B2753" i="10"/>
  <c r="B2752" i="10"/>
  <c r="B2751" i="10"/>
  <c r="B2750" i="10"/>
  <c r="B2749" i="10"/>
  <c r="B2748" i="10"/>
  <c r="B2747" i="10"/>
  <c r="B2746" i="10"/>
  <c r="B2745" i="10"/>
  <c r="B2744" i="10"/>
  <c r="B2743" i="10"/>
  <c r="B2742" i="10"/>
  <c r="B2741" i="10"/>
  <c r="B2740" i="10"/>
  <c r="B2739" i="10"/>
  <c r="B2738" i="10"/>
  <c r="B2737" i="10"/>
  <c r="B2736" i="10"/>
  <c r="B2735" i="10"/>
  <c r="B2734" i="10"/>
  <c r="B2733" i="10"/>
  <c r="B2732" i="10"/>
  <c r="B2731" i="10"/>
  <c r="B2730" i="10"/>
  <c r="B2729" i="10"/>
  <c r="B2728" i="10"/>
  <c r="B2727" i="10"/>
  <c r="B2726" i="10"/>
  <c r="B2725" i="10"/>
  <c r="B2724" i="10"/>
  <c r="B2723" i="10"/>
  <c r="B2722" i="10"/>
  <c r="B2721" i="10"/>
  <c r="B2720" i="10"/>
  <c r="B2719" i="10"/>
  <c r="B2718" i="10"/>
  <c r="B2717" i="10"/>
  <c r="B2716" i="10"/>
  <c r="B2715" i="10"/>
  <c r="B2714" i="10"/>
  <c r="B2713" i="10"/>
  <c r="B2712" i="10"/>
  <c r="B2711" i="10"/>
  <c r="B2710" i="10"/>
  <c r="B2709" i="10"/>
  <c r="B2708" i="10"/>
  <c r="B2707" i="10"/>
  <c r="B2706" i="10"/>
  <c r="B2705" i="10"/>
  <c r="B2704" i="10"/>
  <c r="B2703" i="10"/>
  <c r="B2702" i="10"/>
  <c r="B2701" i="10"/>
  <c r="B2700" i="10"/>
  <c r="B2699" i="10"/>
  <c r="B2698" i="10"/>
  <c r="B2697" i="10"/>
  <c r="B2696" i="10"/>
  <c r="B2695" i="10"/>
  <c r="B2694" i="10"/>
  <c r="B2693" i="10"/>
  <c r="B2692" i="10"/>
  <c r="B2691" i="10"/>
  <c r="B2690" i="10"/>
  <c r="B2689" i="10"/>
  <c r="B2688" i="10"/>
  <c r="B2687" i="10"/>
  <c r="B2686" i="10"/>
  <c r="B2685" i="10"/>
  <c r="B2684" i="10"/>
  <c r="B2683" i="10"/>
  <c r="B2682" i="10"/>
  <c r="B2681" i="10"/>
  <c r="B2680" i="10"/>
  <c r="B2679" i="10"/>
  <c r="B2678" i="10"/>
  <c r="B2677" i="10"/>
  <c r="B2676" i="10"/>
  <c r="B2675" i="10"/>
  <c r="B2674" i="10"/>
  <c r="B2673" i="10"/>
  <c r="B2672" i="10"/>
  <c r="B2671" i="10"/>
  <c r="B2670" i="10"/>
  <c r="B2669" i="10"/>
  <c r="B2668" i="10"/>
  <c r="B2667" i="10"/>
  <c r="B2666" i="10"/>
  <c r="B2665" i="10"/>
  <c r="B2664" i="10"/>
  <c r="B2663" i="10"/>
  <c r="B2662" i="10"/>
  <c r="B2661" i="10"/>
  <c r="B2660" i="10"/>
  <c r="B2659" i="10"/>
  <c r="B2658" i="10"/>
  <c r="B2657" i="10"/>
  <c r="B2656" i="10"/>
  <c r="B2655" i="10"/>
  <c r="B2654" i="10"/>
  <c r="B2653" i="10"/>
  <c r="B2652" i="10"/>
  <c r="B2651" i="10"/>
  <c r="B2650" i="10"/>
  <c r="B2649" i="10"/>
  <c r="B2648" i="10"/>
  <c r="B2647" i="10"/>
  <c r="B2646" i="10"/>
  <c r="B2645" i="10"/>
  <c r="B2644" i="10"/>
  <c r="B2643" i="10"/>
  <c r="B2642" i="10"/>
  <c r="B2641" i="10"/>
  <c r="B2640" i="10"/>
  <c r="B2639" i="10"/>
  <c r="B2638" i="10"/>
  <c r="B2637" i="10"/>
  <c r="B2636" i="10"/>
  <c r="B2635" i="10"/>
  <c r="B2634" i="10"/>
  <c r="B2633" i="10"/>
  <c r="B2632" i="10"/>
  <c r="B2631" i="10"/>
  <c r="B2630" i="10"/>
  <c r="B2629" i="10"/>
  <c r="B2628" i="10"/>
  <c r="B2627" i="10"/>
  <c r="B2626" i="10"/>
  <c r="B2625" i="10"/>
  <c r="B2624" i="10"/>
  <c r="B2623" i="10"/>
  <c r="B2622" i="10"/>
  <c r="B2621" i="10"/>
  <c r="B2620" i="10"/>
  <c r="B2619" i="10"/>
  <c r="B2618" i="10"/>
  <c r="B2617" i="10"/>
  <c r="B2616" i="10"/>
  <c r="B2615" i="10"/>
  <c r="B2614" i="10"/>
  <c r="B2613" i="10"/>
  <c r="B2612" i="10"/>
  <c r="B2611" i="10"/>
  <c r="B2610" i="10"/>
  <c r="B2609" i="10"/>
  <c r="B2608" i="10"/>
  <c r="B2607" i="10"/>
  <c r="B2606" i="10"/>
  <c r="B2605" i="10"/>
  <c r="B2604" i="10"/>
  <c r="B2603" i="10"/>
  <c r="B2602" i="10"/>
  <c r="B2601" i="10"/>
  <c r="B2600" i="10"/>
  <c r="B2599" i="10"/>
  <c r="B2598" i="10"/>
  <c r="B2597" i="10"/>
  <c r="B2596" i="10"/>
  <c r="B2595" i="10"/>
  <c r="B2594" i="10"/>
  <c r="B2593" i="10"/>
  <c r="B2592" i="10"/>
  <c r="B2591" i="10"/>
  <c r="B2590" i="10"/>
  <c r="B2589" i="10"/>
  <c r="B2588" i="10"/>
  <c r="B2587" i="10"/>
  <c r="B2586" i="10"/>
  <c r="B2585" i="10"/>
  <c r="B2584" i="10"/>
  <c r="B2583" i="10"/>
  <c r="B2582" i="10"/>
  <c r="B2581" i="10"/>
  <c r="B2580" i="10"/>
  <c r="B2579" i="10"/>
  <c r="B2578" i="10"/>
  <c r="B2577" i="10"/>
  <c r="B2576" i="10"/>
  <c r="B2575" i="10"/>
  <c r="B2574" i="10"/>
  <c r="B2573" i="10"/>
  <c r="B2572" i="10"/>
  <c r="B2571" i="10"/>
  <c r="B2570" i="10"/>
  <c r="B2569" i="10"/>
  <c r="B2568" i="10"/>
  <c r="B2567" i="10"/>
  <c r="B2566" i="10"/>
  <c r="B2565" i="10"/>
  <c r="B2564" i="10"/>
  <c r="B2563" i="10"/>
  <c r="B2562" i="10"/>
  <c r="B2561" i="10"/>
  <c r="B2560" i="10"/>
  <c r="B2559" i="10"/>
  <c r="B2558" i="10"/>
  <c r="B2557" i="10"/>
  <c r="B2556" i="10"/>
  <c r="B2555" i="10"/>
  <c r="B2554" i="10"/>
  <c r="B2553" i="10"/>
  <c r="B2552" i="10"/>
  <c r="B2551" i="10"/>
  <c r="B2550" i="10"/>
  <c r="B2549" i="10"/>
  <c r="B2548" i="10"/>
  <c r="B2547" i="10"/>
  <c r="B2546" i="10"/>
  <c r="B2545" i="10"/>
  <c r="B2544" i="10"/>
  <c r="B2543" i="10"/>
  <c r="B2542" i="10"/>
  <c r="B2541" i="10"/>
  <c r="B2540" i="10"/>
  <c r="B2539" i="10"/>
  <c r="B2538" i="10"/>
  <c r="B2537" i="10"/>
  <c r="B2536" i="10"/>
  <c r="B2535" i="10"/>
  <c r="B2534" i="10"/>
  <c r="B2533" i="10"/>
  <c r="B2532" i="10"/>
  <c r="B2531" i="10"/>
  <c r="B2530" i="10"/>
  <c r="B2529" i="10"/>
  <c r="B2528" i="10"/>
  <c r="B2527" i="10"/>
  <c r="B2526" i="10"/>
  <c r="B2525" i="10"/>
  <c r="B2524" i="10"/>
  <c r="B2523" i="10"/>
  <c r="B2522" i="10"/>
  <c r="B2521" i="10"/>
  <c r="B2520" i="10"/>
  <c r="B2519" i="10"/>
  <c r="B2518" i="10"/>
  <c r="B2517" i="10"/>
  <c r="B2516" i="10"/>
  <c r="B2515" i="10"/>
  <c r="B2514" i="10"/>
  <c r="B2513" i="10"/>
  <c r="B2512" i="10"/>
  <c r="B2511" i="10"/>
  <c r="B2510" i="10"/>
  <c r="B2509" i="10"/>
  <c r="B2508" i="10"/>
  <c r="B2507" i="10"/>
  <c r="B2506" i="10"/>
  <c r="B2505" i="10"/>
  <c r="B2504" i="10"/>
  <c r="B2503" i="10"/>
  <c r="B2502" i="10"/>
  <c r="B2501" i="10"/>
  <c r="B2500" i="10"/>
  <c r="B2499" i="10"/>
  <c r="B2498" i="10"/>
  <c r="B2497" i="10"/>
  <c r="B2496" i="10"/>
  <c r="B2495" i="10"/>
  <c r="B2494" i="10"/>
  <c r="B2493" i="10"/>
  <c r="B2492" i="10"/>
  <c r="B2491" i="10"/>
  <c r="B2490" i="10"/>
  <c r="B2489" i="10"/>
  <c r="B2488" i="10"/>
  <c r="B2487" i="10"/>
  <c r="B2486" i="10"/>
  <c r="B2485" i="10"/>
  <c r="B2484" i="10"/>
  <c r="B2483" i="10"/>
  <c r="B2482" i="10"/>
  <c r="B2481" i="10"/>
  <c r="B2480" i="10"/>
  <c r="B2479" i="10"/>
  <c r="B2478" i="10"/>
  <c r="B2477" i="10"/>
  <c r="B2476" i="10"/>
  <c r="B2475" i="10"/>
  <c r="B2474" i="10"/>
  <c r="B2473" i="10"/>
  <c r="B2472" i="10"/>
  <c r="B2471" i="10"/>
  <c r="B2470" i="10"/>
  <c r="B2469" i="10"/>
  <c r="B2468" i="10"/>
  <c r="B2467" i="10"/>
  <c r="B2466" i="10"/>
  <c r="B2465" i="10"/>
  <c r="B2464" i="10"/>
  <c r="B2463" i="10"/>
  <c r="B2462" i="10"/>
  <c r="B2461" i="10"/>
  <c r="B2460" i="10"/>
  <c r="B2459" i="10"/>
  <c r="B2458" i="10"/>
  <c r="B2457" i="10"/>
  <c r="B2456" i="10"/>
  <c r="B2455" i="10"/>
  <c r="B2454" i="10"/>
  <c r="B2453" i="10"/>
  <c r="B2452" i="10"/>
  <c r="B2451" i="10"/>
  <c r="B2450" i="10"/>
  <c r="B2449" i="10"/>
  <c r="B2448" i="10"/>
  <c r="B2447" i="10"/>
  <c r="B2446" i="10"/>
  <c r="B2445" i="10"/>
  <c r="B2444" i="10"/>
  <c r="B2443" i="10"/>
  <c r="B2442" i="10"/>
  <c r="B2441" i="10"/>
  <c r="B2440" i="10"/>
  <c r="B2439" i="10"/>
  <c r="B2438" i="10"/>
  <c r="B2437" i="10"/>
  <c r="B2436" i="10"/>
  <c r="B2435" i="10"/>
  <c r="B2434" i="10"/>
  <c r="B2433" i="10"/>
  <c r="B2432" i="10"/>
  <c r="B2431" i="10"/>
  <c r="B2430" i="10"/>
  <c r="B2429" i="10"/>
  <c r="B2428" i="10"/>
  <c r="B2427" i="10"/>
  <c r="B2426" i="10"/>
  <c r="B2425" i="10"/>
  <c r="B2424" i="10"/>
  <c r="B2423" i="10"/>
  <c r="B2422" i="10"/>
  <c r="B2421" i="10"/>
  <c r="B2420" i="10"/>
  <c r="B2419" i="10"/>
  <c r="B2418" i="10"/>
  <c r="B2417" i="10"/>
  <c r="B2416" i="10"/>
  <c r="B2415" i="10"/>
  <c r="B2414" i="10"/>
  <c r="B2413" i="10"/>
  <c r="B2412" i="10"/>
  <c r="B2411" i="10"/>
  <c r="B2410" i="10"/>
  <c r="B2409" i="10"/>
  <c r="B2408" i="10"/>
  <c r="B2407" i="10"/>
  <c r="B2406" i="10"/>
  <c r="B2405" i="10"/>
  <c r="B2404" i="10"/>
  <c r="B2403" i="10"/>
  <c r="B2402" i="10"/>
  <c r="B2401" i="10"/>
  <c r="B2400" i="10"/>
  <c r="B2399" i="10"/>
  <c r="B2398" i="10"/>
  <c r="B2397" i="10"/>
  <c r="B2396" i="10"/>
  <c r="B2395" i="10"/>
  <c r="B2394" i="10"/>
  <c r="B2393" i="10"/>
  <c r="B2392" i="10"/>
  <c r="B2391" i="10"/>
  <c r="B2390" i="10"/>
  <c r="B2389" i="10"/>
  <c r="B2388" i="10"/>
  <c r="B2387" i="10"/>
  <c r="B2386" i="10"/>
  <c r="B2385" i="10"/>
  <c r="B2384" i="10"/>
  <c r="B2383" i="10"/>
  <c r="B2382" i="10"/>
  <c r="B2381" i="10"/>
  <c r="B2380" i="10"/>
  <c r="B2379" i="10"/>
  <c r="B2378" i="10"/>
  <c r="B2377" i="10"/>
  <c r="B2376" i="10"/>
  <c r="B2375" i="10"/>
  <c r="B2374" i="10"/>
  <c r="B2373" i="10"/>
  <c r="B2372" i="10"/>
  <c r="B2371" i="10"/>
  <c r="B2370" i="10"/>
  <c r="B2369" i="10"/>
  <c r="B2368" i="10"/>
  <c r="B2367" i="10"/>
  <c r="B2366" i="10"/>
  <c r="B2365" i="10"/>
  <c r="B2364" i="10"/>
  <c r="B2363" i="10"/>
  <c r="B2362" i="10"/>
  <c r="B2361" i="10"/>
  <c r="B2360" i="10"/>
  <c r="B2359" i="10"/>
  <c r="B2358" i="10"/>
  <c r="B2357" i="10"/>
  <c r="B2356" i="10"/>
  <c r="B2355" i="10"/>
  <c r="B2354" i="10"/>
  <c r="B2353" i="10"/>
  <c r="B2352" i="10"/>
  <c r="B2351" i="10"/>
  <c r="B2350" i="10"/>
  <c r="B2349" i="10"/>
  <c r="B2348" i="10"/>
  <c r="B2347" i="10"/>
  <c r="B2346" i="10"/>
  <c r="B2345" i="10"/>
  <c r="B2344" i="10"/>
  <c r="B2343" i="10"/>
  <c r="B2342" i="10"/>
  <c r="B2341" i="10"/>
  <c r="B2340" i="10"/>
  <c r="B2339" i="10"/>
  <c r="B2338" i="10"/>
  <c r="B2337" i="10"/>
  <c r="B2336" i="10"/>
  <c r="B2335" i="10"/>
  <c r="B2334" i="10"/>
  <c r="B2333" i="10"/>
  <c r="B2332" i="10"/>
  <c r="B2331" i="10"/>
  <c r="B2330" i="10"/>
  <c r="B2329" i="10"/>
  <c r="B2328" i="10"/>
  <c r="B2327" i="10"/>
  <c r="B2326" i="10"/>
  <c r="B2325" i="10"/>
  <c r="B2324" i="10"/>
  <c r="B2323" i="10"/>
  <c r="B2322" i="10"/>
  <c r="B2321" i="10"/>
  <c r="B2320" i="10"/>
  <c r="B2319" i="10"/>
  <c r="B2318" i="10"/>
  <c r="B2317" i="10"/>
  <c r="B2316" i="10"/>
  <c r="B2315" i="10"/>
  <c r="B2314" i="10"/>
  <c r="B2313" i="10"/>
  <c r="B2312" i="10"/>
  <c r="B2311" i="10"/>
  <c r="B2310" i="10"/>
  <c r="B2309" i="10"/>
  <c r="B2308" i="10"/>
  <c r="B2307" i="10"/>
  <c r="B2306" i="10"/>
  <c r="B2305" i="10"/>
  <c r="B2304" i="10"/>
  <c r="B2303" i="10"/>
  <c r="B2302" i="10"/>
  <c r="B2301" i="10"/>
  <c r="B2300" i="10"/>
  <c r="B2299" i="10"/>
  <c r="B2298" i="10"/>
  <c r="B2297" i="10"/>
  <c r="B2296" i="10"/>
  <c r="B2295" i="10"/>
  <c r="B2294" i="10"/>
  <c r="B2293" i="10"/>
  <c r="B2292" i="10"/>
  <c r="B2291" i="10"/>
  <c r="B2290" i="10"/>
  <c r="B2289" i="10"/>
  <c r="B2288" i="10"/>
  <c r="B2287" i="10"/>
  <c r="B2286" i="10"/>
  <c r="B2285" i="10"/>
  <c r="B2284" i="10"/>
  <c r="B2283" i="10"/>
  <c r="B2282" i="10"/>
  <c r="B2281" i="10"/>
  <c r="B2280" i="10"/>
  <c r="B2279" i="10"/>
  <c r="B2278" i="10"/>
  <c r="B2277" i="10"/>
  <c r="B2276" i="10"/>
  <c r="B2275" i="10"/>
  <c r="B2274" i="10"/>
  <c r="B2273" i="10"/>
  <c r="B2272" i="10"/>
  <c r="B2271" i="10"/>
  <c r="B2270" i="10"/>
  <c r="B2269" i="10"/>
  <c r="B2268" i="10"/>
  <c r="B2267" i="10"/>
  <c r="B2266" i="10"/>
  <c r="B2265" i="10"/>
  <c r="B2264" i="10"/>
  <c r="B2263" i="10"/>
  <c r="B2262" i="10"/>
  <c r="B2261" i="10"/>
  <c r="B2260" i="10"/>
  <c r="B2259" i="10"/>
  <c r="B2258" i="10"/>
  <c r="B2257" i="10"/>
  <c r="B2256" i="10"/>
  <c r="B2255" i="10"/>
  <c r="B2254" i="10"/>
  <c r="B2253" i="10"/>
  <c r="B2252" i="10"/>
  <c r="B2251" i="10"/>
  <c r="B2250" i="10"/>
  <c r="B2249" i="10"/>
  <c r="B2248" i="10"/>
  <c r="B2247" i="10"/>
  <c r="B2246" i="10"/>
  <c r="B2245" i="10"/>
  <c r="B2244" i="10"/>
  <c r="B2243" i="10"/>
  <c r="B2242" i="10"/>
  <c r="B2241" i="10"/>
  <c r="B2240" i="10"/>
  <c r="B2239" i="10"/>
  <c r="B2238" i="10"/>
  <c r="B2237" i="10"/>
  <c r="B2236" i="10"/>
  <c r="B2235" i="10"/>
  <c r="B2234" i="10"/>
  <c r="B2233" i="10"/>
  <c r="B2232" i="10"/>
  <c r="B2231" i="10"/>
  <c r="B2230" i="10"/>
  <c r="B2229" i="10"/>
  <c r="B2228" i="10"/>
  <c r="B2227" i="10"/>
  <c r="B2226" i="10"/>
  <c r="B2225" i="10"/>
  <c r="B2224" i="10"/>
  <c r="B2223" i="10"/>
  <c r="B2222" i="10"/>
  <c r="B2221" i="10"/>
  <c r="B2220" i="10"/>
  <c r="B2219" i="10"/>
  <c r="B2218" i="10"/>
  <c r="B2217" i="10"/>
  <c r="B2216" i="10"/>
  <c r="B2215" i="10"/>
  <c r="B2214" i="10"/>
  <c r="B2213" i="10"/>
  <c r="B2212" i="10"/>
  <c r="B2211" i="10"/>
  <c r="B2210" i="10"/>
  <c r="B2209" i="10"/>
  <c r="B2208" i="10"/>
  <c r="B2207" i="10"/>
  <c r="B2206" i="10"/>
  <c r="B2205" i="10"/>
  <c r="B2204" i="10"/>
  <c r="B2203" i="10"/>
  <c r="B2202" i="10"/>
  <c r="B2201" i="10"/>
  <c r="B2200" i="10"/>
  <c r="B2199" i="10"/>
  <c r="B2198" i="10"/>
  <c r="B2197" i="10"/>
  <c r="B2196" i="10"/>
  <c r="B2195" i="10"/>
  <c r="B2194" i="10"/>
  <c r="B2193" i="10"/>
  <c r="B2192" i="10"/>
  <c r="B2191" i="10"/>
  <c r="B2190" i="10"/>
  <c r="B2189" i="10"/>
  <c r="B2188" i="10"/>
  <c r="B2187" i="10"/>
  <c r="B2186" i="10"/>
  <c r="B2185" i="10"/>
  <c r="B2184" i="10"/>
  <c r="B2183" i="10"/>
  <c r="B2182" i="10"/>
  <c r="B2181" i="10"/>
  <c r="B2180" i="10"/>
  <c r="B2179" i="10"/>
  <c r="B2178" i="10"/>
  <c r="B2177" i="10"/>
  <c r="B2176" i="10"/>
  <c r="B2175" i="10"/>
  <c r="B2174" i="10"/>
  <c r="B2173" i="10"/>
  <c r="B2172" i="10"/>
  <c r="B2171" i="10"/>
  <c r="B2170" i="10"/>
  <c r="B2169" i="10"/>
  <c r="B2168" i="10"/>
  <c r="B2167" i="10"/>
  <c r="B2166" i="10"/>
  <c r="B2165" i="10"/>
  <c r="B2164" i="10"/>
  <c r="B2163" i="10"/>
  <c r="B2162" i="10"/>
  <c r="B2161" i="10"/>
  <c r="B2160" i="10"/>
  <c r="B2159" i="10"/>
  <c r="B2158" i="10"/>
  <c r="B2157" i="10"/>
  <c r="B2156" i="10"/>
  <c r="B2155" i="10"/>
  <c r="B2154" i="10"/>
  <c r="B2153" i="10"/>
  <c r="B2152" i="10"/>
  <c r="B2151" i="10"/>
  <c r="B2150" i="10"/>
  <c r="B2149" i="10"/>
  <c r="B2148" i="10"/>
  <c r="B2147" i="10"/>
  <c r="B2146" i="10"/>
  <c r="B2145" i="10"/>
  <c r="B2144" i="10"/>
  <c r="B2143" i="10"/>
  <c r="B2142" i="10"/>
  <c r="B2141" i="10"/>
  <c r="B2140" i="10"/>
  <c r="B2139" i="10"/>
  <c r="B2138" i="10"/>
  <c r="B2137" i="10"/>
  <c r="B2136" i="10"/>
  <c r="B2135" i="10"/>
  <c r="B2134" i="10"/>
  <c r="B2133" i="10"/>
  <c r="B2132" i="10"/>
  <c r="B2131" i="10"/>
  <c r="B2130" i="10"/>
  <c r="B2129" i="10"/>
  <c r="B2128" i="10"/>
  <c r="B2127" i="10"/>
  <c r="B2126" i="10"/>
  <c r="B2125" i="10"/>
  <c r="B2124" i="10"/>
  <c r="B2123" i="10"/>
  <c r="B2122" i="10"/>
  <c r="B2121" i="10"/>
  <c r="B2120" i="10"/>
  <c r="B2119" i="10"/>
  <c r="B2118" i="10"/>
  <c r="B2117" i="10"/>
  <c r="B2116" i="10"/>
  <c r="B2115"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878" i="10"/>
  <c r="B1877" i="10"/>
  <c r="B1876" i="10"/>
  <c r="B1875" i="10"/>
  <c r="B1874" i="10"/>
  <c r="B1873" i="10"/>
  <c r="B1872" i="10"/>
  <c r="B1871" i="10"/>
  <c r="B1870" i="10"/>
  <c r="B1869" i="10"/>
  <c r="B1868" i="10"/>
  <c r="B1867" i="10"/>
  <c r="B1866" i="10"/>
  <c r="B1865" i="10"/>
  <c r="B1864" i="10"/>
  <c r="B1863" i="10"/>
  <c r="B1862" i="10"/>
  <c r="B1861" i="10"/>
  <c r="B1860" i="10"/>
  <c r="B1859" i="10"/>
  <c r="B1858" i="10"/>
  <c r="B1857" i="10"/>
  <c r="B1856" i="10"/>
  <c r="B1855" i="10"/>
  <c r="B1854" i="10"/>
  <c r="B1853" i="10"/>
  <c r="B1852" i="10"/>
  <c r="B1851" i="10"/>
  <c r="B1850" i="10"/>
  <c r="B1849" i="10"/>
  <c r="B1848" i="10"/>
  <c r="B1847" i="10"/>
  <c r="B1846" i="10"/>
  <c r="B1845" i="10"/>
  <c r="B1844" i="10"/>
  <c r="B1843" i="10"/>
  <c r="B1842" i="10"/>
  <c r="B1841" i="10"/>
  <c r="B1840" i="10"/>
  <c r="B1839" i="10"/>
  <c r="B1838" i="10"/>
  <c r="B1837" i="10"/>
  <c r="B1836" i="10"/>
  <c r="B1835" i="10"/>
  <c r="B1834" i="10"/>
  <c r="B1833" i="10"/>
  <c r="B1832" i="10"/>
  <c r="B1831" i="10"/>
  <c r="B1830" i="10"/>
  <c r="B1829" i="10"/>
  <c r="B1828" i="10"/>
  <c r="B1827" i="10"/>
  <c r="B1826" i="10"/>
  <c r="B1825" i="10"/>
  <c r="B1824" i="10"/>
  <c r="B1823" i="10"/>
  <c r="B1822" i="10"/>
  <c r="B1821" i="10"/>
  <c r="B1820" i="10"/>
  <c r="B1819" i="10"/>
  <c r="B1818" i="10"/>
  <c r="B1817" i="10"/>
  <c r="B1816" i="10"/>
  <c r="B1815" i="10"/>
  <c r="B1814" i="10"/>
  <c r="B1813" i="10"/>
  <c r="B1812" i="10"/>
  <c r="B1811" i="10"/>
  <c r="B1810" i="10"/>
  <c r="B1809" i="10"/>
  <c r="B1808" i="10"/>
  <c r="B1807" i="10"/>
  <c r="B1806" i="10"/>
  <c r="B1805" i="10"/>
  <c r="B1804" i="10"/>
  <c r="B1803" i="10"/>
  <c r="B1802" i="10"/>
  <c r="B1801" i="10"/>
  <c r="B1800" i="10"/>
  <c r="B1799" i="10"/>
  <c r="B1798" i="10"/>
  <c r="B1797" i="10"/>
  <c r="B1796" i="10"/>
  <c r="B1795" i="10"/>
  <c r="B1794" i="10"/>
  <c r="B1793" i="10"/>
  <c r="B1792" i="10"/>
  <c r="B1791" i="10"/>
  <c r="B1790" i="10"/>
  <c r="B1789" i="10"/>
  <c r="B1788" i="10"/>
  <c r="B1787" i="10"/>
  <c r="B1786" i="10"/>
  <c r="B1785"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B1551" i="10"/>
  <c r="B1550" i="10"/>
  <c r="B1549" i="10"/>
  <c r="B1548" i="10"/>
  <c r="B1547" i="10"/>
  <c r="B1546" i="10"/>
  <c r="B1545" i="10"/>
  <c r="B1544" i="10"/>
  <c r="B1543" i="10"/>
  <c r="B1542" i="10"/>
  <c r="B1541" i="10"/>
  <c r="B1540" i="10"/>
  <c r="B1539" i="10"/>
  <c r="B1538" i="10"/>
  <c r="B1537" i="10"/>
  <c r="B1536" i="10"/>
  <c r="B1535" i="10"/>
  <c r="B1534" i="10"/>
  <c r="B1533" i="10"/>
  <c r="B1532" i="10"/>
  <c r="B1531" i="10"/>
  <c r="B1530" i="10"/>
  <c r="B1529" i="10"/>
  <c r="B1528" i="10"/>
  <c r="B1527" i="10"/>
  <c r="B1526" i="10"/>
  <c r="B1525" i="10"/>
  <c r="B1524" i="10"/>
  <c r="B1523" i="10"/>
  <c r="B1522" i="10"/>
  <c r="B1521" i="10"/>
  <c r="B1520" i="10"/>
  <c r="B1519" i="10"/>
  <c r="B1518" i="10"/>
  <c r="B1517" i="10"/>
  <c r="B1516" i="10"/>
  <c r="B1515" i="10"/>
  <c r="B1514" i="10"/>
  <c r="B1513" i="10"/>
  <c r="B1512" i="10"/>
  <c r="B1511" i="10"/>
  <c r="B1510" i="10"/>
  <c r="B1509" i="10"/>
  <c r="B1508" i="10"/>
  <c r="B1507" i="10"/>
  <c r="B1506" i="10"/>
  <c r="B1505" i="10"/>
  <c r="B1504" i="10"/>
  <c r="B1503" i="10"/>
  <c r="B1502" i="10"/>
  <c r="B1501" i="10"/>
  <c r="B1500" i="10"/>
  <c r="B1499" i="10"/>
  <c r="B1498" i="10"/>
  <c r="B1497" i="10"/>
  <c r="B1496" i="10"/>
  <c r="B1495" i="10"/>
  <c r="B1494" i="10"/>
  <c r="B1493" i="10"/>
  <c r="B1492" i="10"/>
  <c r="B1491" i="10"/>
  <c r="B1490" i="10"/>
  <c r="B1489" i="10"/>
  <c r="B1488" i="10"/>
  <c r="B1487" i="10"/>
  <c r="B1486" i="10"/>
  <c r="B1485" i="10"/>
  <c r="B1484" i="10"/>
  <c r="B1483" i="10"/>
  <c r="B1482" i="10"/>
  <c r="B1481" i="10"/>
  <c r="B1480" i="10"/>
  <c r="B1479" i="10"/>
  <c r="B1478" i="10"/>
  <c r="B1477" i="10"/>
  <c r="B1476" i="10"/>
  <c r="B1475" i="10"/>
  <c r="B1474" i="10"/>
  <c r="B1473" i="10"/>
  <c r="B1472" i="10"/>
  <c r="B1471" i="10"/>
  <c r="B1470" i="10"/>
  <c r="B1469" i="10"/>
  <c r="B1468" i="10"/>
  <c r="B1467" i="10"/>
  <c r="B1466" i="10"/>
  <c r="B1465" i="10"/>
  <c r="B1464" i="10"/>
  <c r="B1463" i="10"/>
  <c r="B1462" i="10"/>
  <c r="B1461" i="10"/>
  <c r="B1460" i="10"/>
  <c r="B1459" i="10"/>
  <c r="B1458" i="10"/>
  <c r="B1457" i="10"/>
  <c r="B1456" i="10"/>
  <c r="B1455" i="10"/>
  <c r="B1454" i="10"/>
  <c r="B1453" i="10"/>
  <c r="B1452" i="10"/>
  <c r="B1451" i="10"/>
  <c r="B1450" i="10"/>
  <c r="B1449" i="10"/>
  <c r="B1448" i="10"/>
  <c r="B1447" i="10"/>
  <c r="B1446" i="10"/>
  <c r="B1445" i="10"/>
  <c r="B1444" i="10"/>
  <c r="B1443" i="10"/>
  <c r="B1442" i="10"/>
  <c r="B1441" i="10"/>
  <c r="B1440" i="10"/>
  <c r="B1439" i="10"/>
  <c r="B1438" i="10"/>
  <c r="B1437" i="10"/>
  <c r="B1436" i="10"/>
  <c r="B1435" i="10"/>
  <c r="B1434" i="10"/>
  <c r="B1433" i="10"/>
  <c r="B1432" i="10"/>
  <c r="B1431" i="10"/>
  <c r="B1430" i="10"/>
  <c r="B1429" i="10"/>
  <c r="B1428" i="10"/>
  <c r="B1427" i="10"/>
  <c r="B1426" i="10"/>
  <c r="B1425" i="10"/>
  <c r="B1424" i="10"/>
  <c r="B1423" i="10"/>
  <c r="B1422" i="10"/>
  <c r="B1421" i="10"/>
  <c r="B1420" i="10"/>
  <c r="B1419" i="10"/>
  <c r="B1418" i="10"/>
  <c r="B1417" i="10"/>
  <c r="B1416" i="10"/>
  <c r="B1415" i="10"/>
  <c r="B1414" i="10"/>
  <c r="B1413" i="10"/>
  <c r="B1412" i="10"/>
  <c r="B1411" i="10"/>
  <c r="B1410" i="10"/>
  <c r="B1409" i="10"/>
  <c r="B1408" i="10"/>
  <c r="B1407" i="10"/>
  <c r="B1406" i="10"/>
  <c r="B1405" i="10"/>
  <c r="B1404" i="10"/>
  <c r="B1403" i="10"/>
  <c r="B1402" i="10"/>
  <c r="B1401" i="10"/>
  <c r="B1400" i="10"/>
  <c r="B1399" i="10"/>
  <c r="B1398" i="10"/>
  <c r="B1397" i="10"/>
  <c r="B1396" i="10"/>
  <c r="B1395" i="10"/>
  <c r="B1394" i="10"/>
  <c r="B1393" i="10"/>
  <c r="B1392" i="10"/>
  <c r="B1391" i="10"/>
  <c r="B1390" i="10"/>
  <c r="B1389" i="10"/>
  <c r="B1388" i="10"/>
  <c r="B1387" i="10"/>
  <c r="B1386" i="10"/>
  <c r="B1385" i="10"/>
  <c r="B1384" i="10"/>
  <c r="B1383" i="10"/>
  <c r="B1382" i="10"/>
  <c r="B1381" i="10"/>
  <c r="B1380" i="10"/>
  <c r="B1379" i="10"/>
  <c r="B1378" i="10"/>
  <c r="B1377" i="10"/>
  <c r="B1376" i="10"/>
  <c r="B1375" i="10"/>
  <c r="B1374" i="10"/>
  <c r="B1373" i="10"/>
  <c r="B1372" i="10"/>
  <c r="B1371" i="10"/>
  <c r="B1370" i="10"/>
  <c r="B1369" i="10"/>
  <c r="B1368" i="10"/>
  <c r="B1367" i="10"/>
  <c r="B1366" i="10"/>
  <c r="B1365" i="10"/>
  <c r="B1364" i="10"/>
  <c r="B1363" i="10"/>
  <c r="B1362" i="10"/>
  <c r="B1361" i="10"/>
  <c r="B1360" i="10"/>
  <c r="B1359" i="10"/>
  <c r="B1358" i="10"/>
  <c r="B1357" i="10"/>
  <c r="B1356" i="10"/>
  <c r="B1355" i="10"/>
  <c r="B1354" i="10"/>
  <c r="B1353" i="10"/>
  <c r="B1352" i="10"/>
  <c r="B1351" i="10"/>
  <c r="B1350" i="10"/>
  <c r="B1349" i="10"/>
  <c r="B1348" i="10"/>
  <c r="B1347" i="10"/>
  <c r="B1346" i="10"/>
  <c r="B1345" i="10"/>
  <c r="B1344" i="10"/>
  <c r="B1343" i="10"/>
  <c r="B1342" i="10"/>
  <c r="B1341" i="10"/>
  <c r="B1340" i="10"/>
  <c r="B1339" i="10"/>
  <c r="B1338" i="10"/>
  <c r="B1337" i="10"/>
  <c r="B1336" i="10"/>
  <c r="B1335" i="10"/>
  <c r="B1334" i="10"/>
  <c r="B1333" i="10"/>
  <c r="B1332" i="10"/>
  <c r="B1331" i="10"/>
  <c r="B1330" i="10"/>
  <c r="B1329" i="10"/>
  <c r="B1328" i="10"/>
  <c r="B1327" i="10"/>
  <c r="B1326" i="10"/>
  <c r="B1325" i="10"/>
  <c r="B1324" i="10"/>
  <c r="B1323" i="10"/>
  <c r="B1322" i="10"/>
  <c r="B1321" i="10"/>
  <c r="B1320" i="10"/>
  <c r="B1319" i="10"/>
  <c r="B1318" i="10"/>
  <c r="B1317" i="10"/>
  <c r="B1316" i="10"/>
  <c r="B1315" i="10"/>
  <c r="B1314" i="10"/>
  <c r="B1313" i="10"/>
  <c r="B1312" i="10"/>
  <c r="B1311" i="10"/>
  <c r="B1310" i="10"/>
  <c r="B1309" i="10"/>
  <c r="B1308" i="10"/>
  <c r="B1307" i="10"/>
  <c r="B1306" i="10"/>
  <c r="B1305" i="10"/>
  <c r="B1304" i="10"/>
  <c r="B1303" i="10"/>
  <c r="B1302" i="10"/>
  <c r="B1301" i="10"/>
  <c r="B1300" i="10"/>
  <c r="B1299" i="10"/>
  <c r="B1298" i="10"/>
  <c r="B1297" i="10"/>
  <c r="B1296" i="10"/>
  <c r="B1295" i="10"/>
  <c r="B1294" i="10"/>
  <c r="B1293" i="10"/>
  <c r="B1292" i="10"/>
  <c r="B1291" i="10"/>
  <c r="B1290" i="10"/>
  <c r="B1289" i="10"/>
  <c r="B1288" i="10"/>
  <c r="B1287" i="10"/>
  <c r="B1286" i="10"/>
  <c r="B1285" i="10"/>
  <c r="B1284" i="10"/>
  <c r="B1283" i="10"/>
  <c r="B1282" i="10"/>
  <c r="B1281" i="10"/>
  <c r="B1280" i="10"/>
  <c r="B1279" i="10"/>
  <c r="B1278" i="10"/>
  <c r="B1277" i="10"/>
  <c r="B1276" i="10"/>
  <c r="B1275" i="10"/>
  <c r="B1274" i="10"/>
  <c r="B1273" i="10"/>
  <c r="B1272" i="10"/>
  <c r="B1271" i="10"/>
  <c r="B1270" i="10"/>
  <c r="B1269" i="10"/>
  <c r="B1268" i="10"/>
  <c r="B1267" i="10"/>
  <c r="B1266" i="10"/>
  <c r="B1265" i="10"/>
  <c r="B1264" i="10"/>
  <c r="B1263" i="10"/>
  <c r="B1262" i="10"/>
  <c r="B1261" i="10"/>
  <c r="B1260" i="10"/>
  <c r="B1259" i="10"/>
  <c r="B1258" i="10"/>
  <c r="B1257" i="10"/>
  <c r="B1256" i="10"/>
  <c r="B1255" i="10"/>
  <c r="B1254" i="10"/>
  <c r="B1253" i="10"/>
  <c r="B1252" i="10"/>
  <c r="B1251" i="10"/>
  <c r="B1250" i="10"/>
  <c r="B1249" i="10"/>
  <c r="B1248" i="10"/>
  <c r="B1247" i="10"/>
  <c r="B1246" i="10"/>
  <c r="B1245" i="10"/>
  <c r="B1244" i="10"/>
  <c r="B1243" i="10"/>
  <c r="B1242" i="10"/>
  <c r="B1241" i="10"/>
  <c r="B1240" i="10"/>
  <c r="B1239" i="10"/>
  <c r="B1238" i="10"/>
  <c r="B1237" i="10"/>
  <c r="B1236" i="10"/>
  <c r="B1235" i="10"/>
  <c r="B1234" i="10"/>
  <c r="B1233" i="10"/>
  <c r="B1232" i="10"/>
  <c r="B1231" i="10"/>
  <c r="B1230" i="10"/>
  <c r="B1229" i="10"/>
  <c r="B1228" i="10"/>
  <c r="B1227" i="10"/>
  <c r="B1226" i="10"/>
  <c r="B1225" i="10"/>
  <c r="B1224" i="10"/>
  <c r="B1223" i="10"/>
  <c r="B1222" i="10"/>
  <c r="B1221" i="10"/>
  <c r="B1220" i="10"/>
  <c r="B1219" i="10"/>
  <c r="B1218" i="10"/>
  <c r="B1217" i="10"/>
  <c r="B1216" i="10"/>
  <c r="B1215" i="10"/>
  <c r="B1214" i="10"/>
  <c r="B1213" i="10"/>
  <c r="B1212" i="10"/>
  <c r="B1211" i="10"/>
  <c r="B1210" i="10"/>
  <c r="B1209" i="10"/>
  <c r="B1208" i="10"/>
  <c r="B1207" i="10"/>
  <c r="B1206" i="10"/>
  <c r="B1205" i="10"/>
  <c r="B1204" i="10"/>
  <c r="B1203" i="10"/>
  <c r="B1202" i="10"/>
  <c r="B1201" i="10"/>
  <c r="B1200" i="10"/>
  <c r="B1199" i="10"/>
  <c r="B1198" i="10"/>
  <c r="B1197" i="10"/>
  <c r="B1196" i="10"/>
  <c r="B1195" i="10"/>
  <c r="B1194" i="10"/>
  <c r="B1193" i="10"/>
  <c r="B1192" i="10"/>
  <c r="B1191" i="10"/>
  <c r="B1190" i="10"/>
  <c r="B1189" i="10"/>
  <c r="B1188" i="10"/>
  <c r="B1187" i="10"/>
  <c r="B1186" i="10"/>
  <c r="B1185" i="10"/>
  <c r="B1184" i="10"/>
  <c r="B1183" i="10"/>
  <c r="B1182" i="10"/>
  <c r="B1181" i="10"/>
  <c r="B1180" i="10"/>
  <c r="B1179" i="10"/>
  <c r="B1178" i="10"/>
  <c r="B1177" i="10"/>
  <c r="B1176" i="10"/>
  <c r="B1175" i="10"/>
  <c r="B1174" i="10"/>
  <c r="B1173" i="10"/>
  <c r="B1172" i="10"/>
  <c r="B1171" i="10"/>
  <c r="B1170" i="10"/>
  <c r="B1169" i="10"/>
  <c r="B1168" i="10"/>
  <c r="B1167" i="10"/>
  <c r="B1166" i="10"/>
  <c r="B1165" i="10"/>
  <c r="B1164" i="10"/>
  <c r="B1163" i="10"/>
  <c r="B1162" i="10"/>
  <c r="B1161" i="10"/>
  <c r="B1160" i="10"/>
  <c r="B1159" i="10"/>
  <c r="B1158" i="10"/>
  <c r="B1157" i="10"/>
  <c r="B1156" i="10"/>
  <c r="B1155" i="10"/>
  <c r="B1154" i="10"/>
  <c r="B1153" i="10"/>
  <c r="B1152" i="10"/>
  <c r="B1151" i="10"/>
  <c r="B1150" i="10"/>
  <c r="B1149" i="10"/>
  <c r="B1148" i="10"/>
  <c r="B1147" i="10"/>
  <c r="B1146" i="10"/>
  <c r="B1145" i="10"/>
  <c r="B1144" i="10"/>
  <c r="B1143" i="10"/>
  <c r="B1142" i="10"/>
  <c r="B1141" i="10"/>
  <c r="B1140" i="10"/>
  <c r="B1139" i="10"/>
  <c r="B1138" i="10"/>
  <c r="B1137" i="10"/>
  <c r="B1136" i="10"/>
  <c r="B1135" i="10"/>
  <c r="B1134" i="10"/>
  <c r="B1133" i="10"/>
  <c r="B1132" i="10"/>
  <c r="B1131" i="10"/>
  <c r="B1130" i="10"/>
  <c r="B1129" i="10"/>
  <c r="B1128" i="10"/>
  <c r="B1127" i="10"/>
  <c r="B1126" i="10"/>
  <c r="B1125" i="10"/>
  <c r="B1124" i="10"/>
  <c r="B1123" i="10"/>
  <c r="B1122" i="10"/>
  <c r="B1121" i="10"/>
  <c r="B1120" i="10"/>
  <c r="B1119" i="10"/>
  <c r="B1118" i="10"/>
  <c r="B1117" i="10"/>
  <c r="B1116" i="10"/>
  <c r="B1115" i="10"/>
  <c r="B1114" i="10"/>
  <c r="B1113" i="10"/>
  <c r="B1112" i="10"/>
  <c r="B1111" i="10"/>
  <c r="B1110" i="10"/>
  <c r="B1109" i="10"/>
  <c r="B1108" i="10"/>
  <c r="B1107" i="10"/>
  <c r="B1106" i="10"/>
  <c r="B1105" i="10"/>
  <c r="B1104" i="10"/>
  <c r="B1103" i="10"/>
  <c r="B1102" i="10"/>
  <c r="B1101" i="10"/>
  <c r="B1100" i="10"/>
  <c r="B1099" i="10"/>
  <c r="B1098" i="10"/>
  <c r="B1097" i="10"/>
  <c r="B1096" i="10"/>
  <c r="B1095" i="10"/>
  <c r="B1094" i="10"/>
  <c r="B1093" i="10"/>
  <c r="B1092" i="10"/>
  <c r="B1091" i="10"/>
  <c r="B1090" i="10"/>
  <c r="B1089" i="10"/>
  <c r="B1088" i="10"/>
  <c r="B1087" i="10"/>
  <c r="B1086" i="10"/>
  <c r="B1085" i="10"/>
  <c r="B1084" i="10"/>
  <c r="B1083" i="10"/>
  <c r="B1082" i="10"/>
  <c r="B1081" i="10"/>
  <c r="B1080" i="10"/>
  <c r="B1079" i="10"/>
  <c r="B1078" i="10"/>
  <c r="B1077" i="10"/>
  <c r="B1076" i="10"/>
  <c r="B1075" i="10"/>
  <c r="B1074" i="10"/>
  <c r="B1073" i="10"/>
  <c r="B1072" i="10"/>
  <c r="B1071" i="10"/>
  <c r="B1070" i="10"/>
  <c r="B1069" i="10"/>
  <c r="B1068" i="10"/>
  <c r="B1067" i="10"/>
  <c r="B1066" i="10"/>
  <c r="B1065" i="10"/>
  <c r="B1064" i="10"/>
  <c r="B1063" i="10"/>
  <c r="B1062" i="10"/>
  <c r="B1061" i="10"/>
  <c r="B1060" i="10"/>
  <c r="B1059" i="10"/>
  <c r="B1058" i="10"/>
  <c r="B1057" i="10"/>
  <c r="B1056" i="10"/>
  <c r="B1055" i="10"/>
  <c r="B1054" i="10"/>
  <c r="B1053" i="10"/>
  <c r="B1052" i="10"/>
  <c r="B1051" i="10"/>
  <c r="B1050" i="10"/>
  <c r="B1049" i="10"/>
  <c r="B1048" i="10"/>
  <c r="B1047" i="10"/>
  <c r="B1046" i="10"/>
  <c r="B1045" i="10"/>
  <c r="B1044" i="10"/>
  <c r="B1043" i="10"/>
  <c r="B1042" i="10"/>
  <c r="B1041" i="10"/>
  <c r="B1040" i="10"/>
  <c r="B1039" i="10"/>
  <c r="B1038" i="10"/>
  <c r="B1037" i="10"/>
  <c r="B1036" i="10"/>
  <c r="B1035" i="10"/>
  <c r="B1034" i="10"/>
  <c r="B1033" i="10"/>
  <c r="B1032" i="10"/>
  <c r="B1031" i="10"/>
  <c r="B1030" i="10"/>
  <c r="B1029" i="10"/>
  <c r="B1028" i="10"/>
  <c r="B1027" i="10"/>
  <c r="B1026" i="10"/>
  <c r="B1025" i="10"/>
  <c r="B1024" i="10"/>
  <c r="B1023" i="10"/>
  <c r="B1022" i="10"/>
  <c r="B1021" i="10"/>
  <c r="B1020" i="10"/>
  <c r="B1019" i="10"/>
  <c r="B1018" i="10"/>
  <c r="B1017" i="10"/>
  <c r="B1016" i="10"/>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B893" i="10"/>
  <c r="B892" i="10"/>
  <c r="B891" i="10"/>
  <c r="B890" i="10"/>
  <c r="B889" i="10"/>
  <c r="B888" i="10"/>
  <c r="B887" i="10"/>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D13" i="34" l="1"/>
  <c r="H12" i="34"/>
  <c r="H11" i="34"/>
  <c r="H10" i="34"/>
  <c r="H9" i="34"/>
  <c r="H8" i="34"/>
  <c r="H7" i="34"/>
  <c r="H6" i="34"/>
  <c r="H5" i="34"/>
  <c r="H4" i="34"/>
  <c r="H13" i="34" l="1"/>
  <c r="D17" i="34"/>
  <c r="H17"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2" authorId="0" shapeId="0" xr:uid="{148DBD2B-7BCB-4B25-B424-1FCA8F11E1CC}">
      <text>
        <r>
          <rPr>
            <b/>
            <sz val="9"/>
            <color indexed="81"/>
            <rFont val="Tahoma"/>
            <family val="2"/>
          </rPr>
          <t>Updated Idaho Code 33-5207(5)</t>
        </r>
      </text>
    </comment>
    <comment ref="H61" authorId="0" shapeId="0" xr:uid="{E3ACB3C1-E587-44A6-A065-7609BEFA13E7}">
      <text>
        <r>
          <rPr>
            <sz val="9"/>
            <color indexed="81"/>
            <rFont val="Tahoma"/>
            <family val="2"/>
          </rPr>
          <t>Updated URL for Adv Ops List</t>
        </r>
      </text>
    </comment>
    <comment ref="H96" authorId="0" shapeId="0" xr:uid="{AFB93DCB-948D-4E00-A7C1-3F154CC797E7}">
      <text>
        <r>
          <rPr>
            <b/>
            <sz val="9"/>
            <color indexed="81"/>
            <rFont val="Tahoma"/>
            <family val="2"/>
          </rPr>
          <t>Removed:</t>
        </r>
        <r>
          <rPr>
            <sz val="9"/>
            <color indexed="81"/>
            <rFont val="Tahoma"/>
            <family val="2"/>
          </rPr>
          <t xml:space="preserve">
(0 or .5 Kindergarten only).</t>
        </r>
      </text>
    </comment>
    <comment ref="H171" authorId="0" shapeId="0" xr:uid="{DF29FF8E-66F5-42F6-B47E-DE0DD47E2A0A}">
      <text>
        <r>
          <rPr>
            <b/>
            <sz val="9"/>
            <color indexed="81"/>
            <rFont val="Tahoma"/>
            <family val="2"/>
          </rPr>
          <t>Formerly:</t>
        </r>
        <r>
          <rPr>
            <sz val="9"/>
            <color indexed="81"/>
            <rFont val="Tahoma"/>
            <family val="2"/>
          </rPr>
          <t xml:space="preserve">
The Major of the highest degree claimed for funding purposes</t>
        </r>
      </text>
    </comment>
    <comment ref="H172" authorId="0" shapeId="0" xr:uid="{2DB6C80F-0077-40F3-8C2F-1DB9ECF44C6D}">
      <text>
        <r>
          <rPr>
            <b/>
            <sz val="9"/>
            <color indexed="81"/>
            <rFont val="Tahoma"/>
            <family val="2"/>
          </rPr>
          <t>Formerly:</t>
        </r>
        <r>
          <rPr>
            <sz val="9"/>
            <color indexed="81"/>
            <rFont val="Tahoma"/>
            <family val="2"/>
          </rPr>
          <t xml:space="preserve">
The Minor (if any) of the highest degree claimed for funding</t>
        </r>
      </text>
    </comment>
    <comment ref="H178" authorId="0" shapeId="0" xr:uid="{65DA7481-390D-4F89-A941-5594C37C0C9A}">
      <text>
        <r>
          <rPr>
            <b/>
            <sz val="9"/>
            <color indexed="81"/>
            <rFont val="Tahoma"/>
            <family val="2"/>
          </rPr>
          <t>Formerly:</t>
        </r>
        <r>
          <rPr>
            <sz val="9"/>
            <color indexed="81"/>
            <rFont val="Tahoma"/>
            <family val="2"/>
          </rPr>
          <t xml:space="preserve">
The major area of study for the first additional degree</t>
        </r>
      </text>
    </comment>
    <comment ref="H179" authorId="0" shapeId="0" xr:uid="{5FE46F85-0915-4705-8C3C-75942583DDD5}">
      <text>
        <r>
          <rPr>
            <b/>
            <sz val="9"/>
            <color indexed="81"/>
            <rFont val="Tahoma"/>
            <family val="2"/>
          </rPr>
          <t>Formerly:</t>
        </r>
        <r>
          <rPr>
            <sz val="9"/>
            <color indexed="81"/>
            <rFont val="Tahoma"/>
            <family val="2"/>
          </rPr>
          <t xml:space="preserve">
The minor area of study for the first additional degree</t>
        </r>
      </text>
    </comment>
    <comment ref="H184" authorId="0" shapeId="0" xr:uid="{115BC335-3D41-4BDE-B57F-5AB900DDFD72}">
      <text>
        <r>
          <rPr>
            <b/>
            <sz val="9"/>
            <color indexed="81"/>
            <rFont val="Tahoma"/>
            <family val="2"/>
          </rPr>
          <t>Formerly:</t>
        </r>
        <r>
          <rPr>
            <sz val="9"/>
            <color indexed="81"/>
            <rFont val="Tahoma"/>
            <family val="2"/>
          </rPr>
          <t xml:space="preserve">
The major area of study for the second additional degree</t>
        </r>
      </text>
    </comment>
    <comment ref="H185" authorId="0" shapeId="0" xr:uid="{83D205BC-57CC-494F-BEC2-333A0901A887}">
      <text>
        <r>
          <rPr>
            <b/>
            <sz val="9"/>
            <color indexed="81"/>
            <rFont val="Tahoma"/>
            <family val="2"/>
          </rPr>
          <t>Formerly:</t>
        </r>
        <r>
          <rPr>
            <sz val="9"/>
            <color indexed="81"/>
            <rFont val="Tahoma"/>
            <family val="2"/>
          </rPr>
          <t xml:space="preserve">
The minor area of study for the second additional degree</t>
        </r>
      </text>
    </comment>
    <comment ref="H190" authorId="0" shapeId="0" xr:uid="{EE830565-C7FD-4DEF-A292-4CEE1390B82D}">
      <text>
        <r>
          <rPr>
            <b/>
            <sz val="9"/>
            <color indexed="81"/>
            <rFont val="Tahoma"/>
            <family val="2"/>
          </rPr>
          <t>Formerly:</t>
        </r>
        <r>
          <rPr>
            <sz val="9"/>
            <color indexed="81"/>
            <rFont val="Tahoma"/>
            <family val="2"/>
          </rPr>
          <t xml:space="preserve">
The major area of study for the third additional degree</t>
        </r>
      </text>
    </comment>
    <comment ref="H191" authorId="0" shapeId="0" xr:uid="{16C5941D-AB89-4BA1-90BE-086DF36FAC9E}">
      <text>
        <r>
          <rPr>
            <b/>
            <sz val="9"/>
            <color indexed="81"/>
            <rFont val="Tahoma"/>
            <family val="2"/>
          </rPr>
          <t>Formerly:</t>
        </r>
        <r>
          <rPr>
            <sz val="9"/>
            <color indexed="81"/>
            <rFont val="Tahoma"/>
            <family val="2"/>
          </rPr>
          <t xml:space="preserve">
The minor area of study for the third additional degree</t>
        </r>
      </text>
    </comment>
    <comment ref="H196" authorId="0" shapeId="0" xr:uid="{0B3E796E-678F-4A81-AFB9-CB157E212471}">
      <text>
        <r>
          <rPr>
            <b/>
            <sz val="9"/>
            <color indexed="81"/>
            <rFont val="Tahoma"/>
            <family val="2"/>
          </rPr>
          <t>Formerly:</t>
        </r>
        <r>
          <rPr>
            <sz val="9"/>
            <color indexed="81"/>
            <rFont val="Tahoma"/>
            <family val="2"/>
          </rPr>
          <t xml:space="preserve">
The major area of study for the fourth additional degree</t>
        </r>
      </text>
    </comment>
    <comment ref="H197" authorId="0" shapeId="0" xr:uid="{67385233-417A-4019-83F2-3A04DC3D4954}">
      <text>
        <r>
          <rPr>
            <b/>
            <sz val="9"/>
            <color indexed="81"/>
            <rFont val="Tahoma"/>
            <family val="2"/>
          </rPr>
          <t>Formerly:</t>
        </r>
        <r>
          <rPr>
            <sz val="9"/>
            <color indexed="81"/>
            <rFont val="Tahoma"/>
            <family val="2"/>
          </rPr>
          <t xml:space="preserve">
The minor area of study for the fourth additional degree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6" authorId="0" shapeId="0" xr:uid="{99E207E2-C122-4AB3-AA2B-5D04881B9E37}">
      <text>
        <r>
          <rPr>
            <b/>
            <sz val="9"/>
            <color indexed="81"/>
            <rFont val="Tahoma"/>
            <family val="2"/>
          </rPr>
          <t>Formerly:</t>
        </r>
        <r>
          <rPr>
            <sz val="9"/>
            <color indexed="81"/>
            <rFont val="Tahoma"/>
            <family val="2"/>
          </rPr>
          <t xml:space="preserve">
Amount to be Provided G.L.T.D.</t>
        </r>
      </text>
    </comment>
    <comment ref="C24" authorId="0" shapeId="0" xr:uid="{8B317968-366C-45FB-8F44-CC180D2C784D}">
      <text>
        <r>
          <rPr>
            <b/>
            <sz val="9"/>
            <color indexed="81"/>
            <rFont val="Tahoma"/>
            <family val="2"/>
          </rPr>
          <t>Formerly:</t>
        </r>
        <r>
          <rPr>
            <sz val="9"/>
            <color indexed="81"/>
            <rFont val="Tahoma"/>
            <family val="2"/>
          </rPr>
          <t xml:space="preserve">
Current Loans Payable</t>
        </r>
      </text>
    </comment>
    <comment ref="C28" authorId="0" shapeId="0" xr:uid="{B2BF7467-C683-416E-B234-0432CA5EE0CD}">
      <text>
        <r>
          <rPr>
            <b/>
            <sz val="9"/>
            <color indexed="81"/>
            <rFont val="Tahoma"/>
            <family val="2"/>
          </rPr>
          <t>Formerly:</t>
        </r>
        <r>
          <rPr>
            <sz val="9"/>
            <color indexed="81"/>
            <rFont val="Tahoma"/>
            <family val="2"/>
          </rPr>
          <t xml:space="preserve">
Bonds Payable - N.C.P.</t>
        </r>
      </text>
    </comment>
    <comment ref="C29" authorId="0" shapeId="0" xr:uid="{10151459-B352-4B63-AAEE-422A53FCE9F0}">
      <text>
        <r>
          <rPr>
            <b/>
            <sz val="9"/>
            <color indexed="81"/>
            <rFont val="Tahoma"/>
            <family val="2"/>
          </rPr>
          <t>Formerly:</t>
        </r>
        <r>
          <rPr>
            <sz val="9"/>
            <color indexed="81"/>
            <rFont val="Tahoma"/>
            <family val="2"/>
          </rPr>
          <t xml:space="preserve">
Loans Payable - N.C.P.</t>
        </r>
      </text>
    </comment>
    <comment ref="C31" authorId="0" shapeId="0" xr:uid="{C6AD8314-43E3-464B-9658-706EA7C62E6D}">
      <text>
        <r>
          <rPr>
            <b/>
            <sz val="9"/>
            <color indexed="81"/>
            <rFont val="Tahoma"/>
            <family val="2"/>
          </rPr>
          <t>Formerly:</t>
        </r>
        <r>
          <rPr>
            <sz val="9"/>
            <color indexed="81"/>
            <rFont val="Tahoma"/>
            <family val="2"/>
          </rPr>
          <t xml:space="preserve">
Other L.C. Liabilities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12" authorId="0" shapeId="0" xr:uid="{4D804C14-5CAD-45A7-A26C-16EA2C1A34F1}">
      <text>
        <r>
          <rPr>
            <b/>
            <sz val="9"/>
            <color indexed="81"/>
            <rFont val="Tahoma"/>
            <family val="2"/>
          </rPr>
          <t xml:space="preserve">Previous: </t>
        </r>
        <r>
          <rPr>
            <i/>
            <sz val="9"/>
            <color indexed="81"/>
            <rFont val="Tahoma"/>
            <family val="2"/>
          </rPr>
          <t xml:space="preserve">Early graduation after 1st semester of Sr. Year </t>
        </r>
        <r>
          <rPr>
            <b/>
            <sz val="9"/>
            <color indexed="81"/>
            <rFont val="Tahoma"/>
            <family val="2"/>
          </rPr>
          <t>(Updated 4.21.2023 per 88605)
IDAPA 08.02.01.350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1" authorId="0" shapeId="0" xr:uid="{C1F3080D-8E73-4078-BE16-B8EFE7EE2F4F}">
      <text>
        <r>
          <rPr>
            <b/>
            <sz val="9"/>
            <color indexed="81"/>
            <rFont val="Tahoma"/>
            <family val="2"/>
          </rPr>
          <t xml:space="preserve">Previous: </t>
        </r>
        <r>
          <rPr>
            <i/>
            <sz val="9"/>
            <color indexed="81"/>
            <rFont val="Tahoma"/>
            <family val="2"/>
          </rPr>
          <t xml:space="preserve">Early graduation after 1st semester of Sr. Year </t>
        </r>
        <r>
          <rPr>
            <b/>
            <sz val="9"/>
            <color indexed="81"/>
            <rFont val="Tahoma"/>
            <family val="2"/>
          </rPr>
          <t>(Updated 4.21.2023 per 88605)
IDAPA 08.02.01.350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38DD0BB-B835-425C-B55B-45A7F6C4200A}"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<sst xmlns="http://schemas.openxmlformats.org/spreadsheetml/2006/main" count="53834" uniqueCount="13552">
  <si>
    <t>Last Updated</t>
  </si>
  <si>
    <t>Sheet 1</t>
  </si>
  <si>
    <t>Table of Contents</t>
  </si>
  <si>
    <t>Document Outline of Sheets</t>
  </si>
  <si>
    <t>Sheet 2</t>
  </si>
  <si>
    <t>Items Document Map</t>
  </si>
  <si>
    <t>List of files collected</t>
  </si>
  <si>
    <t>Sheet 3</t>
  </si>
  <si>
    <t>Items Details</t>
  </si>
  <si>
    <t>Details of elements collected</t>
  </si>
  <si>
    <t>Sheet 4</t>
  </si>
  <si>
    <t>Option Sets Map</t>
  </si>
  <si>
    <t>List of Option Sets</t>
  </si>
  <si>
    <t>Sheet 5</t>
  </si>
  <si>
    <t>Option Sets Details</t>
  </si>
  <si>
    <t>Details of Option Sets</t>
  </si>
  <si>
    <t>Sheet 6</t>
  </si>
  <si>
    <t>Assignment Changes</t>
  </si>
  <si>
    <t>Assignment Code Changes</t>
  </si>
  <si>
    <t>Sheet 7</t>
  </si>
  <si>
    <t>Assignments_Endorsements</t>
  </si>
  <si>
    <t>List of Endorsements to Assignments</t>
  </si>
  <si>
    <t>Sheet 8</t>
  </si>
  <si>
    <t>Districts and Schools</t>
  </si>
  <si>
    <t>List of Districts and Schools State IDs</t>
  </si>
  <si>
    <t>Sheet 9</t>
  </si>
  <si>
    <t>Changes</t>
  </si>
  <si>
    <t>Recorded Changes to this file after July 1</t>
  </si>
  <si>
    <t>Items Document Map -  ISEE Core Data Collections</t>
  </si>
  <si>
    <t>File List</t>
  </si>
  <si>
    <t>SY24-25</t>
  </si>
  <si>
    <t>Item Count Change</t>
  </si>
  <si>
    <t>►</t>
  </si>
  <si>
    <t>Master Course Schedule</t>
  </si>
  <si>
    <t>Student Demographics</t>
  </si>
  <si>
    <t>Student Course Enrollment</t>
  </si>
  <si>
    <t>Student Attendance</t>
  </si>
  <si>
    <t>District Calendars</t>
  </si>
  <si>
    <t>Special Education Students</t>
  </si>
  <si>
    <t>Gifted Students</t>
  </si>
  <si>
    <t>Staff Demographics and Employment</t>
  </si>
  <si>
    <t>Staff Assignments</t>
  </si>
  <si>
    <t>Disciplinary Action</t>
  </si>
  <si>
    <t>Person Addresses</t>
  </si>
  <si>
    <t>Open Enrollment</t>
  </si>
  <si>
    <t xml:space="preserve"> </t>
  </si>
  <si>
    <t>Total Possible Items</t>
  </si>
  <si>
    <t>Items Document Map - ISEE Program Contacts</t>
  </si>
  <si>
    <t>Program Contacts</t>
  </si>
  <si>
    <t>Items Document Map - ISEE Annual School Finance</t>
  </si>
  <si>
    <t>Annual School Finance (FY2024-2025)</t>
  </si>
  <si>
    <t>Items Document Map -  ISEE Financial Transparency</t>
  </si>
  <si>
    <t>Financial Tranparency</t>
  </si>
  <si>
    <t>New</t>
  </si>
  <si>
    <t>Removed</t>
  </si>
  <si>
    <t>For the date reported, was the student identified as a Self Directed Learner as defined in Idaho Code 33-512D. SELF-DIRECTED LEARNER DESIGNATION.</t>
  </si>
  <si>
    <t>Collection</t>
  </si>
  <si>
    <t>Section</t>
  </si>
  <si>
    <t>Section Name</t>
  </si>
  <si>
    <t>Item Number</t>
  </si>
  <si>
    <t>Item Description</t>
  </si>
  <si>
    <t>Field Name</t>
  </si>
  <si>
    <t>Repeatable</t>
  </si>
  <si>
    <t>Definition</t>
  </si>
  <si>
    <t>Office</t>
  </si>
  <si>
    <t>Steward</t>
  </si>
  <si>
    <t>Data Type</t>
  </si>
  <si>
    <t>Max Length</t>
  </si>
  <si>
    <t>Format</t>
  </si>
  <si>
    <t>Option Set Name</t>
  </si>
  <si>
    <t>Min Value</t>
  </si>
  <si>
    <t>Max Value</t>
  </si>
  <si>
    <t>Required</t>
  </si>
  <si>
    <t>Logic</t>
  </si>
  <si>
    <t xml:space="preserve">Why It Is Collected </t>
  </si>
  <si>
    <t>Federal</t>
  </si>
  <si>
    <t>State</t>
  </si>
  <si>
    <t>Collect Agg/Disagg</t>
  </si>
  <si>
    <t>Report Agg/DisAgg</t>
  </si>
  <si>
    <t>Validation Why</t>
  </si>
  <si>
    <t>0</t>
  </si>
  <si>
    <t>1</t>
  </si>
  <si>
    <t>School Identification Code</t>
  </si>
  <si>
    <t>schoolId</t>
  </si>
  <si>
    <t>The SDE assigned four-digit number associated with the school.</t>
  </si>
  <si>
    <t>Option Set</t>
  </si>
  <si>
    <t>Schools</t>
  </si>
  <si>
    <t>PSF, ESEA/ESSA, Certification, SPED,  Validation</t>
  </si>
  <si>
    <t>Y</t>
  </si>
  <si>
    <t>DisAgg</t>
  </si>
  <si>
    <t>2</t>
  </si>
  <si>
    <t>Course Code</t>
  </si>
  <si>
    <t>courseCode</t>
  </si>
  <si>
    <t xml:space="preserve">The Idaho state course code that best outlines the particular course section.  This code should be the same code used when matching  records between Staff Assignments, Student Course Enrollments and Master Course Schedule files.  </t>
  </si>
  <si>
    <t>PSF, ESEA/ESSA, Certification, SPED,  Adv. Opps, OSBE, Validation</t>
  </si>
  <si>
    <t>3</t>
  </si>
  <si>
    <t>Course Type</t>
  </si>
  <si>
    <t>courseType</t>
  </si>
  <si>
    <t>The structure and environment for the course.</t>
  </si>
  <si>
    <t>X</t>
  </si>
  <si>
    <t>PSF, ESEA/ESSA, Certification, Adv. Opps,  Validation</t>
  </si>
  <si>
    <t>4</t>
  </si>
  <si>
    <t>Instructional Setting</t>
  </si>
  <si>
    <t>setting</t>
  </si>
  <si>
    <t>Regarding instruction type, the typical instructional setting for this course section.</t>
  </si>
  <si>
    <t>XX</t>
  </si>
  <si>
    <t>PSF, ESEA/ESSA, Certification, SPED,  Adv. Opps, Validation</t>
  </si>
  <si>
    <t>5</t>
  </si>
  <si>
    <t>Minutes Per Week</t>
  </si>
  <si>
    <t>minsWeek</t>
  </si>
  <si>
    <t>Minutes per week the class is in session.  If course is a block schedule class with different times per week (e.g. meets M/W/F one week and T/Th the next) then average the time across the two weeks.</t>
  </si>
  <si>
    <t>INT</t>
  </si>
  <si>
    <t>0-9999</t>
  </si>
  <si>
    <t>PSF, CTE, Validation</t>
  </si>
  <si>
    <t>N</t>
  </si>
  <si>
    <t>State minimum requirements</t>
  </si>
  <si>
    <t>6</t>
  </si>
  <si>
    <t>Content Grade Level</t>
  </si>
  <si>
    <t>gradeLevel</t>
  </si>
  <si>
    <t>The instructional content grade level (regardless of the grade level of the students enrolled).</t>
  </si>
  <si>
    <t>PSF, Certification, SPED,  Adv. Opps, OSBE, Validation</t>
  </si>
  <si>
    <t>7</t>
  </si>
  <si>
    <t>Section Period</t>
  </si>
  <si>
    <t>period</t>
  </si>
  <si>
    <t>The period of the day for the instructional course/assignment section</t>
  </si>
  <si>
    <t>VARCHAR</t>
  </si>
  <si>
    <t>Validation</t>
  </si>
  <si>
    <t>8</t>
  </si>
  <si>
    <t>Section Identification</t>
  </si>
  <si>
    <t>sectionId</t>
  </si>
  <si>
    <t xml:space="preserve">The unique identifier for the specific section of an instructional course/assignment. </t>
  </si>
  <si>
    <t>ESEA/ESSA, Adv. Opps, Validation</t>
  </si>
  <si>
    <t>9</t>
  </si>
  <si>
    <t>Section Alias Name</t>
  </si>
  <si>
    <t>sectionAlias</t>
  </si>
  <si>
    <t xml:space="preserve">The district section name associated with the section ID number for the specific section of an instructional course/assignment. </t>
  </si>
  <si>
    <t>10</t>
  </si>
  <si>
    <t>Section Start Date</t>
  </si>
  <si>
    <t>sectionStartDate</t>
  </si>
  <si>
    <t xml:space="preserve">The date in which the section is to start; matching Staff Assignments and Student Course Enrollments should not start before this date. </t>
  </si>
  <si>
    <t>DATE</t>
  </si>
  <si>
    <t>MM/DD/YYYY or MM/DD/YY</t>
  </si>
  <si>
    <t>11</t>
  </si>
  <si>
    <t>Section End Date</t>
  </si>
  <si>
    <t>sectionEndDate</t>
  </si>
  <si>
    <t xml:space="preserve">The date in which the section is to end; matching Staff Assignments and Student Course Enrollments should not end after this date. </t>
  </si>
  <si>
    <t>12</t>
  </si>
  <si>
    <t>Provider School</t>
  </si>
  <si>
    <t>providerSchool</t>
  </si>
  <si>
    <t>The institution providing instruction of a non-regular course, i.e. virtual or distance learning.</t>
  </si>
  <si>
    <t>Conditional</t>
  </si>
  <si>
    <t>PSF, ESEA/ESSA, Certification, Adv. Opps., CTE</t>
  </si>
  <si>
    <t>13</t>
  </si>
  <si>
    <t>Provider School Name</t>
  </si>
  <si>
    <t>providerSchoolName</t>
  </si>
  <si>
    <t>The name of the institution providing instruction of a non-regular course, i.e. virtual or distance learning. Use this for ProviderSchool code 9999 or 0999 option sets.</t>
  </si>
  <si>
    <t>14</t>
  </si>
  <si>
    <t>Provider Instructor</t>
  </si>
  <si>
    <t>providerInstructor</t>
  </si>
  <si>
    <t>The EDUID of the teacher of the course.  This is the employee of the provider school.  Only applies to non-regular course, for example virtual or distance learning courses.</t>
  </si>
  <si>
    <t>CHAR</t>
  </si>
  <si>
    <t>15</t>
  </si>
  <si>
    <t>Provider Instructor Name</t>
  </si>
  <si>
    <t>providerInstructorName</t>
  </si>
  <si>
    <t>The Name of the teacher of the course.  This is the employee of the provider school.  Only applies to non-regular course, for example virtual or distance learning courses.</t>
  </si>
  <si>
    <t>Idaho State Student ID</t>
  </si>
  <si>
    <t>idStuId</t>
  </si>
  <si>
    <t>The student's assigned unique Idaho identification number.</t>
  </si>
  <si>
    <t>PSF, Validation</t>
  </si>
  <si>
    <t>SDE Validation, SDE Research, Sub-group reporting</t>
  </si>
  <si>
    <t>Last Name</t>
  </si>
  <si>
    <t>lastName</t>
  </si>
  <si>
    <t>The complete legal surname/family name(s). That which may be inherited (passed) to an individual at birth, baptism, or during another naming ceremony, or through legal change.</t>
  </si>
  <si>
    <t>SDE Validation</t>
  </si>
  <si>
    <t>First Name</t>
  </si>
  <si>
    <t>firstName</t>
  </si>
  <si>
    <t>The complete legal given first name(s) given to an individual at birth, baptism, or during another naming ceremony, or through legal change.</t>
  </si>
  <si>
    <t>Middle Name</t>
  </si>
  <si>
    <t>middleName</t>
  </si>
  <si>
    <t>The complete legal given secondary name(s) given to an individual at birth, baptism, or during another naming ceremony.</t>
  </si>
  <si>
    <t>Optional</t>
  </si>
  <si>
    <t>Name Suffix</t>
  </si>
  <si>
    <t>suffix</t>
  </si>
  <si>
    <t>An appendage, if any, used to denote an individual's generation in his family (e.g., Jr., Sr., III).</t>
  </si>
  <si>
    <t>Birth Date</t>
  </si>
  <si>
    <t>birthDate</t>
  </si>
  <si>
    <t>The month, day, and year on which an individual was born.</t>
  </si>
  <si>
    <t>Validation, PSF, SPED, Edfacts</t>
  </si>
  <si>
    <t>Gender</t>
  </si>
  <si>
    <t>gender</t>
  </si>
  <si>
    <t>A person's gender -- either Male or Female</t>
  </si>
  <si>
    <t>ESEA/ESSA, EdFacts, OCR, EDEN</t>
  </si>
  <si>
    <t>Is Hispanic</t>
  </si>
  <si>
    <t>hispanic</t>
  </si>
  <si>
    <t>A flag indicating if the individual is Hispanic or Latino. An indication that the person traces his or her origin or descent to Mexico, Puerto Rico, Cuba, Central and South America, and other Spanish cultures, regardless of race.</t>
  </si>
  <si>
    <t>Yes/No</t>
  </si>
  <si>
    <t>Is Asian</t>
  </si>
  <si>
    <t>asian</t>
  </si>
  <si>
    <t xml:space="preserve">A flag indicating if the individual is Asian. A person having origins in any of the original peoples of the Far East, Southeast Asia, or the Indian Subcontinent. This area includes, for example, Cambodia, China, India, Japan, Korea, Malaysia, Pakistan, the Philippine Islands, Thailand, and Vietnam.
</t>
  </si>
  <si>
    <t>Is American Indian or Alaska Native</t>
  </si>
  <si>
    <t>indian</t>
  </si>
  <si>
    <t xml:space="preserve">A flag indicating if the individual is American Indian or Alaskan Native.  A person having origins in any of the original peoples of North and South America (including Central America), and who maintains cultural identification through tribal affiliation or community attachment.
</t>
  </si>
  <si>
    <t>Is Black or African American</t>
  </si>
  <si>
    <t>black</t>
  </si>
  <si>
    <t xml:space="preserve">A flag indicating if the individual is African American. A person having origins in any of the black racial groups of Africa.
</t>
  </si>
  <si>
    <t>Is Native Hawaiian or Pacific Islander</t>
  </si>
  <si>
    <t>islander</t>
  </si>
  <si>
    <t>A flag indicating if the individual is Native Hawaiian or Other Pacific Islander. A person having origins in any of the original peoples of Hawaii, Guam, Samoa, or other Pacific Islands.</t>
  </si>
  <si>
    <t>Is White</t>
  </si>
  <si>
    <t>white</t>
  </si>
  <si>
    <t>A flag indicating if the individual is White or Caucasian. A person having origins in any of the original peoples of Europe, Middle East, or North Africa.</t>
  </si>
  <si>
    <t>Is Open Enrolled</t>
  </si>
  <si>
    <t>openEnrolled</t>
  </si>
  <si>
    <t>Is (or was) this student open enrolled into the base school at any time during this school enrollment? Open Enrolled is defined as having a residence outside of the base school's designated school boundaries. (IC 33-1409)</t>
  </si>
  <si>
    <t>PSF, ESEA/ESSA, EdFacts, OCR, EDEN</t>
  </si>
  <si>
    <t>Base School Identification Code</t>
  </si>
  <si>
    <t>baseSchoolId</t>
  </si>
  <si>
    <t>The SDE assigned four-digit number associated with the school (within your district) primarily responsible for the academic instruction, educational services and achievement of the student for the current enrollment period.</t>
  </si>
  <si>
    <t>16</t>
  </si>
  <si>
    <t>County of Residence</t>
  </si>
  <si>
    <t>county</t>
  </si>
  <si>
    <t xml:space="preserve">The County of residence for the student's home address.  </t>
  </si>
  <si>
    <t>Idaho Counties</t>
  </si>
  <si>
    <t>PSF, Adv. Opps</t>
  </si>
  <si>
    <t>17</t>
  </si>
  <si>
    <t>Zip Code</t>
  </si>
  <si>
    <t>zip</t>
  </si>
  <si>
    <t>The Postal Service zip code for the student's home address.  Either just the first five digits or the full zip+4 (without any dashes or spaces).</t>
  </si>
  <si>
    <t>99999 or 999999999</t>
  </si>
  <si>
    <t>Validation, State for Forest Fund Calculations,  Direct Certification</t>
  </si>
  <si>
    <t>18</t>
  </si>
  <si>
    <t>Is Private or Home Schooled</t>
  </si>
  <si>
    <t>phSchool</t>
  </si>
  <si>
    <t>A flag indicating that student receives majority of educational instruction using the curriculum adopted by the parent/guardian or private (or non-public) entity.</t>
  </si>
  <si>
    <t>PH School</t>
  </si>
  <si>
    <t>PSF, Edfacts Validation</t>
  </si>
  <si>
    <t>19</t>
  </si>
  <si>
    <t>Grade Level</t>
  </si>
  <si>
    <t xml:space="preserve">The code identifying the grade level of the student. </t>
  </si>
  <si>
    <t>X or XX</t>
  </si>
  <si>
    <t>Birthdate, Student Demographics, Course Enrollement, Provider School Table</t>
  </si>
  <si>
    <t>20</t>
  </si>
  <si>
    <t>Grade Point Average UnWeighted</t>
  </si>
  <si>
    <t>uGPA</t>
  </si>
  <si>
    <t>The unweighted cumulative grade point average covering all high school transcript credits. Calculated on a 4.0 maximum scale. Used in aiding the student with the Idaho Opportunity Scholarship as well as the application process for Idaho’s public colleges and universities.</t>
  </si>
  <si>
    <t>Board of Ed</t>
  </si>
  <si>
    <t>DECIMAL</t>
  </si>
  <si>
    <t>9.99</t>
  </si>
  <si>
    <t>0.00</t>
  </si>
  <si>
    <t>4.00</t>
  </si>
  <si>
    <t>OSBE</t>
  </si>
  <si>
    <t>21</t>
  </si>
  <si>
    <t>Economic Disadvantage Status</t>
  </si>
  <si>
    <t>econDisStatus</t>
  </si>
  <si>
    <t>An indicator of how the student meets the criteria for classification as having an economic disadvantage status; using Direct Certification, eligibility of free or reduced price lunches through a National School Lunch Program, or other qualifying measures such as household income surveys.</t>
  </si>
  <si>
    <t>XXX</t>
  </si>
  <si>
    <t>Economic Disadvantage</t>
  </si>
  <si>
    <t>USDA, EDFacts, ESEA/ESSA</t>
  </si>
  <si>
    <t>22</t>
  </si>
  <si>
    <t>Is Special Ed</t>
  </si>
  <si>
    <t>specialEd</t>
  </si>
  <si>
    <t>A flag indicating if the student has an active Individualized Education Program (IEP) or Service Plan (SP) under the IDEA, part B.</t>
  </si>
  <si>
    <t>23</t>
  </si>
  <si>
    <t>Is 504</t>
  </si>
  <si>
    <t>A cumulative flag indicating if the student has (or had) an active education plan under the rules of section 504 of the Rehabilitation act, during their current base school enrollment in the current school-year.</t>
  </si>
  <si>
    <t>IDEA and OSEP compliance, EDFacts, OCR</t>
  </si>
  <si>
    <t>24</t>
  </si>
  <si>
    <t>At Risk</t>
  </si>
  <si>
    <t>atRisk</t>
  </si>
  <si>
    <r>
      <t xml:space="preserve">A cumulative flag indicating if, at any time during the current school-year enrollment, the youth has met the requirement for "At-Risk" within the district. 
33-1001(3) "At-risk student" means a student in grades 6 through 12 who:
(a)  Meets at least three (3) of the following criteria:
   (i) Has repeated at least one (1) grade;
   (ii) Has absenteeism greater than ten percent (10%) during the preceding semester;
   (iii) Has an overall grade point average less than 1.5 on a 4.0 scale prior to enrolling in an alternative secondary program;
   (iv) Has failed one (1) or more academic subjects in the past year;
   (v) Is below proficient, based on local criteria, standardized tests, or both;
   (vi) Is two (2) or more credits per year behind the rate required to graduate or for grade promotion; or
   (vii) Has attended three (3) or more schools within the previous two (2) years, not including dual enrollment;
</t>
    </r>
    <r>
      <rPr>
        <b/>
        <sz val="10"/>
        <rFont val="Arial"/>
        <family val="2"/>
      </rPr>
      <t>OR</t>
    </r>
    <r>
      <rPr>
        <sz val="10"/>
        <rFont val="Arial"/>
        <family val="2"/>
      </rPr>
      <t xml:space="preserve">
(b)  Meets any of the following criteria:
   (i) Has documented substance abuse or a pattern of substance abuse;
   (ii) Is pregnant or a parent;
   (iii) Is an emancipated youth or unaccompanied youth;
   (iv) Is a previous dropout;
   (v) Has a serious personal, emotional, or medical issue or issues;
   (vi) Has a court or agency referral; or
   (vii) Demonstrates behavior detrimental to the student’s academic progress.</t>
    </r>
  </si>
  <si>
    <t>PSF</t>
  </si>
  <si>
    <t>25</t>
  </si>
  <si>
    <t>Military Connected Student</t>
  </si>
  <si>
    <t>militaryConnected</t>
  </si>
  <si>
    <t>The identification of how a student is military connected as a dependent of at least one Active-Status member (parent or guardian) of the United States Armed Forces military services.</t>
  </si>
  <si>
    <t>Military Connection</t>
  </si>
  <si>
    <t>ESEA/ESSA</t>
  </si>
  <si>
    <t>26</t>
  </si>
  <si>
    <t>Is Title I Served</t>
  </si>
  <si>
    <t>servedTitleI</t>
  </si>
  <si>
    <t>A cumulative flag indicating if the student has received services under the rules of Title IA of ESSA at any time during their current base school enrollment in the current school-year. For students attending a Title I, Part A public school operating a Schoolwide Program report Yes for all students.</t>
  </si>
  <si>
    <t>Title Program Funding</t>
  </si>
  <si>
    <t>27</t>
  </si>
  <si>
    <t xml:space="preserve">Is Idaho Resident </t>
  </si>
  <si>
    <t>idResident</t>
  </si>
  <si>
    <t>A flag indicating if the student is a permanent resident of Idaho. (read more below)
Border In Students - No 
Foreign Exchange Visitors/Students - No</t>
  </si>
  <si>
    <t>PSF, EDFacts</t>
  </si>
  <si>
    <t>28</t>
  </si>
  <si>
    <t>On Educational (F1) Visa</t>
  </si>
  <si>
    <t>onVisa</t>
  </si>
  <si>
    <t>A flag indicating if the student is on an Educational (F-1) Visa. (read more below)
F-1 visa students can only attend schools that have a SEVP certification with Department of Homeland Security (DHS). 
F-1 visa students are issued Form I-20s.</t>
  </si>
  <si>
    <t>Yes/No/NA</t>
  </si>
  <si>
    <t>29</t>
  </si>
  <si>
    <t>Is Gifted/Talented</t>
  </si>
  <si>
    <t>gifted</t>
  </si>
  <si>
    <t>A flag indicating if the student is Gifted and/or Talented.</t>
  </si>
  <si>
    <t>30</t>
  </si>
  <si>
    <t>Is Homeless</t>
  </si>
  <si>
    <t>homeless</t>
  </si>
  <si>
    <t>A cumulative flag indicating whether an individual ever lacked a fixed, regular, and adequate nighttime residence during their enrollment in the district for the current school-year. Includes 1) children and youths who are sharing the housing of other persons due to loss of housing, economic hardship, or similar reason; are living in motels, hotels, trailer parks, or camping grounds due to the lack of alternative accommodations; are living in emergency or transitional shelters; are abandoned in hospitals; 2) children and youths who have a primary nighttime residence that is a public or private place not designed for or ordinarily used as a regular sleeping accommodation for human beings…  3) children and youths who are living in cars, parks, public spaces, abandoned buildings, substandard housing, bus or train stations, or similar settings; and 4) migratory children who qualify as homeless for the purposes of this subtitle because the children are living in circumstances described in 1 through 3.</t>
  </si>
  <si>
    <t>EDFacts, Title Program Funding</t>
  </si>
  <si>
    <t>31</t>
  </si>
  <si>
    <t>If Homeless, is an unaccompanied youth</t>
  </si>
  <si>
    <t>homelessUAY</t>
  </si>
  <si>
    <t>A cumulative flag for a student who is (or was) homeless during their enrollment in the district for the current school-year. Was this student ever identified as an unaccompanied youth; a youth who was not in the physical custody of a parent or guardian AND who fit the McKinney-Vento definition of homeless? This field is required when [homeless ] = Y</t>
  </si>
  <si>
    <t>32</t>
  </si>
  <si>
    <t>Homeless Residence</t>
  </si>
  <si>
    <t>homelessResidence</t>
  </si>
  <si>
    <t>An indication of a homeless student's initial primary nighttime residence at the time they were first identified as being homeless during their enrollment in the district for the current school-year.</t>
  </si>
  <si>
    <t>33</t>
  </si>
  <si>
    <t>Is Bus Rider</t>
  </si>
  <si>
    <t>busRider</t>
  </si>
  <si>
    <t>34</t>
  </si>
  <si>
    <t>Is Border Student</t>
  </si>
  <si>
    <t>borderStudent</t>
  </si>
  <si>
    <t>A student crossing state lines to attend school in a state other than the state where they reside. Include the Id for the exchange district in the borderId field. (33-1403 and 33-1405 I.C.)</t>
  </si>
  <si>
    <t>Border Student</t>
  </si>
  <si>
    <t>PFS, EDFacts</t>
  </si>
  <si>
    <t>Transportation</t>
  </si>
  <si>
    <t>35</t>
  </si>
  <si>
    <t>Other Border District ID</t>
  </si>
  <si>
    <t>borderId</t>
  </si>
  <si>
    <t>For border students, the SDE assigned ID for the other district involved in the exchange of this border student. Contact SDE for this identifier.</t>
  </si>
  <si>
    <t>36</t>
  </si>
  <si>
    <t>Is Immigrant</t>
  </si>
  <si>
    <t>immigrant</t>
  </si>
  <si>
    <t>An indication that the child is eligible as “immigrant children and youth,” which is defined under Title III in Section 3201(5) of the ESEA, referring to individuals who: (A) are aged 3 through 21; (B) were not born in any State; and (C) have not been attending one or more schools in any one or more States for more than 3 full academic years. 
Note: “State” is defined in Section 3201(13) of the ESEA to include the 50 States, the District of Columbia, and Puerto Rico. Therefore, students born in Puerto Rico may not be included as “immigrant” students under Title III. 
Note: The term “immigrant” as used in Title III is not related to an individual's legal status in the United States.
Note: A student is NOT considered a Title III immigrant if the student has been attending one or more schools in any States for a total of more than 3 full academic years.</t>
  </si>
  <si>
    <t>EdFacts, ESEA/ESSA</t>
  </si>
  <si>
    <t>37</t>
  </si>
  <si>
    <t>Immigrant US School Begin Date</t>
  </si>
  <si>
    <t>immigrantEntry</t>
  </si>
  <si>
    <t>For Immigrant students, the year, month and day of initial enrollment into any United States school. The month and year are all that are critical. -- use the first of the month if the day of the date is unknown.
Note: Only report for [immigrant] = Y</t>
  </si>
  <si>
    <t>38</t>
  </si>
  <si>
    <t>Immigrant Native Language</t>
  </si>
  <si>
    <t>nativeLanguage</t>
  </si>
  <si>
    <t>For Immigrant students, the dominant or most frequent language spoken in the home. 
(Note: A list of language codes is currently maintained and updated by the ISO as ISO 639-2) 
Note: Only report for [immigrant] = Y</t>
  </si>
  <si>
    <t>Languages</t>
  </si>
  <si>
    <t>39</t>
  </si>
  <si>
    <t>Immigrant Home Country Code</t>
  </si>
  <si>
    <t>country</t>
  </si>
  <si>
    <t>For Immigrant students, the code for the country in which an individual is born. 
(Note: A list of countries and codes is currently maintained and updated by the International Organization for Standardization as ISO 3166.)
Note: Only report for [immigrant] = Y</t>
  </si>
  <si>
    <t>Country</t>
  </si>
  <si>
    <t>40</t>
  </si>
  <si>
    <t>Typically Developing Peer</t>
  </si>
  <si>
    <t>tdPeer</t>
  </si>
  <si>
    <t>Is the student enrolled as a Typically Developing Peer in an early childhood or pre-kindergarten program.  Typically Developing Peers act as role models for early childhood special education students.</t>
  </si>
  <si>
    <t>Title programs, SPED</t>
  </si>
  <si>
    <t>41</t>
  </si>
  <si>
    <t>Is Self Directed Learner</t>
  </si>
  <si>
    <t>selfDirectedLearner</t>
  </si>
  <si>
    <t>For grade levels K-12, during the current school year base school enrollment, was this student ever identified as a Self-Directed Learner as defined by Idaho Code 33-512D. SELF-DIRECTED LEARNER DESIGNATION</t>
  </si>
  <si>
    <t>42</t>
  </si>
  <si>
    <t>Earned Industry Certification</t>
  </si>
  <si>
    <t>earnedIndustryCert</t>
  </si>
  <si>
    <t>43</t>
  </si>
  <si>
    <t>Apprenticeship Participant</t>
  </si>
  <si>
    <t>apprenticeshipParticipant</t>
  </si>
  <si>
    <t>For (grade levels 9-12) during the current school year base school enrollment, has/is this student participating in School to Registered Apprenticeship Program (STRAP)?
IDAPA 08.02.03.112.03 - College and career readiness is determined by any High School participation in advanced opportunities, earning industry recognized certification(s), and/or participation in recognized high school apprenticeship program(s).</t>
  </si>
  <si>
    <t>44</t>
  </si>
  <si>
    <t>Is Chronically Absent</t>
  </si>
  <si>
    <t>chronicallyAbsent</t>
  </si>
  <si>
    <t>45</t>
  </si>
  <si>
    <t>On School Grounds</t>
  </si>
  <si>
    <t>onSchoolGrounds</t>
  </si>
  <si>
    <t>For current year enrolled K-12 students, the majority of their instruction was received at a physical facility owned or leased by the reporting LEA (Idaho Code 33-911 and 33-5207(6)).</t>
  </si>
  <si>
    <t>46</t>
  </si>
  <si>
    <t>District Entry Date</t>
  </si>
  <si>
    <t>districtEntryDate</t>
  </si>
  <si>
    <t>The month, day, and year on which the student (re)entered and began to receive instructional services in the district during the current school year.</t>
  </si>
  <si>
    <t>PSF, EdFacts, Adv. Opps.</t>
  </si>
  <si>
    <t>47</t>
  </si>
  <si>
    <t>District Entry Reason</t>
  </si>
  <si>
    <t>districtEntryType</t>
  </si>
  <si>
    <t>The process by which a student entered the school district.</t>
  </si>
  <si>
    <t>Entry Reasons</t>
  </si>
  <si>
    <t>48</t>
  </si>
  <si>
    <t>School Entry Date</t>
  </si>
  <si>
    <t>schoolEntryDate</t>
  </si>
  <si>
    <t>The month, day, and year on which the student entered and began to receive instructional services at the school during the current school year.</t>
  </si>
  <si>
    <t>49</t>
  </si>
  <si>
    <t>School Entry Reason</t>
  </si>
  <si>
    <t>schoolEntryType</t>
  </si>
  <si>
    <t>The process by which a student entered the school.</t>
  </si>
  <si>
    <t>50</t>
  </si>
  <si>
    <t>School Exit Date</t>
  </si>
  <si>
    <t>schoolExitDate</t>
  </si>
  <si>
    <t>The month, day, and year of the date of an individual's last attendance in school, the day on which an individual graduated, or the date on which it becomes known officially that an individual left that school  for this particular school year. (including changing schools within the district)</t>
  </si>
  <si>
    <t>Date</t>
  </si>
  <si>
    <t>51</t>
  </si>
  <si>
    <t>School Exit Reason</t>
  </si>
  <si>
    <t>schoolExitType</t>
  </si>
  <si>
    <t>The circumstances under which the student has exited from the school.</t>
  </si>
  <si>
    <t>Exit Reasons</t>
  </si>
  <si>
    <t>52</t>
  </si>
  <si>
    <t>District Exit Date</t>
  </si>
  <si>
    <t>districtExitDate</t>
  </si>
  <si>
    <t>The month, day, and year of the individual's last day of attendance (if known) within the District, the day on which an individual graduated, or the date on which it becomes known officially that an individual left the District for this particular school year.</t>
  </si>
  <si>
    <t>53</t>
  </si>
  <si>
    <t>District Exit Reason</t>
  </si>
  <si>
    <t>districtExitType</t>
  </si>
  <si>
    <t>The circumstances under which the student exited from membership in the district</t>
  </si>
  <si>
    <t>SLDS, Validation</t>
  </si>
  <si>
    <t>The SDE assigned four-digit number associated with the school where the student is enrolled in courses.</t>
  </si>
  <si>
    <t>9999</t>
  </si>
  <si>
    <t>PSF, EdFacts,  ESEA/ESSA, Certification, SPED, Adv. Opps.</t>
  </si>
  <si>
    <t xml:space="preserve">The Idaho state course code that best outlines the particular course section.  This code should be the same code used when matching  records between Staff Assignments, Student Course Enrollments and Master Course Schedule files. </t>
  </si>
  <si>
    <t>999999</t>
  </si>
  <si>
    <t>PSF, EdFacts,  ESEA/ESSA, Certification, SPED, Adv. Opps., CTE</t>
  </si>
  <si>
    <t>XXXXXXXXXXXXXXX</t>
  </si>
  <si>
    <t>The unique identifier for the specific section of an instructional course/assignment.</t>
  </si>
  <si>
    <t>XXXXXXXXXXXXXXXXXXXXXXXXX</t>
  </si>
  <si>
    <t>The district section name associated with the section ID number for the specific section of an instructional course/assignment.</t>
  </si>
  <si>
    <t>Course Entry Date</t>
  </si>
  <si>
    <t>entryDate</t>
  </si>
  <si>
    <t>The date in which the student started receiving instruction for the course.</t>
  </si>
  <si>
    <t>Course Exit Date</t>
  </si>
  <si>
    <t>exitDate</t>
  </si>
  <si>
    <t>The date in which the student stopped receiving instruction for the course.</t>
  </si>
  <si>
    <t>Course Exit Reason</t>
  </si>
  <si>
    <t>exitReason</t>
  </si>
  <si>
    <t>The reason in which the student exited course.</t>
  </si>
  <si>
    <t>EdFacts,  ESEA/ESSA,  Adv. Opps.</t>
  </si>
  <si>
    <t>Credits Offered</t>
  </si>
  <si>
    <t>creditsOffered</t>
  </si>
  <si>
    <t xml:space="preserve">The number of offered credit(s),  or credit like unit which is to be earned, awarded or otherwise given to the student, by the school, for meeting or displaying competency, providing adequate growth to support advancing the student to the next grade or class section. </t>
  </si>
  <si>
    <t>EdFacts,  ESEA/ESSA,  Adv. Opps., CTE, OSBE</t>
  </si>
  <si>
    <t>Credits Earned</t>
  </si>
  <si>
    <t>creditEarned</t>
  </si>
  <si>
    <t>Upon exiting a course, the credit or credit-like unit which has been earned, awarded or otherwise given to the student for meeting or displaying competency, advancing to the next grade or class section.</t>
  </si>
  <si>
    <t>Number</t>
  </si>
  <si>
    <t>Credit Recovery</t>
  </si>
  <si>
    <t>creditRecovery</t>
  </si>
  <si>
    <t>Is this a high school course being taken for “credit recovery” by the student? A credit recovery course is a course that the student enrolled in for an opportunity to recover high school graduation credits(s). IDAPA 08.02.03.112.03(c)(ii) Credit recovery and accumulation.</t>
  </si>
  <si>
    <t>Final Grade</t>
  </si>
  <si>
    <t>grade</t>
  </si>
  <si>
    <t>The final grade awarded to the student at course exit.  This field is a District decisional value which is required whenever creditEarned is greater than 0. May be reflected as;   P, Pass, F, Fail, A+, B-, C, D, UG – Ungraded, NG – Not Graded or numeric values such as 75, 80, 90, 97, etc.</t>
  </si>
  <si>
    <t>XXXX</t>
  </si>
  <si>
    <t>Dual Credit</t>
  </si>
  <si>
    <t>dualCredit</t>
  </si>
  <si>
    <t xml:space="preserve">Is this student enrolled in this course to earn Dual Credit (both high school and college credit)? Dual Credit means simultaneous credits to be awarded to the student on his or her secondary AND postsecondary transcript for the completion of a single course. </t>
  </si>
  <si>
    <t>College Credit Issued</t>
  </si>
  <si>
    <t>Ccissued</t>
  </si>
  <si>
    <t>If course is a dual credit course and student is receiving dual credit, has the college issued full credit for successfully completing the course?</t>
  </si>
  <si>
    <t>Support D/C</t>
  </si>
  <si>
    <t>College Credits Offered</t>
  </si>
  <si>
    <t>collegeCredits</t>
  </si>
  <si>
    <t>The number of credits to be awarded by the college for dual credit.</t>
  </si>
  <si>
    <t>College Issuing Credit</t>
  </si>
  <si>
    <t>CollegeID</t>
  </si>
  <si>
    <t>If student received dual credit, which college/university issued the college credit?</t>
  </si>
  <si>
    <t>College Credit</t>
  </si>
  <si>
    <t>Student Daily Attendance</t>
  </si>
  <si>
    <t>XXXXXXXXX</t>
  </si>
  <si>
    <t>The SDE assigned four-digit number associated with the school where the student is enrolled.</t>
  </si>
  <si>
    <t>Calendar Number</t>
  </si>
  <si>
    <t>calendarId</t>
  </si>
  <si>
    <t>A unique identifier for different calendars in use with the district.  Use "1" if only one calendar applies.  Example differences are if different grade bands have different calendars or for year round schools, if groups of students are in different tracks.</t>
  </si>
  <si>
    <t>999999999999999</t>
  </si>
  <si>
    <t>date</t>
  </si>
  <si>
    <t>The date of this attendance record.</t>
  </si>
  <si>
    <t>Daily Attendance</t>
  </si>
  <si>
    <t>attendance</t>
  </si>
  <si>
    <t>Decimal</t>
  </si>
  <si>
    <t>99.999</t>
  </si>
  <si>
    <t>PSF, EDFacts, Validation</t>
  </si>
  <si>
    <t>Absence Reason</t>
  </si>
  <si>
    <t>absenceReason</t>
  </si>
  <si>
    <t>The reason that zero was reported for the daily attendance on the selected instructional day.</t>
  </si>
  <si>
    <t>Self Directed Learner</t>
  </si>
  <si>
    <t>selfDirLearn</t>
  </si>
  <si>
    <t>For the date reported, was the student identified as a Self-Directed Learner as defined in Idaho Code 33-512D. SELF-DIRECTED LEARNER DESIGNATION</t>
  </si>
  <si>
    <t xml:space="preserve">A unique identifier for different calendars in use with the district.  Example differences are if different grade bands have different calendars or, for year round schools, if groups of students are in different tracks attending different days.  All students on the same calendar are expected to have the same attendance.   Within a given school year, you can not change the calendarType associated with the Calendar ID. </t>
  </si>
  <si>
    <t>Calendar Type</t>
  </si>
  <si>
    <t>calendarType</t>
  </si>
  <si>
    <t>The type of calendar described such as R-Regular, A-Alternative High School (hours), K-Kindergarten, DR-Dual Enrollment, etc.  The calendar type may not change for a given calendar ID within a given school year.</t>
  </si>
  <si>
    <t>1-2</t>
  </si>
  <si>
    <t>Kindergarten Session Type</t>
  </si>
  <si>
    <t>kSessionType</t>
  </si>
  <si>
    <t>The way that Kindergarten classes are scheduled for this Calendar.  Options are in the option set.  This field is required when the [Calendar Type] = K</t>
  </si>
  <si>
    <t>The calendar day for the current record.</t>
  </si>
  <si>
    <t>Instructional Time</t>
  </si>
  <si>
    <t>instructionTime</t>
  </si>
  <si>
    <t>The time available for instruction.  For most schools this should be 0, 0.5 or 1.0.  Less than 2.5 hours of instruction time should be reported as 0, 2.5 hours to 3.99 hours of instruction time is 0.5 days, and 4.0 hours or more of instruction time is 1.0 days.  The total of all time categories should not exceed 1.0 for any given day.  For alternative calendars or dual enrollment calendars, instruction time is entered in hours rather than .5 half or 1.0 whole days.</t>
  </si>
  <si>
    <t>99.9</t>
  </si>
  <si>
    <t>Emergency Closure Time</t>
  </si>
  <si>
    <t>emergClosureTime</t>
  </si>
  <si>
    <t>The time when the school had an unplanned closure. Neither students nor staff are expected to attend. Reasons for the closure include such things as weather events or widespread illness.  For most schools this should be 0, 0.5, or 1.0 days.  Less than 2.5 hours should be reported as 0, 2.5 hours to 4 hours is 0.5 days, and more than four hours as 1.0. For alternative calendars or dual enrollment calendars, instruction time is entered in hours rather than in ADA.</t>
  </si>
  <si>
    <t>Non-Instructional Time</t>
  </si>
  <si>
    <t>nonInstrucTime</t>
  </si>
  <si>
    <t>The time used for non-instruction -- vacation, staff development, or as a placeholder for non-instructional days.  For most schools this should be 0, 0.5, or 1.0.  Less than 2.5 hours should be reported as 0, 2.5 hours to 4 hours is 0.5 days, and more than four hours is 1.0 day.   For alternative calendars or dual enrollment calendars, instruction time is entered in hours rather than in ADA.</t>
  </si>
  <si>
    <t>Resident Identification Code</t>
  </si>
  <si>
    <t>resSchoolId</t>
  </si>
  <si>
    <t>The SDE assigned four-digit number associated with the school responsible for the students primary education.</t>
  </si>
  <si>
    <t>IDEA and OSEP compliance, EDFacts</t>
  </si>
  <si>
    <t>Service Identification Code</t>
  </si>
  <si>
    <t>servSchoolId</t>
  </si>
  <si>
    <t>The SDE assigned four-digit number associated with the school responsible for the students special education services.</t>
  </si>
  <si>
    <t>Exceptionality 1</t>
  </si>
  <si>
    <t>exceptionality1</t>
  </si>
  <si>
    <t>The primary exceptionality (disability category) of the student.</t>
  </si>
  <si>
    <t>Exceptionality</t>
  </si>
  <si>
    <t>Agg</t>
  </si>
  <si>
    <t>Environment</t>
  </si>
  <si>
    <t>environment</t>
  </si>
  <si>
    <t>The least restrictive environment (LRE) within which the student receives their education.</t>
  </si>
  <si>
    <t>Special Ed Environment</t>
  </si>
  <si>
    <t>minPerWeek</t>
  </si>
  <si>
    <t xml:space="preserve">The number of minutes per week that the PK student is under district supervision. Districts should include all the time they are in charge of the student. Example:
• Direct services
• Bus time
• Recess time
• Consultation
Required for grade level PK. Optional for students grade K-age 21. </t>
  </si>
  <si>
    <t>Early Childhood Referred by DHW</t>
  </si>
  <si>
    <t>ECReferredDhw</t>
  </si>
  <si>
    <t>For Early Childhood Transition -- A flag indicating if the Department of Health and Welfare, Infant Toddler Program, referred the student as potentially eligible for special education and related services.</t>
  </si>
  <si>
    <t>EC Eligibility Decision Timeliness</t>
  </si>
  <si>
    <t>ECDecTim</t>
  </si>
  <si>
    <t>For Early Childhood Transition -- A flag indicating if the student's initial eligibility determination was made on or prior to the student's third birthday.  If determined eligible, the individual education program (IEP) must have also been developed on or prior to the child’s third birthday to qualify as Yes.</t>
  </si>
  <si>
    <t>Eligibility Determination was late</t>
  </si>
  <si>
    <t>ECDecLate</t>
  </si>
  <si>
    <t xml:space="preserve">For Early Childhood Transition -- If the initial eligibility determination and/or IEP occurred after the child's third birthday, report the number of days beyond the students third birthdate that the Early Childhood Transitions requirements were completed. </t>
  </si>
  <si>
    <t>999</t>
  </si>
  <si>
    <t>Report &gt; 0, when ECDecTim = N. Else, leave blank.</t>
  </si>
  <si>
    <t>Eligibility Determination late reason</t>
  </si>
  <si>
    <t>ECLateRea</t>
  </si>
  <si>
    <t>For Early Childhood Transition -- If eligibility determination and/or IEP are late, report reason for delay.</t>
  </si>
  <si>
    <t>Early Childhood Determination Late</t>
  </si>
  <si>
    <t>Late Reason of other explanation</t>
  </si>
  <si>
    <t>ECLROther</t>
  </si>
  <si>
    <t>For Early Childhood Transition -- If eligibility determination for special education and related services was late, and reason was other, explain</t>
  </si>
  <si>
    <t>Initial Determination Date</t>
  </si>
  <si>
    <t>IDSpedDate</t>
  </si>
  <si>
    <t>The date of the student's initial eligibility determination for special education services and related services whether eligible or not. The date that the eligibility team came to consensus on whether the student was initially eligible or not eligible for special education and related services. Does not include re-evaluation.</t>
  </si>
  <si>
    <t>Program Entry Date</t>
  </si>
  <si>
    <t>SEEntryDate</t>
  </si>
  <si>
    <t>The date the student first received special education services during the current school year within the enrolled District or Charter.</t>
  </si>
  <si>
    <t>Active IEP Date</t>
  </si>
  <si>
    <t>IEPDate</t>
  </si>
  <si>
    <t>The current IEP meeting date. The date that a fully constituted IEP team met and came to consensus on the current IEP.</t>
  </si>
  <si>
    <t>DisAgg/Agg</t>
  </si>
  <si>
    <t>Initial Consent Date</t>
  </si>
  <si>
    <t>consentDate</t>
  </si>
  <si>
    <t>The date the LEA received the parent's written (signed) consent for initial assessment.  This starts the clock for the 60 day timeline. Required if IDSpedDate is after the last day of the prior school year or if 60DTline is reported.</t>
  </si>
  <si>
    <t>60-day timeline</t>
  </si>
  <si>
    <t>60DTline</t>
  </si>
  <si>
    <t xml:space="preserve">A flag indicating if the initial eligibility determination for special education was completed within 60 calendar days of receipt of parental consent for assessment. </t>
  </si>
  <si>
    <t>Required if IDSpedDate is after the last day of the prior School Year or if consentDate is reported.</t>
  </si>
  <si>
    <t>Days late</t>
  </si>
  <si>
    <t>DaysLate</t>
  </si>
  <si>
    <t xml:space="preserve">If the initial eligibility determination was not completed within the required 60 calendar day timeline, indicate the number of days late. </t>
  </si>
  <si>
    <t>Report ONLY when 60DTline = No</t>
  </si>
  <si>
    <t>Late Determination Reason</t>
  </si>
  <si>
    <t>LDRea</t>
  </si>
  <si>
    <t xml:space="preserve">The reason the initial eligibility determination exceeded 60 calendar days. </t>
  </si>
  <si>
    <t>Special Ed Determination Late</t>
  </si>
  <si>
    <t>If late due to state exception rule</t>
  </si>
  <si>
    <t>ExRule</t>
  </si>
  <si>
    <t xml:space="preserve">Explanation for choosing state exception rule (SE) as the reason the initial eligibility determination exceeded 60 calendar days. </t>
  </si>
  <si>
    <t>State Exception Rule</t>
  </si>
  <si>
    <t>Report ONLY when LDRea = SE</t>
  </si>
  <si>
    <t>Sped Eligibility</t>
  </si>
  <si>
    <t>SpedEligible</t>
  </si>
  <si>
    <t>The eligibility determination for special education services. Either based on the most recent evaluation decision or based on reasons that may have affected their eligibility (i.e. Graduated, Reached Maximum Age, etc.)</t>
  </si>
  <si>
    <t>Special Ed Eligibility (Yes/No/Undetermined)</t>
  </si>
  <si>
    <t>Undetermined Reason</t>
  </si>
  <si>
    <t>UndetRea</t>
  </si>
  <si>
    <t>The Reason for selecting undetermined for eligibility of special education services.</t>
  </si>
  <si>
    <t>Special Ed Status</t>
  </si>
  <si>
    <t>SEStatus</t>
  </si>
  <si>
    <r>
      <t>The status of special education services provided to the student. (</t>
    </r>
    <r>
      <rPr>
        <b/>
        <sz val="10"/>
        <rFont val="Arial"/>
        <family val="2"/>
      </rPr>
      <t>Note</t>
    </r>
    <r>
      <rPr>
        <sz val="10"/>
        <rFont val="Arial"/>
        <family val="2"/>
      </rPr>
      <t>: Tested-ineligible is for initial eligibility determination only)</t>
    </r>
  </si>
  <si>
    <t>Program Status</t>
  </si>
  <si>
    <t>Tested-ineligible is for use on initial eligibility only.</t>
  </si>
  <si>
    <t>Special Ed Exit Date</t>
  </si>
  <si>
    <t>SEExitDate</t>
  </si>
  <si>
    <t xml:space="preserve">The date the student left special education services for the current school year. </t>
  </si>
  <si>
    <t>MM/dd/YYYY OR MM/DD/YY</t>
  </si>
  <si>
    <t>Special Ed Exit Reason</t>
  </si>
  <si>
    <t>SEExitReason</t>
  </si>
  <si>
    <t>For students exiting special education services, leaving the LEA, having a temporary break in services due to summer break, or will be receiving extended school year services, report the reason.</t>
  </si>
  <si>
    <t>Program Exit Reason</t>
  </si>
  <si>
    <t>Case Manager Idaho Staff ID</t>
  </si>
  <si>
    <t>caseManager</t>
  </si>
  <si>
    <t>The Case Manager's unique Idaho Staff Identification Number. (i.e. Sped Director, Special Education Teacher, etc.) Report the Sped Director in the case where staff is contracted.</t>
  </si>
  <si>
    <t>XXXXXXXXXX</t>
  </si>
  <si>
    <t>Notes</t>
  </si>
  <si>
    <t>notes</t>
  </si>
  <si>
    <t>Any comments or explanatory notes for the data in this record. Required when Late Determination Reason (LDRea) is SD or ST</t>
  </si>
  <si>
    <t>Must report when LDRea is SD or ST.</t>
  </si>
  <si>
    <t>optional</t>
  </si>
  <si>
    <t>EDUID</t>
  </si>
  <si>
    <t>The SDE assigned four-digit number associated with the school where the student receives their education, i.e. where they are served</t>
  </si>
  <si>
    <t>State Funding - not used for Edfacts</t>
  </si>
  <si>
    <t>Academically Gifted</t>
  </si>
  <si>
    <t>academicGift</t>
  </si>
  <si>
    <t>A flag indicating if the student is academically gifted.</t>
  </si>
  <si>
    <t>Creatively Gifted</t>
  </si>
  <si>
    <t>creativeGift</t>
  </si>
  <si>
    <t>A flag indicating if the student is creatively gifted.</t>
  </si>
  <si>
    <t>Intellectually Gifted</t>
  </si>
  <si>
    <t>intellectualGift</t>
  </si>
  <si>
    <t>A flag indicating if the student is intellectually gifted</t>
  </si>
  <si>
    <t>Leadership Gifted</t>
  </si>
  <si>
    <t>leadershipGift</t>
  </si>
  <si>
    <t>A flag indicating if the student is gifted in the area of leadership.</t>
  </si>
  <si>
    <t>Visual/Performing Arts Gifted</t>
  </si>
  <si>
    <t>artsGift</t>
  </si>
  <si>
    <t>A flag indicating if the student is gifted in the visual or performing arts.</t>
  </si>
  <si>
    <t>Gifted Status</t>
  </si>
  <si>
    <t>GTStatus</t>
  </si>
  <si>
    <t>The status of the student relative to gifted/talented education (active or inactive)</t>
  </si>
  <si>
    <t>Gifted Program Entry Date</t>
  </si>
  <si>
    <t>GTEntryDate</t>
  </si>
  <si>
    <t>The date the student first received services for gifted/talented students during the current school year within the enrolled District.</t>
  </si>
  <si>
    <t>GAT Identified Date</t>
  </si>
  <si>
    <t>GTIdDate</t>
  </si>
  <si>
    <t>The date the student was first identified as qualifying for gifted/talented</t>
  </si>
  <si>
    <t>Gifted Talented Exit Date</t>
  </si>
  <si>
    <t>GTExitDate</t>
  </si>
  <si>
    <t>The date the student left gifted and talented services for the current school year.</t>
  </si>
  <si>
    <t>Gifted Talented Exit Reason</t>
  </si>
  <si>
    <t>GTExitReason</t>
  </si>
  <si>
    <t>If the student left gifted and talented services during the current school year, the reason that they exited.</t>
  </si>
  <si>
    <t>Gifted Exit Reason</t>
  </si>
  <si>
    <t>Idaho Staff ID</t>
  </si>
  <si>
    <t>idStaffId</t>
  </si>
  <si>
    <t>The staff members assigned unique Idaho identification number.</t>
  </si>
  <si>
    <t>SLDS, EDUID</t>
  </si>
  <si>
    <t xml:space="preserve">The complete legal surname/family name(s). That which may be inherited (passed) to an individual at birth, baptism, or during another naming ceremony, or through legal change. </t>
  </si>
  <si>
    <t>Certification, State funding, Validation</t>
  </si>
  <si>
    <t>An appendage, if any, used to denote an individual's generation in his family or title (e.g., Jr., Sr., III, PhD, etc.).</t>
  </si>
  <si>
    <t>Former Name(s)</t>
  </si>
  <si>
    <t>formerName</t>
  </si>
  <si>
    <t>Any names that were used in the past by the employee</t>
  </si>
  <si>
    <t xml:space="preserve">EdFacts, </t>
  </si>
  <si>
    <t>Proficient in Language other than English</t>
  </si>
  <si>
    <t>language</t>
  </si>
  <si>
    <t>If this staff member is proficient in a language other than English, the code for that language.  If the staff member is proficient in more than one other language, choose the most proficient.</t>
  </si>
  <si>
    <t>Has Certified Assignments</t>
  </si>
  <si>
    <t>isCertified</t>
  </si>
  <si>
    <t>Is this staff member to be treated as a Certified staff member?  That is, they have certified assignments, are on a contract, and all the fields applying to certified staff must be completed.</t>
  </si>
  <si>
    <t>PSF, Career Ladder, Certification, EdFacts</t>
  </si>
  <si>
    <t>Is Paraprofessional</t>
  </si>
  <si>
    <t>isParaPro</t>
  </si>
  <si>
    <t>For paraprofessionals working with students; the type of paraprofessional; Regular or Title 1? Must have para-professional instructional assignments, is not to be treated as a certified staff member.</t>
  </si>
  <si>
    <t>Parapro Type</t>
  </si>
  <si>
    <t>Initial Certification Year</t>
  </si>
  <si>
    <t>certificationYear</t>
  </si>
  <si>
    <t>The date teachers or administrators first received certification, regardless of state issuing the certification.  Leave blank for non-certified employees.</t>
  </si>
  <si>
    <t>1950</t>
  </si>
  <si>
    <t>Initial Certification State</t>
  </si>
  <si>
    <t>certificationState</t>
  </si>
  <si>
    <t>The state where the initial teaching certification was granted.</t>
  </si>
  <si>
    <t>State Province</t>
  </si>
  <si>
    <t>Highest Degree Claimed</t>
  </si>
  <si>
    <t>highestDegree</t>
  </si>
  <si>
    <t>The highest degree claimed by the employee for funding purposes.</t>
  </si>
  <si>
    <t>Education Degree</t>
  </si>
  <si>
    <t>Year of Degree Claimed</t>
  </si>
  <si>
    <t>degreeYear</t>
  </si>
  <si>
    <t>The year in which the highest degree being claimed was earned</t>
  </si>
  <si>
    <t>Institution Where Highest Claimed Degree was Obtained</t>
  </si>
  <si>
    <t>claimDegreeInst</t>
  </si>
  <si>
    <t>The name of the institution that granted the highest degree the employee has Claimed for funding purposes</t>
  </si>
  <si>
    <t>Higher Ed Institutions</t>
  </si>
  <si>
    <t>State of Institution Granting Claimed Degree</t>
  </si>
  <si>
    <t>claimDegreeState</t>
  </si>
  <si>
    <t>The two character postal code where the Institution of claimed Highest degree is based</t>
  </si>
  <si>
    <t>Major for Degree Claimed</t>
  </si>
  <si>
    <t>claimedMajor</t>
  </si>
  <si>
    <t>99.9999</t>
  </si>
  <si>
    <t>CIP Codes</t>
  </si>
  <si>
    <t>Minor of Degree Claimed</t>
  </si>
  <si>
    <t>claimedMinor</t>
  </si>
  <si>
    <t>Additional Credits beyond the claimed highest degree</t>
  </si>
  <si>
    <t>addlCredits</t>
  </si>
  <si>
    <t>College transcript credit earned beyond the highest degree claimed -- Not the total credits earned, but just those beyond the degree claimed for funding</t>
  </si>
  <si>
    <t>999.99</t>
  </si>
  <si>
    <t>200.00</t>
  </si>
  <si>
    <t>Additional Degree 1</t>
  </si>
  <si>
    <t>addlDegree1</t>
  </si>
  <si>
    <t>The first additional degree earned by this employee other than the one claimed for funding.  Need not be earned prior to the claimed degree.</t>
  </si>
  <si>
    <t>Year of Additional Degree 1</t>
  </si>
  <si>
    <t>degree1Year</t>
  </si>
  <si>
    <t>Year that the first additional degree was earned</t>
  </si>
  <si>
    <t>Institution Granting Additional Degree 1</t>
  </si>
  <si>
    <t>degree1Institution</t>
  </si>
  <si>
    <t>The name of the institution that granted the first additional degree</t>
  </si>
  <si>
    <t>Institution's State for Additional Degree 1</t>
  </si>
  <si>
    <t>degree1State</t>
  </si>
  <si>
    <t>The two character postal code where the Institution of the first additional degree is based</t>
  </si>
  <si>
    <t>Degree 1 Major</t>
  </si>
  <si>
    <t>degree1Major</t>
  </si>
  <si>
    <t>Degree 1 Minor (if any)</t>
  </si>
  <si>
    <t>degree1Minor</t>
  </si>
  <si>
    <t>Additional Degree 2</t>
  </si>
  <si>
    <t>addlDegree2</t>
  </si>
  <si>
    <t>The second additional degree earned by this employee other than the one claimed for funding.  Need not be earned prior to the claimed degree.</t>
  </si>
  <si>
    <t>Year of Additional Degree 2</t>
  </si>
  <si>
    <t>degree2Year</t>
  </si>
  <si>
    <t>Year that the second additional degree was earned</t>
  </si>
  <si>
    <t>Institution Granting Additional Degree 2</t>
  </si>
  <si>
    <t>degree2Institution</t>
  </si>
  <si>
    <t>The name of the institution that granted the second additional degree</t>
  </si>
  <si>
    <t>Institution's State for Additional Degree 2</t>
  </si>
  <si>
    <t>degree2State</t>
  </si>
  <si>
    <t>The two character postal code where the Institution of the second additional degree is based</t>
  </si>
  <si>
    <t>Degree 2 Major</t>
  </si>
  <si>
    <t>degree2Major</t>
  </si>
  <si>
    <t>Degree 2 Minor</t>
  </si>
  <si>
    <t>degree2Minor</t>
  </si>
  <si>
    <t>Additional Degree 3</t>
  </si>
  <si>
    <t>addlDegree3</t>
  </si>
  <si>
    <t>The third additional degree earned by this employee other than the one claimed for funding.  Need not be earned prior to the claimed degree.</t>
  </si>
  <si>
    <t>Year of Additional Degree 3</t>
  </si>
  <si>
    <t>degree3Year</t>
  </si>
  <si>
    <t>Year that the third additional degree was earned</t>
  </si>
  <si>
    <t>Institution Granting Additional Degree 3</t>
  </si>
  <si>
    <t>degree3Institution</t>
  </si>
  <si>
    <t>The name of the institution that granted the third additional degree</t>
  </si>
  <si>
    <t>Institution's State for Additional Degree 3</t>
  </si>
  <si>
    <t>degree3State</t>
  </si>
  <si>
    <t>The two character postal code where the Institution of the third additional degree is based</t>
  </si>
  <si>
    <t>Degree 3 Major</t>
  </si>
  <si>
    <t>degree3Major</t>
  </si>
  <si>
    <t>Degree 3 Minor</t>
  </si>
  <si>
    <t>degree3Minor</t>
  </si>
  <si>
    <t>Additional Degree 4</t>
  </si>
  <si>
    <t>addlDegree4</t>
  </si>
  <si>
    <t>The fourth additional degree earned by this employee other than the one claimed for funding.  Need not be earned prior to the claimed degree.</t>
  </si>
  <si>
    <t>Year of Additional Degree 4</t>
  </si>
  <si>
    <t>degree4Year</t>
  </si>
  <si>
    <t>Year that the fourth additional degree was earned</t>
  </si>
  <si>
    <t>Institution Granting Additional Degree 4</t>
  </si>
  <si>
    <t>degree4Institution</t>
  </si>
  <si>
    <t>The name of the institution that granted the fourth additional degree</t>
  </si>
  <si>
    <t>Institution's State for Additional Degree 4</t>
  </si>
  <si>
    <t>degree4State</t>
  </si>
  <si>
    <t>The two character postal code where the Institution of the fourth additional degree is based</t>
  </si>
  <si>
    <t>Degree 4 Major</t>
  </si>
  <si>
    <t>degree4Major</t>
  </si>
  <si>
    <t>Degree 4 Minor</t>
  </si>
  <si>
    <t>degree4Minor</t>
  </si>
  <si>
    <t>Non cert Minimum Credits Date</t>
  </si>
  <si>
    <t>minCreditsDate</t>
  </si>
  <si>
    <t>For non-certified paraprofessional instructional assistants, the date they met the ESSA (formerly NCLB) minimum college credits threshold.</t>
  </si>
  <si>
    <t>Minimum Credits Institution</t>
  </si>
  <si>
    <t>minCreditsIHE</t>
  </si>
  <si>
    <t>For non-certified paraprofessional instructional assistants, the institution granting the credits</t>
  </si>
  <si>
    <t>Minimum Credits Institution State</t>
  </si>
  <si>
    <t>minCreditsIHEState</t>
  </si>
  <si>
    <t>For non-certified paraprofessional instructional assistants, the state where the institution that granted the credit is based</t>
  </si>
  <si>
    <t>54</t>
  </si>
  <si>
    <t>Parapro High School Diploma Type</t>
  </si>
  <si>
    <t>paraHSDiplomaType</t>
  </si>
  <si>
    <t xml:space="preserve">For non-certified paraprofessional instructional assistants, which document was obtained to demonstrate High School completion or equivalency? </t>
  </si>
  <si>
    <t>Parapro High School Degree</t>
  </si>
  <si>
    <t>PSF, ESEA/ESSA</t>
  </si>
  <si>
    <t>55</t>
  </si>
  <si>
    <t>ParaPro Exam Date</t>
  </si>
  <si>
    <t>paraExamDate</t>
  </si>
  <si>
    <t xml:space="preserve">For non-certified paraprofessional instructional assistants, the date they passed an approved paraprofessional assessment. </t>
  </si>
  <si>
    <t>56</t>
  </si>
  <si>
    <t>ParaPro Exam Score</t>
  </si>
  <si>
    <t>paraExamScore</t>
  </si>
  <si>
    <t>For non-certified paraprofessional instructional assistants, the score from the approved paraprofessional assessment.</t>
  </si>
  <si>
    <t>57</t>
  </si>
  <si>
    <t>Is ParaPro Praxis</t>
  </si>
  <si>
    <t>paraPraxis</t>
  </si>
  <si>
    <t>For non-certified paraprofessional instructional assistants, a flag indicating if they took an approved paraprofessional assessment.</t>
  </si>
  <si>
    <t>58</t>
  </si>
  <si>
    <t>Is ParaPro Out of State</t>
  </si>
  <si>
    <t>paraExamOS</t>
  </si>
  <si>
    <t>For non-certified paraprofessional instructional assistants, a flag indicating if an approved paraprofessional assessment was taken in another state</t>
  </si>
  <si>
    <t>59</t>
  </si>
  <si>
    <t>The SDE assigned four-digit number associated with the school where the employee has their primary responsibility or where they receive their mail.</t>
  </si>
  <si>
    <t>60</t>
  </si>
  <si>
    <t>Transcript Year</t>
  </si>
  <si>
    <t>transcriptYear</t>
  </si>
  <si>
    <t>The most recent year the staff member received college transcript credits.</t>
  </si>
  <si>
    <t>PSF, Career Ladder, Certification</t>
  </si>
  <si>
    <t>61</t>
  </si>
  <si>
    <t>Prior Idaho Teaching Experience</t>
  </si>
  <si>
    <t>idahoK12Experience</t>
  </si>
  <si>
    <t>The total accumulated number of completed years of certificated public school educational experience (K-12) in Idaho. Do not include Pre-K experience. (Exception: early childhood special education in a public school or accredited school.)
• Must be 50% or more in a certificated position.
• Each year is considered on its own; partial years cannot be combined.
• A certificated employee new to the profession always begins with zero years of experience. 
• Leave blank for non-certified staff</t>
  </si>
  <si>
    <t>PSF, Career Ladder</t>
  </si>
  <si>
    <t>62</t>
  </si>
  <si>
    <t>Prior Non-Idaho Public Teaching Experience</t>
  </si>
  <si>
    <t>k12PublicExperience</t>
  </si>
  <si>
    <t>The total accumulated number of completed years of certificated public school educational experience (K-12) in another state (excluding Idaho). Do not include Pre-K experience. (Exception: early childhood special education in a public school or accredited school.)
• Must be 50% or more in a certificated position.
• Each year is considered on its own; partial years cannot be combined.
• A certificated employee new to the profession always begins with zero years of experience. 
• Leave blank for non-certified staff</t>
  </si>
  <si>
    <t>63</t>
  </si>
  <si>
    <t>Prior Private/Parochial Teaching Experience</t>
  </si>
  <si>
    <t>k12PrivateExperience</t>
  </si>
  <si>
    <t>The total accumulated number of completed years of certificated non-public educational experience (K-12) at an accredited non-public school. 
• Must be 50% or more in a certificated position.
• Each year is considered on its own; partial years cannot be combined.
• A certificated employee new to the profession always begins with zero years of experience. 
• Leave blank for non-certified staff</t>
  </si>
  <si>
    <t>64</t>
  </si>
  <si>
    <t>Prior Idaho Higher Ed Teaching Experience</t>
  </si>
  <si>
    <t>idahoHEExperience</t>
  </si>
  <si>
    <t>The total accumulated number of completed years of experience with an Idaho accredited college or university where the experience was the equivalent to K-12 instruction. 
• Must be 50% or more in a certificated position.
• Each year is considered on its own; partial years cannot be combined.
• A certificated employee new to the profession always begins with zero years of experience. 
• Leave blank for non-certified staff</t>
  </si>
  <si>
    <t>65</t>
  </si>
  <si>
    <t>Prior Higher Ed Teaching Experience - other states</t>
  </si>
  <si>
    <t>HEExperience</t>
  </si>
  <si>
    <t>The total accumulated number of completed years of experience with an accredited college or university in another state (excluding Idaho) where the experience was the equivalent to K-12 instruction. 
• Must be 50% or more in a certificated position.
• Each year is considered on its own; partial years cannot be combined.
• A certificated employee new to the profession always begins with zero years of experience. 
• Leave blank for non-certified staff</t>
  </si>
  <si>
    <t>66</t>
  </si>
  <si>
    <t>Employment Date</t>
  </si>
  <si>
    <t>hireDate</t>
  </si>
  <si>
    <t>The month, day, and year the employee began current, continuous employment with the district/charter. If a non-certificated employee is being added as a certificated employee, use the date of certificated employment.</t>
  </si>
  <si>
    <t>67</t>
  </si>
  <si>
    <t>Years in District</t>
  </si>
  <si>
    <t>yearsInDistrict</t>
  </si>
  <si>
    <t xml:space="preserve">For certified and/or administrative staff, the number of years the employee has been employed in the district in a certificated position. Includes the current year. Count starts with one. </t>
  </si>
  <si>
    <t>99</t>
  </si>
  <si>
    <t>68</t>
  </si>
  <si>
    <t>Employment Status</t>
  </si>
  <si>
    <t>employmentStatus</t>
  </si>
  <si>
    <t>The employee's employment status</t>
  </si>
  <si>
    <t>PSF, Career Ladder, Certification, EDFacts</t>
  </si>
  <si>
    <t>69</t>
  </si>
  <si>
    <t>Contract 1 Type</t>
  </si>
  <si>
    <t>contractType1</t>
  </si>
  <si>
    <t>For certified staff, the type of contract that was actually signed for the current school year.</t>
  </si>
  <si>
    <t>Contract Type</t>
  </si>
  <si>
    <t>70</t>
  </si>
  <si>
    <t>Contract 1 Base Salary</t>
  </si>
  <si>
    <t>baseSalary1</t>
  </si>
  <si>
    <t>For certified staff, the base salary on the Contract rounded to the nearest dollar.</t>
  </si>
  <si>
    <t>71</t>
  </si>
  <si>
    <t>Contract 1 Days</t>
  </si>
  <si>
    <t>contractDays1</t>
  </si>
  <si>
    <t>For certified staff, The annual number of days based on a five day work week contracted in contract 1.</t>
  </si>
  <si>
    <t>261</t>
  </si>
  <si>
    <t>72</t>
  </si>
  <si>
    <t>Contract 1 Hours</t>
  </si>
  <si>
    <t>contractHours1</t>
  </si>
  <si>
    <t>For certified staff, the total annual hours contracted in contract 1 for the year.</t>
  </si>
  <si>
    <t>2080</t>
  </si>
  <si>
    <t>73</t>
  </si>
  <si>
    <t>Contract 1 FTE</t>
  </si>
  <si>
    <t>contractFTE1</t>
  </si>
  <si>
    <t>The full-time equivalent for contract 1.  FTE is calculated by dividing the amount of time employed by the time normally required for a full-time position.</t>
  </si>
  <si>
    <t>1.00</t>
  </si>
  <si>
    <t>Staff Demographic match</t>
  </si>
  <si>
    <t>74</t>
  </si>
  <si>
    <t>Contract 1 Funding Code 1</t>
  </si>
  <si>
    <t>c1FundSource1</t>
  </si>
  <si>
    <t>The code for how the employee is funded - source 1</t>
  </si>
  <si>
    <t>Funding Source</t>
  </si>
  <si>
    <t>75</t>
  </si>
  <si>
    <t>Contract 1 Percent Source 1</t>
  </si>
  <si>
    <t>c1PercentSource1</t>
  </si>
  <si>
    <t>The percentage of funding from source 1</t>
  </si>
  <si>
    <t>100.00</t>
  </si>
  <si>
    <t>76</t>
  </si>
  <si>
    <t>Contract 1 Funding Code 2</t>
  </si>
  <si>
    <t>c1FundSource2</t>
  </si>
  <si>
    <t>The code for how the employee is funded - source 2 - if any</t>
  </si>
  <si>
    <t>77</t>
  </si>
  <si>
    <t>Contract 1 Percent Source 2</t>
  </si>
  <si>
    <t>c1PercentSource2</t>
  </si>
  <si>
    <t>The percentage of funding from source 2</t>
  </si>
  <si>
    <t>78</t>
  </si>
  <si>
    <t>Contract 1 Funding Code 3</t>
  </si>
  <si>
    <t>c1FundSource3</t>
  </si>
  <si>
    <t>The code for how the employee is funded - source 3 - if any</t>
  </si>
  <si>
    <t>79</t>
  </si>
  <si>
    <t>Contract 1 Percent Source 3</t>
  </si>
  <si>
    <t>c1PercentSource3</t>
  </si>
  <si>
    <t>The percentage of funding from source 3</t>
  </si>
  <si>
    <t>80</t>
  </si>
  <si>
    <t>Contract 1 Funding Code 4</t>
  </si>
  <si>
    <t>c1FundSource4</t>
  </si>
  <si>
    <t>The code for how the employee is funded - source 4 - if any</t>
  </si>
  <si>
    <t>81</t>
  </si>
  <si>
    <t>Contract 1 Percent Source 4</t>
  </si>
  <si>
    <t>c1PercentSource4</t>
  </si>
  <si>
    <t>The percentage of funding from source 4</t>
  </si>
  <si>
    <t>82</t>
  </si>
  <si>
    <t>Contract 2 Type</t>
  </si>
  <si>
    <t>contractType2</t>
  </si>
  <si>
    <t>For certified staff, the type of additional contract that was actually signed for the current school year. Must have contract 1 data to use contract 2.</t>
  </si>
  <si>
    <t>83</t>
  </si>
  <si>
    <t>Contract 2 Base Salary</t>
  </si>
  <si>
    <t>baseSalary2</t>
  </si>
  <si>
    <t>The base salary on contract 2, if any, rounded to the nearest dollar.</t>
  </si>
  <si>
    <t>84</t>
  </si>
  <si>
    <t>Contract 2 Days</t>
  </si>
  <si>
    <t>contractDays2</t>
  </si>
  <si>
    <t>For certified staff, the annual number of days if any, based on a five day work week contracted on contract 2.</t>
  </si>
  <si>
    <t>85</t>
  </si>
  <si>
    <t>Contract 2 Hours</t>
  </si>
  <si>
    <t>contractHours2</t>
  </si>
  <si>
    <t>For certified staff, the total annual hours contracted in contract 2, if any, for the year.</t>
  </si>
  <si>
    <t>86</t>
  </si>
  <si>
    <t>Contract 2 FTE</t>
  </si>
  <si>
    <t>contractFTE2</t>
  </si>
  <si>
    <t>The full time equivalent for contract 2.  The FTE is calculated by dividing the amount of time employed by the time normally required for a full-time position.</t>
  </si>
  <si>
    <t>87</t>
  </si>
  <si>
    <t>Contract 2 Funding Code 1</t>
  </si>
  <si>
    <t>c2FundSource1</t>
  </si>
  <si>
    <t>88</t>
  </si>
  <si>
    <t>Contract 2 Percent Source 1</t>
  </si>
  <si>
    <t>c2PercentSource1</t>
  </si>
  <si>
    <t>89</t>
  </si>
  <si>
    <t>Contract 2 Funding Code 2</t>
  </si>
  <si>
    <t>c2FundSource2</t>
  </si>
  <si>
    <t>90</t>
  </si>
  <si>
    <t>Contract 2 Percent Source 2</t>
  </si>
  <si>
    <t>c2PercentSource2</t>
  </si>
  <si>
    <t>91</t>
  </si>
  <si>
    <t>Contract 2 Funding Code 3</t>
  </si>
  <si>
    <t>c2FundSource3</t>
  </si>
  <si>
    <t>92</t>
  </si>
  <si>
    <t>Contract 2 Percent Source 3</t>
  </si>
  <si>
    <t>c2PercentSource3</t>
  </si>
  <si>
    <t>93</t>
  </si>
  <si>
    <t>Contract 2 Funding Code 4</t>
  </si>
  <si>
    <t>c2FundSource4</t>
  </si>
  <si>
    <t>94</t>
  </si>
  <si>
    <t>Contract 2 Percent Source 4</t>
  </si>
  <si>
    <t>c2PercentSource4</t>
  </si>
  <si>
    <t>95</t>
  </si>
  <si>
    <t>Contract 3 Type</t>
  </si>
  <si>
    <t>contractType3</t>
  </si>
  <si>
    <t>For certified staff, the type of second additional contract that was actually signed for the current school year. Must have contract 2 data to use contract 3.</t>
  </si>
  <si>
    <t>96</t>
  </si>
  <si>
    <t>Contract 3 Base Salary</t>
  </si>
  <si>
    <t>baseSalary3</t>
  </si>
  <si>
    <t>The base salary on contract 3, if any, rounded to the nearest dollar.</t>
  </si>
  <si>
    <t>97</t>
  </si>
  <si>
    <t>Contract 3 Days</t>
  </si>
  <si>
    <t>contractDays3</t>
  </si>
  <si>
    <t>For certified staff, the annual number of days if any, based on a five day work week contracted on contract 3.</t>
  </si>
  <si>
    <t>98</t>
  </si>
  <si>
    <t>Contract 3 Hours</t>
  </si>
  <si>
    <t>contractHours3</t>
  </si>
  <si>
    <t>For certified staff, the total annual hours contracted in contract 3, if any, for the year.</t>
  </si>
  <si>
    <t>Contract 3 FTE</t>
  </si>
  <si>
    <t>contractFTE3</t>
  </si>
  <si>
    <t>The full time equivalent for contract 3.  The FTE is calculated by dividing the amount of time employed by the time normally required for a full-time position.</t>
  </si>
  <si>
    <t>100</t>
  </si>
  <si>
    <t>Contract 3 Funding Code 1</t>
  </si>
  <si>
    <t>c3FundSource1</t>
  </si>
  <si>
    <t>101</t>
  </si>
  <si>
    <t>Contract 3 Percent Source 1</t>
  </si>
  <si>
    <t>c3PercentSource1</t>
  </si>
  <si>
    <t>102</t>
  </si>
  <si>
    <t>Contract 3 Funding Code 2</t>
  </si>
  <si>
    <t>c3FundSource2</t>
  </si>
  <si>
    <t>103</t>
  </si>
  <si>
    <t>Contract 3 Percent Source 2</t>
  </si>
  <si>
    <t>c3PercentSource2</t>
  </si>
  <si>
    <t>104</t>
  </si>
  <si>
    <t>Contract 3 Funding Code 3</t>
  </si>
  <si>
    <t>c3FundSource3</t>
  </si>
  <si>
    <t>105</t>
  </si>
  <si>
    <t>Contract 3 Percent Source 3</t>
  </si>
  <si>
    <t>c3PercentSource3</t>
  </si>
  <si>
    <t>106</t>
  </si>
  <si>
    <t>Contract 3 Funding Code 4</t>
  </si>
  <si>
    <t>c3FundSource4</t>
  </si>
  <si>
    <t>107</t>
  </si>
  <si>
    <t>Contract 3 Percent Source 4</t>
  </si>
  <si>
    <t>c3PercentSource4</t>
  </si>
  <si>
    <t>108</t>
  </si>
  <si>
    <t>Extra Pay 1 Code</t>
  </si>
  <si>
    <t>extraPay1</t>
  </si>
  <si>
    <t>For certified and/or administrative staff, the code for the  special or supplemental duties performed which are not in the base pay.</t>
  </si>
  <si>
    <t>Extra Pay Type</t>
  </si>
  <si>
    <t>109</t>
  </si>
  <si>
    <t>Extra Pay 1 Amount</t>
  </si>
  <si>
    <t>extraPayAmount1</t>
  </si>
  <si>
    <t>The amount of extra pay received rounded to the nearest dollar.</t>
  </si>
  <si>
    <t>110</t>
  </si>
  <si>
    <t>Extra Pay 2 Code</t>
  </si>
  <si>
    <t>extraPay2</t>
  </si>
  <si>
    <t>111</t>
  </si>
  <si>
    <t>Extra Pay 2 Amount</t>
  </si>
  <si>
    <t>extraPayAmount2</t>
  </si>
  <si>
    <t>112</t>
  </si>
  <si>
    <t>Extra Pay 3 Code</t>
  </si>
  <si>
    <t>extraPay3</t>
  </si>
  <si>
    <t>113</t>
  </si>
  <si>
    <t>Extra Pay 3 Amount</t>
  </si>
  <si>
    <t>extraPayAmount3</t>
  </si>
  <si>
    <t>114</t>
  </si>
  <si>
    <t>Extra Pay 4 Code</t>
  </si>
  <si>
    <t>extraPay4</t>
  </si>
  <si>
    <t>115</t>
  </si>
  <si>
    <t>Extra Pay 4 Amount</t>
  </si>
  <si>
    <t>extraPayAmount4</t>
  </si>
  <si>
    <t>116</t>
  </si>
  <si>
    <t>Non Certified Funding Code 1</t>
  </si>
  <si>
    <t>ncFundSource1</t>
  </si>
  <si>
    <t>PSF, ESEA</t>
  </si>
  <si>
    <t>117</t>
  </si>
  <si>
    <t>Non Certified Percent Source 1</t>
  </si>
  <si>
    <t>ncPercentSource1</t>
  </si>
  <si>
    <t>118</t>
  </si>
  <si>
    <t>Non Certified Funding Code 2</t>
  </si>
  <si>
    <t>ncFundSource2</t>
  </si>
  <si>
    <t>119</t>
  </si>
  <si>
    <t>Non Certified Percent Source 2</t>
  </si>
  <si>
    <t>ncPercentSource2</t>
  </si>
  <si>
    <t>120</t>
  </si>
  <si>
    <t>Non Certified Funding Code 3</t>
  </si>
  <si>
    <t>ncFundSource3</t>
  </si>
  <si>
    <t>121</t>
  </si>
  <si>
    <t>Non Certified Percent Source 3</t>
  </si>
  <si>
    <t>ncPercentSource3</t>
  </si>
  <si>
    <t>122</t>
  </si>
  <si>
    <t>Non Certified Funding Code 4</t>
  </si>
  <si>
    <t>ncFundSource4</t>
  </si>
  <si>
    <t>123</t>
  </si>
  <si>
    <t>Non Certified Percent Source 4</t>
  </si>
  <si>
    <t>ncPercentSource4</t>
  </si>
  <si>
    <t>124</t>
  </si>
  <si>
    <t>Inactive/Termination Date</t>
  </si>
  <si>
    <t>terminationDate</t>
  </si>
  <si>
    <t>The month, day, and year that the employee became or will become inactive or terminated.</t>
  </si>
  <si>
    <t>125</t>
  </si>
  <si>
    <t>Inactive/Termination Reason Code</t>
  </si>
  <si>
    <t>terminationReason</t>
  </si>
  <si>
    <t>The reason an employee became or will become inactive</t>
  </si>
  <si>
    <t>Staff Exit Reason</t>
  </si>
  <si>
    <t>126</t>
  </si>
  <si>
    <t>Any comments or explanatory notes for the data in this record.</t>
  </si>
  <si>
    <t>The SDE assigned four-digit number associated with the school where the assignment is held.</t>
  </si>
  <si>
    <t>Contract Number</t>
  </si>
  <si>
    <t>contractNo</t>
  </si>
  <si>
    <t>The contract (1, 2 or 3) associated with this assignment.</t>
  </si>
  <si>
    <t>Assignment Code</t>
  </si>
  <si>
    <t>assignment</t>
  </si>
  <si>
    <t xml:space="preserve">The Idaho state assignment code that best outlines the particular assignment.  This code should be the same code used when matching instructional staff records between Staff Assignments, Student Course Enrollments and Master Course Schedule files.  </t>
  </si>
  <si>
    <t>Staff Assignment Code</t>
  </si>
  <si>
    <t>Teaching Role</t>
  </si>
  <si>
    <t>teachingRole</t>
  </si>
  <si>
    <t>For Teachers, the primary role they play in the classroom</t>
  </si>
  <si>
    <t>FTE</t>
  </si>
  <si>
    <t>The amount of time required to perform this specific assignment stated as a proportion of a full-time equivalent position.</t>
  </si>
  <si>
    <t>9.999</t>
  </si>
  <si>
    <t>1.999</t>
  </si>
  <si>
    <t>Non-Certified Rate</t>
  </si>
  <si>
    <t>noncertRate</t>
  </si>
  <si>
    <t>The employee's rate of pay per hour.</t>
  </si>
  <si>
    <t>Non-Certified Hours per week</t>
  </si>
  <si>
    <t>noncertHours</t>
  </si>
  <si>
    <t>Enter the number of hours (rounded to the nearest half hour that the employee works each week; a 40-hour, 14 minute week would be reported as 40.0 while a 40-hour, 15 minute week would be reported as 40.5.</t>
  </si>
  <si>
    <t>99.5</t>
  </si>
  <si>
    <t>Non-Certified Weeks</t>
  </si>
  <si>
    <t>noncertWeeks</t>
  </si>
  <si>
    <t>Enter the number of weeks that the employee is scheduled to work during the fiscal year (rounded to the nearest whole week)</t>
  </si>
  <si>
    <t>Assignment Start Date</t>
  </si>
  <si>
    <t>startDate</t>
  </si>
  <si>
    <t>The date this assignment starts.</t>
  </si>
  <si>
    <t>Assignment End Date</t>
  </si>
  <si>
    <t>endDate</t>
  </si>
  <si>
    <t>The date this assignment ends.</t>
  </si>
  <si>
    <t>Incident Identifier</t>
  </si>
  <si>
    <t>incidentId</t>
  </si>
  <si>
    <t>A local (school or district) assigned unique identifier for each particular incident.  NOTE:  if multiple students are involved in a single incident that results in discipline for more than one student, the incident ID would be the same for all students involved in the incident while the actionId would be different for each student.</t>
  </si>
  <si>
    <t>Action Date</t>
  </si>
  <si>
    <t>actionDate</t>
  </si>
  <si>
    <t>Date the Disciplinary action was imposed</t>
  </si>
  <si>
    <t>Unique Action ID</t>
  </si>
  <si>
    <t>actionId</t>
  </si>
  <si>
    <t>A local (school or the district) assigned unique identifier (within the school or the district) to identify each specific disciplinary action for this student.</t>
  </si>
  <si>
    <t>Primary Action Type Code</t>
  </si>
  <si>
    <t>primaryAction</t>
  </si>
  <si>
    <t>The type of disciplinary action assigned (see option set). Disciplinary actions of those types having at least half-day duration (or any duration when juvenile justice or law enforcement is involved) must be reported.</t>
  </si>
  <si>
    <t>Disciplinary Action Type</t>
  </si>
  <si>
    <t>Original Duration</t>
  </si>
  <si>
    <t>origDuration</t>
  </si>
  <si>
    <t>The original length of time (in days), rounded up to the nearest half school day for the assigned primary disciplinary action. When required to report a primary action with a duration of less than half-day, report as the minimum half-day duration.</t>
  </si>
  <si>
    <t>Reporting District ID</t>
  </si>
  <si>
    <t>reportingDistrictId</t>
  </si>
  <si>
    <t>The SDE assigned district number in the Idaho Education Directory for the district that provides the educational services to the student and that is imposing the disciplinary action.</t>
  </si>
  <si>
    <t>Districts</t>
  </si>
  <si>
    <t>Responsible District ID</t>
  </si>
  <si>
    <t>responsibleDistrictId</t>
  </si>
  <si>
    <t>For students with an IEP, the SDE assigned district number for the district responsible for the IEP</t>
  </si>
  <si>
    <t>Reporting School Identification Code</t>
  </si>
  <si>
    <t>The SDE assigned four-digit number associated with the school providing educational services to the student</t>
  </si>
  <si>
    <t>Student has IEP</t>
  </si>
  <si>
    <t>IEP</t>
  </si>
  <si>
    <t>Does the student have an active IEP under IDEA at the time of the disciplinary action</t>
  </si>
  <si>
    <t>Interim Removal Reason</t>
  </si>
  <si>
    <t>interimReason</t>
  </si>
  <si>
    <t>The reason children with disabilities were unilaterally removed to an interim alternative education setting.  Required when action is URI or RHO.</t>
  </si>
  <si>
    <t>IDEA Interim Removal Reason</t>
  </si>
  <si>
    <t>Weapon Involved</t>
  </si>
  <si>
    <t>weapon</t>
  </si>
  <si>
    <t>A flag indicating if an incident triggering this disciplinary action involved a weapon</t>
  </si>
  <si>
    <t>Weapon Type</t>
  </si>
  <si>
    <t>weaponType</t>
  </si>
  <si>
    <t>If a weapon was involved, the code for the type of weapon</t>
  </si>
  <si>
    <t>Justice System Involved</t>
  </si>
  <si>
    <t>justiceSystem</t>
  </si>
  <si>
    <t>A flag indicating if juvenile justice or law enforcement was involved.  Does not include referral to a school resource officer, if the referral goes no further.</t>
  </si>
  <si>
    <t>Modified Duration</t>
  </si>
  <si>
    <t>modDuration</t>
  </si>
  <si>
    <t>If the originally imposed duration was modified, the final modified duration imposed in half-days.</t>
  </si>
  <si>
    <t>Modified Duration Reason</t>
  </si>
  <si>
    <t>modDurationReason</t>
  </si>
  <si>
    <t>If the originally imposed duration was modified, the reason the duration was modified.</t>
  </si>
  <si>
    <t>Related to Zero Tolerance Policy</t>
  </si>
  <si>
    <t>zeroTolerance</t>
  </si>
  <si>
    <t>An indication of whether or not the action taken was imposed as a consequence of state or local zero tolerance policies</t>
  </si>
  <si>
    <t>Educational Services After Removal</t>
  </si>
  <si>
    <t>services</t>
  </si>
  <si>
    <t>A flag indicating if educational services were provided while the student was removed from his/her regular setting for disciplinary reasons.</t>
  </si>
  <si>
    <t>Any comments or explanatory notes for the data in this record. Required when Modified Duration Reason (modDurationReason) is 12 - Other</t>
  </si>
  <si>
    <t>Per Administrative Code 08.02.01.251 (01)(c)</t>
  </si>
  <si>
    <t>Idaho State Person ID</t>
  </si>
  <si>
    <t>idPersonId</t>
  </si>
  <si>
    <t>The assigned unique Idaho identification number for this student.</t>
  </si>
  <si>
    <t>Address Type</t>
  </si>
  <si>
    <t>addressType</t>
  </si>
  <si>
    <t xml:space="preserve">The type of address being reported for this person. </t>
  </si>
  <si>
    <t>Address Line 1</t>
  </si>
  <si>
    <t>addressLine1</t>
  </si>
  <si>
    <t>The first line of the address for this person. This generally contains a building/house number and street name, post office box number, etc.  Do not use post office box number with address type P (physical).</t>
  </si>
  <si>
    <t>Address Line 2</t>
  </si>
  <si>
    <t>addressLine2</t>
  </si>
  <si>
    <t>The second line of the address, when applicable, for this person. This generally contains additional information such as apartments, suites, ATTN, company name, C/O or delivery instructions.</t>
  </si>
  <si>
    <t>Address City</t>
  </si>
  <si>
    <t>addressCity</t>
  </si>
  <si>
    <t>The name of the city in which this address is located.</t>
  </si>
  <si>
    <t>Address State</t>
  </si>
  <si>
    <t>addressState</t>
  </si>
  <si>
    <t>The two-character abbreviation for the state in which this city is located.</t>
  </si>
  <si>
    <t>Address Zip Code</t>
  </si>
  <si>
    <t>addressZipCode</t>
  </si>
  <si>
    <t>The five or nine digit zip code for the mailing address.</t>
  </si>
  <si>
    <t>99999 or 999999999 or A1A2Z2</t>
  </si>
  <si>
    <t>Last Updated Date</t>
  </si>
  <si>
    <t>lastUpdated</t>
  </si>
  <si>
    <t>The date the person's address record was last updated. If unavailable, the date the person record itself was last updated.</t>
  </si>
  <si>
    <t>Open Enrollment Snapshot Date</t>
  </si>
  <si>
    <t>openEnrollDate</t>
  </si>
  <si>
    <t>Per IC 33-1409, districts must report open enrollment to the State at least four times per year. The State has selected four snapshot dates each school year to report: 10/1, 12/1, 2/1, and 4/1. If the date is not in-session, the data for the most recent prior school day may be used but the exact snapshot date of 10/1, 12/1, 2/1, and/or 4/1 must be the date reported.</t>
  </si>
  <si>
    <t>The SDE assigned four-digit number associated with the school being reported for Open Enrollment</t>
  </si>
  <si>
    <t>The grade level in the school being reported for Open Enrollment.</t>
  </si>
  <si>
    <t>Open Enrollment Program Type</t>
  </si>
  <si>
    <t>programType</t>
  </si>
  <si>
    <t>The code associated with the program served by the school being reported for Open Enrollment</t>
  </si>
  <si>
    <t>Maximum Enrollment Allowed</t>
  </si>
  <si>
    <t>maxEnrollment</t>
  </si>
  <si>
    <t>The maximum number of students able to enroll into the grade and program at the school being reported for Open Enrollment.</t>
  </si>
  <si>
    <t>Space Available</t>
  </si>
  <si>
    <t>spaceAvailable</t>
  </si>
  <si>
    <t>The number of available seats in this grade and program at the school being reported for the Open Enrollment snapshot date.</t>
  </si>
  <si>
    <t>Applications Received</t>
  </si>
  <si>
    <t>appsReceived</t>
  </si>
  <si>
    <t>Applications Accepted/Approved</t>
  </si>
  <si>
    <t>appsAccepted</t>
  </si>
  <si>
    <t>Applications Denied</t>
  </si>
  <si>
    <t>appsDenied</t>
  </si>
  <si>
    <t>ISEE - Program Contacts</t>
  </si>
  <si>
    <t>Idaho District Identifier</t>
  </si>
  <si>
    <t>districtId</t>
  </si>
  <si>
    <t>The Idaho assigned district identifier.</t>
  </si>
  <si>
    <t>The SDE assigned four-digit number associated with the school for which this role applies.  District level roles should be assigned to the district main administration building identifier.</t>
  </si>
  <si>
    <t>Role Code</t>
  </si>
  <si>
    <t>roleCode</t>
  </si>
  <si>
    <t>The role code associated with the program for which a designated person needs to receive communication.</t>
  </si>
  <si>
    <t>Program Contact Role</t>
  </si>
  <si>
    <t>Role Title</t>
  </si>
  <si>
    <t>roleTitle</t>
  </si>
  <si>
    <t xml:space="preserve">A role title for the "OTH" (Other) role code. If roleCode = OTH then this field is required to describe the persons role. Do not use this field if their title is one of the available option sets for roleCode. </t>
  </si>
  <si>
    <t>Primary Contact</t>
  </si>
  <si>
    <t>isPrimaryContact</t>
  </si>
  <si>
    <t>A flag indicating if this person is the primary contact for the role.</t>
  </si>
  <si>
    <t>Idaho Staff Contact Educational Identifier</t>
  </si>
  <si>
    <t>The staff members last name.  Must match with the EDUID system</t>
  </si>
  <si>
    <t>The staff member's first name.  Must match with the EDUID system</t>
  </si>
  <si>
    <t>Primary Job Title</t>
  </si>
  <si>
    <t>jobTitle</t>
  </si>
  <si>
    <t>The staff member's primary job title.</t>
  </si>
  <si>
    <t>Primary Email</t>
  </si>
  <si>
    <t>roleEmail</t>
  </si>
  <si>
    <t>The primary email address to use to contact this staff member about this program role.</t>
  </si>
  <si>
    <t>Contact Building or School Identification Code</t>
  </si>
  <si>
    <t>contactSchoolId</t>
  </si>
  <si>
    <t>If this person is based out of a centralized alternative location in the school district, the SDE assigned four-digit number associated with the school for that location.  This is the preferred location for contacting this individual.</t>
  </si>
  <si>
    <t>Primary Phone</t>
  </si>
  <si>
    <t>phone1</t>
  </si>
  <si>
    <t>An optional primary phone number to use to contact this individual about this role.  If not provided, the phone for the contact building or school will be used, or the role building's phone number</t>
  </si>
  <si>
    <t>Primary Phone Extension</t>
  </si>
  <si>
    <t>phone1Extension</t>
  </si>
  <si>
    <t>An optional extension for the primary phone</t>
  </si>
  <si>
    <t>Primary Phone Type</t>
  </si>
  <si>
    <t>phone1Type</t>
  </si>
  <si>
    <t>The type of phone for the primary phone. (i.e. c -cell, a-administrative assistant, etc.)</t>
  </si>
  <si>
    <t>Phone Type</t>
  </si>
  <si>
    <t>Secondary Phone</t>
  </si>
  <si>
    <t>phone2</t>
  </si>
  <si>
    <t>An optional secondary phone number to use  in attempts to contact this person in relation to this role.  Must be blank if primary phone is blank.</t>
  </si>
  <si>
    <t>Secondary Phone Extension</t>
  </si>
  <si>
    <t>phone2Extension</t>
  </si>
  <si>
    <t>An optional extension for the secondary phone</t>
  </si>
  <si>
    <t>Secondary Phone Type</t>
  </si>
  <si>
    <t>phone2Type</t>
  </si>
  <si>
    <t>The type of phone for the secondary phone. (i.e. c -cell, a-administrative assistant, etc.)</t>
  </si>
  <si>
    <t>Alternate Address Line 1</t>
  </si>
  <si>
    <t>altAddressLine1</t>
  </si>
  <si>
    <t>The first line of an alternate address to use when mailing information about this role to this individual.  If left blank, the address of the contact school will be used.  If both are blank then the mailing address of the role school will be used.</t>
  </si>
  <si>
    <t>Alternate Address Line 2</t>
  </si>
  <si>
    <t>altAddressLine2</t>
  </si>
  <si>
    <t>The second line of an alternate address to use when mailing information about this role to this individual.  If left blank, the address of the contact school will be used.  If both are blank then the mailing address of the role school will be used.</t>
  </si>
  <si>
    <t>Alternate City</t>
  </si>
  <si>
    <t>altCity</t>
  </si>
  <si>
    <t>The city for the alternate mailing address</t>
  </si>
  <si>
    <t>Alternate State Code</t>
  </si>
  <si>
    <t>altStateCode</t>
  </si>
  <si>
    <t>The state postal code for the alternate mailing address.</t>
  </si>
  <si>
    <t>Alternate Zip Code</t>
  </si>
  <si>
    <t>altZipCode</t>
  </si>
  <si>
    <t>The five or nine digit zip code for the alternate mailing address.</t>
  </si>
  <si>
    <t>Annual School Finance</t>
  </si>
  <si>
    <t>Record Type</t>
  </si>
  <si>
    <t>recType</t>
  </si>
  <si>
    <t>The indicator of the type of record being reported. (bal, rev, exp)</t>
  </si>
  <si>
    <t>District Identification Code</t>
  </si>
  <si>
    <t>The SDE assigned three-digit number associated with the LEA.</t>
  </si>
  <si>
    <t>Location Identification Code</t>
  </si>
  <si>
    <t>locationCode</t>
  </si>
  <si>
    <t>The local three-digit code often used by the LEA to identify a particular building for reporting expenditures.</t>
  </si>
  <si>
    <t>Fund Number</t>
  </si>
  <si>
    <t>fundNumber</t>
  </si>
  <si>
    <t>Fund number</t>
  </si>
  <si>
    <t>Account Code</t>
  </si>
  <si>
    <t>accountCode</t>
  </si>
  <si>
    <t>Function Code</t>
  </si>
  <si>
    <t>functionCode</t>
  </si>
  <si>
    <t>Object Code</t>
  </si>
  <si>
    <t>objectCode</t>
  </si>
  <si>
    <t>Fiscal Year</t>
  </si>
  <si>
    <t>fiscalYear</t>
  </si>
  <si>
    <t>The fiscal year (July 1 - June 30) an LEA used for budgeting, accounting, and reporting financials.</t>
  </si>
  <si>
    <t>Amount</t>
  </si>
  <si>
    <t>amount</t>
  </si>
  <si>
    <t>An amount, rounded to the nearest whole dollar, for this record. No decimals or commas.</t>
  </si>
  <si>
    <t>Financial Transparency</t>
  </si>
  <si>
    <t>The indicator of the type of record being reported. (rev, exp)</t>
  </si>
  <si>
    <t>The State assigned three-digit number associated with the LEA.</t>
  </si>
  <si>
    <t>The State assigned four-digit number associated with the school.
For local use only.</t>
  </si>
  <si>
    <r>
      <t xml:space="preserve">The predefined </t>
    </r>
    <r>
      <rPr>
        <i/>
        <sz val="10"/>
        <color rgb="FF7030A0"/>
        <rFont val="Arial"/>
        <family val="2"/>
      </rPr>
      <t>Fund Number,</t>
    </r>
    <r>
      <rPr>
        <sz val="10"/>
        <color rgb="FF7030A0"/>
        <rFont val="Arial"/>
        <family val="2"/>
      </rPr>
      <t xml:space="preserve"> accounting entity with a self-balancing set of accounts that includes all cash and other financial resources, together with all related liabilities and residual equities, which are segregated for the purpose of carrying on a specific activity or attaining certain objectives in accordance with special regulations, restrictions, or limitations.</t>
    </r>
  </si>
  <si>
    <r>
      <t xml:space="preserve">The predefined </t>
    </r>
    <r>
      <rPr>
        <i/>
        <sz val="10"/>
        <color rgb="FF7030A0"/>
        <rFont val="Arial"/>
        <family val="2"/>
      </rPr>
      <t>Function Code</t>
    </r>
    <r>
      <rPr>
        <sz val="10"/>
        <color rgb="FF7030A0"/>
        <rFont val="Arial"/>
        <family val="2"/>
      </rPr>
      <t xml:space="preserve"> used for describing the activity or tasks for which services or material objects are acquired. Function codes are classified into five broad areas: instruction, support services, non-instructional services, facilities acquisition and other services.  
The function codes also describe a plan and organization of activities and procedures designed to accomplish a predetermined objective or set of objectives. </t>
    </r>
  </si>
  <si>
    <r>
      <t xml:space="preserve">The predefined </t>
    </r>
    <r>
      <rPr>
        <i/>
        <sz val="10"/>
        <color rgb="FF7030A0"/>
        <rFont val="Arial"/>
        <family val="2"/>
      </rPr>
      <t>Object Code</t>
    </r>
    <r>
      <rPr>
        <sz val="10"/>
        <color rgb="FF7030A0"/>
        <rFont val="Arial"/>
        <family val="2"/>
      </rPr>
      <t xml:space="preserve"> used to describe the service or commodity obtained as a result of a specific expenditure. Eight major categories are used:  salaries, benefits, purchased services, supplies/materials, capital objects, debt retirement, insurance/judgment, transfers.
Major categories are subdivided by schools to obtain more specific detail for their internal accounting purposes.</t>
    </r>
  </si>
  <si>
    <t>Transaction Date</t>
  </si>
  <si>
    <t>transactionDate</t>
  </si>
  <si>
    <t xml:space="preserve">For EXP, the date the expenditure was posted, paid for and/or a check was written.
For REV, the date the revenue was received, processed or deposited. </t>
  </si>
  <si>
    <t>MM/DD/YYYY</t>
  </si>
  <si>
    <t>Transaction Identification</t>
  </si>
  <si>
    <t>transactionID</t>
  </si>
  <si>
    <t xml:space="preserve">The unique identification number for the transaction. 
Format as Abcdef123456
</t>
  </si>
  <si>
    <t>Journal Entry</t>
  </si>
  <si>
    <t>journalEntry</t>
  </si>
  <si>
    <t xml:space="preserve">Is this record an adjustment journal entry used to accrue, defer, change or correct a previous transaction?
</t>
  </si>
  <si>
    <t>Entity</t>
  </si>
  <si>
    <t>entityName</t>
  </si>
  <si>
    <t>The name of the entity, where the expenditure was paid out</t>
  </si>
  <si>
    <t>Entity City</t>
  </si>
  <si>
    <t>entityCity</t>
  </si>
  <si>
    <t xml:space="preserve">The City where the entity is located. </t>
  </si>
  <si>
    <t>Entity State</t>
  </si>
  <si>
    <t>entityState</t>
  </si>
  <si>
    <t>The State where the entity is located</t>
  </si>
  <si>
    <t>Entity Country</t>
  </si>
  <si>
    <t>entityCountry</t>
  </si>
  <si>
    <t>The Country where the entity is located</t>
  </si>
  <si>
    <t>Collection Option Set Document Map</t>
  </si>
  <si>
    <t>Change</t>
  </si>
  <si>
    <t>Files Used In</t>
  </si>
  <si>
    <t>Key</t>
  </si>
  <si>
    <t>ISEE</t>
  </si>
  <si>
    <t>ISEE Files</t>
  </si>
  <si>
    <t>ASF</t>
  </si>
  <si>
    <t>FTF</t>
  </si>
  <si>
    <t>PCF</t>
  </si>
  <si>
    <t>Program Contact File</t>
  </si>
  <si>
    <t>Financial Transparency File</t>
  </si>
  <si>
    <t>ALL</t>
  </si>
  <si>
    <t>All Data Files</t>
  </si>
  <si>
    <t>Special Ed Eligibility</t>
  </si>
  <si>
    <t>Code</t>
  </si>
  <si>
    <t>Option Name</t>
  </si>
  <si>
    <t>Option Definition</t>
  </si>
  <si>
    <t>Examples/Business Rules (under continual maintenance)</t>
  </si>
  <si>
    <t>EA</t>
  </si>
  <si>
    <t>Excused Absence</t>
  </si>
  <si>
    <t>Absence was excused</t>
  </si>
  <si>
    <t>NA</t>
  </si>
  <si>
    <t xml:space="preserve">Not Absent </t>
  </si>
  <si>
    <t>Student was not truly absent</t>
  </si>
  <si>
    <t>Students present for less than 150 minutes of instruction, Students on tuition agreements, In-School Suspension, etc.</t>
  </si>
  <si>
    <t>UA</t>
  </si>
  <si>
    <t>Unexcused Absence</t>
  </si>
  <si>
    <t>Absence was unexcused</t>
  </si>
  <si>
    <t>111000</t>
  </si>
  <si>
    <t>Cash</t>
  </si>
  <si>
    <t>112000</t>
  </si>
  <si>
    <t>Investments</t>
  </si>
  <si>
    <t>113000</t>
  </si>
  <si>
    <t>Taxes Receivable</t>
  </si>
  <si>
    <t>114000</t>
  </si>
  <si>
    <t>Other Receivables</t>
  </si>
  <si>
    <t>115000</t>
  </si>
  <si>
    <t>Inventories</t>
  </si>
  <si>
    <t>116000</t>
  </si>
  <si>
    <t>Other Current Assets</t>
  </si>
  <si>
    <t>121000</t>
  </si>
  <si>
    <t>Sites</t>
  </si>
  <si>
    <t>122000</t>
  </si>
  <si>
    <t>Buildings</t>
  </si>
  <si>
    <t>123000</t>
  </si>
  <si>
    <t>Equipment</t>
  </si>
  <si>
    <t>124000</t>
  </si>
  <si>
    <t>Construction in Progress</t>
  </si>
  <si>
    <t>131000</t>
  </si>
  <si>
    <t>Amount Available in Debt Services</t>
  </si>
  <si>
    <t>132000</t>
  </si>
  <si>
    <t>211000</t>
  </si>
  <si>
    <t>Interfund Payable</t>
  </si>
  <si>
    <t>213000</t>
  </si>
  <si>
    <t>Accounts Payable</t>
  </si>
  <si>
    <t>214000</t>
  </si>
  <si>
    <t>Contracts Payable</t>
  </si>
  <si>
    <t>215000</t>
  </si>
  <si>
    <t>Construction Contracts Payable</t>
  </si>
  <si>
    <t>216000</t>
  </si>
  <si>
    <t>Current Portion-Bonds Payable</t>
  </si>
  <si>
    <t>217000</t>
  </si>
  <si>
    <t>Salaries/Benefits Payable</t>
  </si>
  <si>
    <t>218000</t>
  </si>
  <si>
    <t>Payroll Withholdings</t>
  </si>
  <si>
    <t>219000</t>
  </si>
  <si>
    <t>221000</t>
  </si>
  <si>
    <t>Deferred Revenues</t>
  </si>
  <si>
    <t>222000</t>
  </si>
  <si>
    <t>Returnable Revenues</t>
  </si>
  <si>
    <t>223000</t>
  </si>
  <si>
    <t>Other Liabilities</t>
  </si>
  <si>
    <t>231000</t>
  </si>
  <si>
    <t>232000</t>
  </si>
  <si>
    <t>233000</t>
  </si>
  <si>
    <t>Lease Obligations</t>
  </si>
  <si>
    <t>234000</t>
  </si>
  <si>
    <t>310600</t>
  </si>
  <si>
    <t>Reserved for Inventories</t>
  </si>
  <si>
    <t>310900</t>
  </si>
  <si>
    <t>Other Reserved</t>
  </si>
  <si>
    <t>320001</t>
  </si>
  <si>
    <t>Fund Balance, July 1</t>
  </si>
  <si>
    <t>320002</t>
  </si>
  <si>
    <t>Adjustments</t>
  </si>
  <si>
    <t>320003</t>
  </si>
  <si>
    <t>Adjusted Fund Balance July 1</t>
  </si>
  <si>
    <t>320100</t>
  </si>
  <si>
    <t>Unreserved - designated</t>
  </si>
  <si>
    <t>320200</t>
  </si>
  <si>
    <t>Unreserved - undesignated</t>
  </si>
  <si>
    <t>330000</t>
  </si>
  <si>
    <t>Investment in General Fixed Assets</t>
  </si>
  <si>
    <t>340000</t>
  </si>
  <si>
    <t>Contributed Capital</t>
  </si>
  <si>
    <t>350000</t>
  </si>
  <si>
    <t>Retained Earnings - Int. Service</t>
  </si>
  <si>
    <t>411100</t>
  </si>
  <si>
    <t>Taxes - General M &amp; O</t>
  </si>
  <si>
    <t>411200</t>
  </si>
  <si>
    <t>Taxes - Supplemental</t>
  </si>
  <si>
    <t>411300</t>
  </si>
  <si>
    <t>Taxes - Emergency</t>
  </si>
  <si>
    <t>411400</t>
  </si>
  <si>
    <t>Taxes - Tort</t>
  </si>
  <si>
    <t>411500</t>
  </si>
  <si>
    <t>Taxes - Cooperative</t>
  </si>
  <si>
    <t>411600</t>
  </si>
  <si>
    <t>Taxes - Tuition</t>
  </si>
  <si>
    <t>411700</t>
  </si>
  <si>
    <t>Taxes - Migrant</t>
  </si>
  <si>
    <t>411900</t>
  </si>
  <si>
    <t>Taxes - Other</t>
  </si>
  <si>
    <t>412100</t>
  </si>
  <si>
    <t>Taxes - Plant Facility</t>
  </si>
  <si>
    <t>412500</t>
  </si>
  <si>
    <t>Taxes - Bond &amp; Interest</t>
  </si>
  <si>
    <t>413000</t>
  </si>
  <si>
    <t>Penalty: Delinquent Taxes</t>
  </si>
  <si>
    <t>414100</t>
  </si>
  <si>
    <t>Tuition From Individuals</t>
  </si>
  <si>
    <t>414200</t>
  </si>
  <si>
    <t>Tuition From Districts in Idaho</t>
  </si>
  <si>
    <t>414300</t>
  </si>
  <si>
    <t>Tuition From Out of State Districts</t>
  </si>
  <si>
    <t>415000</t>
  </si>
  <si>
    <t>Earnings on Investments</t>
  </si>
  <si>
    <t>416100</t>
  </si>
  <si>
    <t>School Food Service</t>
  </si>
  <si>
    <t>416200</t>
  </si>
  <si>
    <t>Meal Sales:  Non-reimbur.</t>
  </si>
  <si>
    <t>416900</t>
  </si>
  <si>
    <t>Other Food Sales</t>
  </si>
  <si>
    <t>417100</t>
  </si>
  <si>
    <t>Admissions/Activities</t>
  </si>
  <si>
    <t>417200</t>
  </si>
  <si>
    <t>Bookstore Sales</t>
  </si>
  <si>
    <t>417300</t>
  </si>
  <si>
    <t>Clubs Org. Dues Etc.</t>
  </si>
  <si>
    <t>417400</t>
  </si>
  <si>
    <t>School Fees &amp; Charges</t>
  </si>
  <si>
    <t>417900</t>
  </si>
  <si>
    <t>Other Student Revenues</t>
  </si>
  <si>
    <t>418100</t>
  </si>
  <si>
    <t>Community Service</t>
  </si>
  <si>
    <t>419100</t>
  </si>
  <si>
    <t>Rentals</t>
  </si>
  <si>
    <t>419200</t>
  </si>
  <si>
    <t>Contributions/Donations</t>
  </si>
  <si>
    <t>419300</t>
  </si>
  <si>
    <t>Transportation Fees</t>
  </si>
  <si>
    <t>419900</t>
  </si>
  <si>
    <t>Other Local</t>
  </si>
  <si>
    <t>429000</t>
  </si>
  <si>
    <t>Other County</t>
  </si>
  <si>
    <t>431100</t>
  </si>
  <si>
    <t>Base Support Program</t>
  </si>
  <si>
    <t>431200</t>
  </si>
  <si>
    <t>Transportation Support</t>
  </si>
  <si>
    <t>431400</t>
  </si>
  <si>
    <t>Exceptional Child Support</t>
  </si>
  <si>
    <t>431500</t>
  </si>
  <si>
    <t>Border Tuition Support</t>
  </si>
  <si>
    <t>431600</t>
  </si>
  <si>
    <t>Tuition Equivalency</t>
  </si>
  <si>
    <t>431800</t>
  </si>
  <si>
    <t>Benefit Apportionment</t>
  </si>
  <si>
    <t>431900</t>
  </si>
  <si>
    <t>Other State Support</t>
  </si>
  <si>
    <t>432100</t>
  </si>
  <si>
    <t>Driver Education Program</t>
  </si>
  <si>
    <t>432400</t>
  </si>
  <si>
    <t>Professional Technical Program</t>
  </si>
  <si>
    <t>438000</t>
  </si>
  <si>
    <t>Revenue in Lieu of/Ag Equip. Taxes</t>
  </si>
  <si>
    <t>439000</t>
  </si>
  <si>
    <t>Other State Revenue</t>
  </si>
  <si>
    <t>442000</t>
  </si>
  <si>
    <t>Indirect Unrestricted Federal</t>
  </si>
  <si>
    <t>443000</t>
  </si>
  <si>
    <t>Direct Restricted Federal</t>
  </si>
  <si>
    <t>445100</t>
  </si>
  <si>
    <t>Title I - ESSA</t>
  </si>
  <si>
    <t>445300</t>
  </si>
  <si>
    <t>Perkins V – CTE</t>
  </si>
  <si>
    <t>445400</t>
  </si>
  <si>
    <t>Adult Education</t>
  </si>
  <si>
    <t>445500</t>
  </si>
  <si>
    <t>Child Nutrition Reimbursement</t>
  </si>
  <si>
    <t>445600</t>
  </si>
  <si>
    <t>IDEA Part B (School-Age, Preschool)</t>
  </si>
  <si>
    <t>445900</t>
  </si>
  <si>
    <t>Other Indirect Restricted Federal</t>
  </si>
  <si>
    <t>448200</t>
  </si>
  <si>
    <t>Impact Aid - Public Law 874</t>
  </si>
  <si>
    <t>451000</t>
  </si>
  <si>
    <t>Proceeds: Bond, Principal, Loan, et al</t>
  </si>
  <si>
    <t>453000</t>
  </si>
  <si>
    <t>Proceeds: Disposal of Real or Personal Property or Capital Lease Proceeds</t>
  </si>
  <si>
    <t>460000</t>
  </si>
  <si>
    <t>Fund Transfers – In</t>
  </si>
  <si>
    <t>M</t>
  </si>
  <si>
    <t>Mailing Address</t>
  </si>
  <si>
    <t>The primary mailing address to which a person's mail should be sent.</t>
  </si>
  <si>
    <t>Report only when different than the Physical Address</t>
  </si>
  <si>
    <t>P</t>
  </si>
  <si>
    <t>Physical Address</t>
  </si>
  <si>
    <t>The building number and street name of the person's primary residence.</t>
  </si>
  <si>
    <t>I</t>
  </si>
  <si>
    <t>Border Student In</t>
  </si>
  <si>
    <t>A student residing outside Idaho attending an Idaho public school. Tuition must be collected. (33-1403 and 33-1405 I.C.)</t>
  </si>
  <si>
    <t>O</t>
  </si>
  <si>
    <t>Border Student Out</t>
  </si>
  <si>
    <t>A student residing within an Idaho district abutting another state where the board of trustees has determined it is in the student’s best interest to attend school in the neighboring state. (33-1403 I.C.)</t>
  </si>
  <si>
    <t>Not a Border Student</t>
  </si>
  <si>
    <t>A student residing within Idaho and being served by an Idaho Public School</t>
  </si>
  <si>
    <t>A</t>
  </si>
  <si>
    <t>Alternative High Schools</t>
  </si>
  <si>
    <t>Calendar applying to Alternative High schools -- time expressed in hours</t>
  </si>
  <si>
    <t>DR</t>
  </si>
  <si>
    <t>Dual Enrollment Calendar</t>
  </si>
  <si>
    <t>Calendar applying to dual enrolled students - Time expressed in hours or 1/10th of hour.</t>
  </si>
  <si>
    <t>IDAPA 08.02.01.250(b) Students attending less than a half-day in session may have their hours aggregated by week for reporting purposes.</t>
  </si>
  <si>
    <t>K</t>
  </si>
  <si>
    <t>Kindergarten</t>
  </si>
  <si>
    <t>Calendar applying to Kindergarten students</t>
  </si>
  <si>
    <t>R</t>
  </si>
  <si>
    <t>Regular School</t>
  </si>
  <si>
    <t>Calendar applying to Regular schools -- Time expressed in half days</t>
  </si>
  <si>
    <t>SA</t>
  </si>
  <si>
    <t>Summer Alternate</t>
  </si>
  <si>
    <t>Calendar applying to Summer Alternative High schools -- time expressed in hours</t>
  </si>
  <si>
    <t>Alternative summer schools</t>
  </si>
  <si>
    <t>SR</t>
  </si>
  <si>
    <t>Summer Regular</t>
  </si>
  <si>
    <t>Calendar applying to Summer Regular schools -- Time expressed in half days</t>
  </si>
  <si>
    <t>Regular summer schools and summer JDC schools</t>
  </si>
  <si>
    <t>CIP CODES</t>
  </si>
  <si>
    <t>AGRICULTURAL/ANIMAL/PLANT/VETERINARY SCIENCE AND RELATED FIELDS.</t>
  </si>
  <si>
    <t>Instructional programs that focus on agriculture, animal, plant, veterinary, and related sciences and that prepares individuals to apply specific knowledge, methods, and techniques to the management and performance of agricultural and veterinary operations.</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</si>
  <si>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</si>
  <si>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</si>
  <si>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</si>
  <si>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</si>
  <si>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</si>
  <si>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</si>
  <si>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</si>
  <si>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</si>
  <si>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</si>
  <si>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</si>
  <si>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</si>
  <si>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</si>
  <si>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</si>
  <si>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</si>
  <si>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</si>
  <si>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Agricultural Business Technology/Technician.</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</si>
  <si>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</si>
  <si>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</si>
  <si>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</si>
  <si>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</si>
  <si>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</si>
  <si>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</si>
  <si>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</si>
  <si>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</si>
  <si>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</si>
  <si>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Agricultural Mechanics and Equipment/Machine Technology/Technician.</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</si>
  <si>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</si>
  <si>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Irrigation Management Technology/Technician.</t>
  </si>
  <si>
    <t>A program that prepares individuals for employment in the field of agricultural technology and irrigation. Includes instruction in irrigation and drainage methodologies, pumping and delivery systems, system design and evaluation, and principles of installation and repair of irrigation systems.</t>
  </si>
  <si>
    <t>Agricultural Mechanization, Other.</t>
  </si>
  <si>
    <t>Any instructional program in agricultural mechanization not listed above.</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</si>
  <si>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</si>
  <si>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</si>
  <si>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</si>
  <si>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</si>
  <si>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</si>
  <si>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</si>
  <si>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</si>
  <si>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</si>
  <si>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</si>
  <si>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</si>
  <si>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</si>
  <si>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</si>
  <si>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</si>
  <si>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</si>
  <si>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</si>
  <si>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</si>
  <si>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Apiculture.</t>
  </si>
  <si>
    <t>A program that focuses on improving the beekeeping industry, promoting pollination of fruits and vegetables, and bee colony expansion and maintenance. Includes instruction in apiary behavior, apiary equipment and supplies, beekeeping, bee pests and parasites, handling bees, hive set up and care, queen rearing, and seasonal management practices.</t>
  </si>
  <si>
    <t>Agricultural Production Operations, Other.</t>
  </si>
  <si>
    <t>Any instructional program in agricultural production operations not listed above.</t>
  </si>
  <si>
    <t>Agricultural and Food Products Processing.</t>
  </si>
  <si>
    <t>Instructional content for this group of programs is defined in codes 01.0401 - 01.0480.</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</si>
  <si>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</si>
  <si>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Reserved.</t>
  </si>
  <si>
    <t>Reserved for use by Statistics Canada. This CIP code is not valid for IPEDS reporting.</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</si>
  <si>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</si>
  <si>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</si>
  <si>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</si>
  <si>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</si>
  <si>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</si>
  <si>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</si>
  <si>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</si>
  <si>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</si>
  <si>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</si>
  <si>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</si>
  <si>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Farrier Science.</t>
  </si>
  <si>
    <t>A program of study that prepares individuals to become specialists in equine hoof care (farriers). Includes instruction in equine science, equine health and first aid, general horseshoeing, corrective horseshoeing, gait analysis, and metal forging techniques using gas or coal.</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</si>
  <si>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</si>
  <si>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</si>
  <si>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</si>
  <si>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</si>
  <si>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</si>
  <si>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</si>
  <si>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</si>
  <si>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</si>
  <si>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</si>
  <si>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</si>
  <si>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</si>
  <si>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</si>
  <si>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</si>
  <si>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</si>
  <si>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</si>
  <si>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</si>
  <si>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</si>
  <si>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</si>
  <si>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Public Horticulture.</t>
  </si>
  <si>
    <t>A program of study that focuses on combining traditional horticulture and public education and outreach. Includes instruction in botany, soil science, plant science, agricultural economics, leadership, and business.</t>
  </si>
  <si>
    <t>Urban and Community Horticulture.</t>
  </si>
  <si>
    <t>A program that focuses on principles and techniques for the production of horticultural crops in an urban environment. Includes instruction in ecology, environmental sustainability, food production systems, and plant and soil sciences.</t>
  </si>
  <si>
    <t>Applied Horticulture/Horticultural Business Services, Other.</t>
  </si>
  <si>
    <t>Any instructional program in horticultural service operations not listed above.</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</si>
  <si>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</si>
  <si>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</si>
  <si>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</si>
  <si>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</si>
  <si>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</si>
  <si>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</si>
  <si>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</si>
  <si>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</si>
  <si>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</si>
  <si>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</si>
  <si>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</si>
  <si>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</si>
  <si>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</si>
  <si>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</si>
  <si>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</si>
  <si>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</si>
  <si>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</si>
  <si>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</si>
  <si>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</si>
  <si>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</si>
  <si>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</si>
  <si>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</si>
  <si>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</si>
  <si>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</si>
  <si>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</si>
  <si>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</si>
  <si>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</si>
  <si>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</si>
  <si>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</si>
  <si>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</si>
  <si>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</si>
  <si>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</si>
  <si>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</si>
  <si>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</si>
  <si>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</si>
  <si>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Brewing Science.</t>
  </si>
  <si>
    <t>A program that focuses on the business, science, and technology of beer brewing operations. Includes instruction in biology, biochemistry, brewing, entrepreneurship, fermentation, malting, marketing, microbiology, quality control, and sanitation.</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</si>
  <si>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</si>
  <si>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</si>
  <si>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Zymology/Fermentation Science.</t>
  </si>
  <si>
    <t>A program that focuses on the business, science, and technology of fermented food production. Includes instruction in biology, biochemistry, brewing, entrepreneurship, fermentation, marketing, microbiology, quality control, and sanitation.</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</si>
  <si>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</si>
  <si>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</si>
  <si>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</si>
  <si>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</si>
  <si>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</si>
  <si>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</si>
  <si>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</si>
  <si>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</si>
  <si>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</si>
  <si>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</si>
  <si>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</si>
  <si>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</si>
  <si>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</si>
  <si>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</si>
  <si>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</si>
  <si>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</si>
  <si>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</si>
  <si>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</si>
  <si>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</si>
  <si>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</si>
  <si>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</si>
  <si>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</si>
  <si>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</si>
  <si>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</si>
  <si>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</si>
  <si>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</si>
  <si>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</si>
  <si>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</si>
  <si>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Agriculture/Veterinary Preparatory Programs.</t>
  </si>
  <si>
    <t>Instructional content for this group of programs is defined in codes 01.1302 - 01.1399.</t>
  </si>
  <si>
    <t>Pre-Veterinary Studies.</t>
  </si>
  <si>
    <t>A program that prepares individuals for admission to a professional program in veterinary medicine.</t>
  </si>
  <si>
    <t>Agriculture/Veterinary Preparatory Programs, Other.</t>
  </si>
  <si>
    <t>Any instructional program that prepares individuals for admission to a professional program in agriculture or veterinary medicine or science not listed above.</t>
  </si>
  <si>
    <t>Veterinary Medicine.</t>
  </si>
  <si>
    <t>Instructional content is defined in code 01.8001.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</si>
  <si>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</si>
  <si>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Veterinary Biomedical and Clinical Sciences.</t>
  </si>
  <si>
    <t>Instructional content for this group of programs is defined in codes 01.8101 - 01.8199.</t>
  </si>
  <si>
    <t>Veterinary Sciences/Veterinary Clinical Sciences, General.</t>
  </si>
  <si>
    <t>An integrated program of study in one or more of the veterinary medical or clinical sciences or a program undifferentiated as to title.</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</si>
  <si>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</si>
  <si>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</si>
  <si>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</si>
  <si>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</si>
  <si>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</si>
  <si>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</si>
  <si>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</si>
  <si>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</si>
  <si>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</si>
  <si>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</si>
  <si>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</si>
  <si>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</si>
  <si>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</si>
  <si>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</si>
  <si>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</si>
  <si>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</si>
  <si>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</si>
  <si>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</si>
  <si>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</si>
  <si>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</si>
  <si>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Veterinary Biomedical and Clinical Sciences, Other.</t>
  </si>
  <si>
    <t>Any instructional program in veterinary biomedical and clinical sciences not listed above.</t>
  </si>
  <si>
    <t>Veterinary Administrative Services.</t>
  </si>
  <si>
    <t>Instructional content for this group of programs is defined in codes 01.8201 - 01.8299.</t>
  </si>
  <si>
    <t>Veterinary Administrative Services, General.</t>
  </si>
  <si>
    <t>A general program that prepares individuals to provide administrative support services in a veterinary office or animal care facility. Includes instruction in business office operations, customer service, principles of veterinary health care operations, record-keeping, veterinary terminology, and professional standards and ethics.</t>
  </si>
  <si>
    <t>Veterinary Office Management/Administration.</t>
  </si>
  <si>
    <t>A program that prepares individuals to manage the specialized business functions of a veterinary office. Includes instruction in business office operations, business and financial record-keeping, personnel supervision, veterinary care policy administration, conference planning, scheduling and coordination, public relations, and applicable law and regulations.</t>
  </si>
  <si>
    <t>Veterinary Reception/Receptionist.</t>
  </si>
  <si>
    <t>A program that prepares individuals, under the supervision of office managers, veterinary technicians, or veterinarians, to provide customer service, visitor reception, and patient intake and discharge services. Includes instruction in veterinary office and animal care facility procedures, veterinary terminology, interpersonal skills, record-keeping, customer service, telephone skills, data entry, interpersonal communications skills, and applicable policies and regulations.</t>
  </si>
  <si>
    <t>Veterinary Administrative/Executive Assistant and Veterinary Secretary.</t>
  </si>
  <si>
    <t>A program that prepares individuals to perform the duties of special assistants and personal secretaries for practicing veterinarians, veterinary health care facilities and services administrators, and other veterinary professionals. Includes instruction in business and veterinary communications, veterinary terminology, principles of veterinary health care operations, public relations and interpersonal communications, software applications, record-keeping and filing systems, scheduling and meeting planning, applicable policy and regulations, and professional standards and ethics.</t>
  </si>
  <si>
    <t>Veterinary Administrative Services, Other.</t>
  </si>
  <si>
    <t>Any instructional program in veterinary administrative services not listed above.</t>
  </si>
  <si>
    <t>Veterinary/Animal Health Technologies/Technicians.</t>
  </si>
  <si>
    <t>Instructional content for this group of programs is defined in codes 01.8301 - 01.8399.</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</si>
  <si>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</si>
  <si>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</si>
  <si>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Veterinary/Animal Health Technologies/Technicians, Other.</t>
  </si>
  <si>
    <t>Any instructional program in veterinary or animal health technologies not listed above.</t>
  </si>
  <si>
    <t>Agricultural/Animal/Plant/Veterinary Science and Related Fields, Other.</t>
  </si>
  <si>
    <t>Instructional content is defined in code 01.9999.</t>
  </si>
  <si>
    <t>Any instructional program in agricultural, animal, plant, or veterinary science and related fields not listed above.</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</si>
  <si>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</si>
  <si>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</si>
  <si>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</si>
  <si>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</si>
  <si>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</si>
  <si>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</si>
  <si>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</si>
  <si>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</si>
  <si>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</si>
  <si>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</si>
  <si>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Natural Resources Conservation and Research, Other.</t>
  </si>
  <si>
    <t>Any instructional program in natural resources conservation and research not listed above.</t>
  </si>
  <si>
    <t>Environmental/Natural Resources Management and Policy.</t>
  </si>
  <si>
    <t>Instructional content for this group of programs is defined in codes 03.0201 - 03.0299.</t>
  </si>
  <si>
    <t>Environmental/Natural Resources Management and Policy, General.</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</si>
  <si>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</si>
  <si>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Environmental/Natural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</si>
  <si>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</si>
  <si>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</si>
  <si>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</si>
  <si>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</si>
  <si>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</si>
  <si>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Environmental/Natural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</si>
  <si>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</si>
  <si>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Environmental/Natural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</si>
  <si>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</si>
  <si>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Energy and Environmental Policy.</t>
  </si>
  <si>
    <t>A program of study that focuses on the systematic analysis of public policy issues related to climate change, energy policy, environmental economics, global sustainability, and security. Includes instruction in climate change, clean energy technologies, environmental policy, environmental law, environmental economics, food security, fossil fuels, renewable and sustainable energy sources, and water issues.</t>
  </si>
  <si>
    <t>Bioenergy.</t>
  </si>
  <si>
    <t>A program of study that focuses on the environmental and economic impact of using plants and microbes for the production of bio-based fuels such as ethanol and biodiesel. Includes instruction in biochemical engineering, bioprocessing, bioseparations, conversion, feedstock, economics, environmental sustainability, hydrology, and natural resource management.</t>
  </si>
  <si>
    <t>Environmental/Natural Resources Management and Policy, Other.</t>
  </si>
  <si>
    <t>Any instructional program in environmental or natural resources management and policy not listed above.</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</si>
  <si>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</si>
  <si>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</si>
  <si>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</si>
  <si>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</si>
  <si>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</si>
  <si>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</si>
  <si>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</si>
  <si>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</si>
  <si>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</si>
  <si>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</si>
  <si>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</si>
  <si>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</si>
  <si>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</si>
  <si>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Wood Science and Wood Products/Pulp and Paper Technology/Technician.</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</si>
  <si>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</si>
  <si>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</si>
  <si>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</si>
  <si>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</si>
  <si>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</si>
  <si>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</si>
  <si>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</si>
  <si>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</si>
  <si>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</si>
  <si>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</si>
  <si>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</si>
  <si>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Natural Resources and Conservation, Other.</t>
  </si>
  <si>
    <t>Instructional content is defined in code 03.9999.</t>
  </si>
  <si>
    <t>Any instructional program in natural resources and conservation not listed above.</t>
  </si>
  <si>
    <t>ARCHITECTURE AND RELATED SERVICES.</t>
  </si>
  <si>
    <t>Instructional programs that prepare individuals for professional practice in the various architecture-related fields and focus on the study of related aesthetic and socioeconomic aspects of the built environment.</t>
  </si>
  <si>
    <t>Architecture.</t>
  </si>
  <si>
    <t>Instructional content for this group of programs is defined in codes 04.0200 - 04.0299.</t>
  </si>
  <si>
    <t>Pre-Architecture Studies.</t>
  </si>
  <si>
    <t>A program of study that is a precursor to an advanced degree in architecture. Includes instruction in architectural design, architectural graphics, architectural history, architectural technology, architectural theory and criticism, building technology, calculus, design studio, human factors, environmental architecture, geometry and trigonometry, physics, and technical drawing.</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</si>
  <si>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</si>
  <si>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Architectural Design.</t>
  </si>
  <si>
    <t>An advanced program of study for architects and related professionals that focuses on theoretical and practical issues in architecture and integrates digital technologies into architectural design, fabrication, and construction. Includes instruction in architectural history and urban theory, 3-D digital technologies, construction, design and fabrication methods, and sustainable practices in architecture.</t>
  </si>
  <si>
    <t>Architecture, Other.</t>
  </si>
  <si>
    <t>Any instructional program in architecture not listed above.</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</si>
  <si>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</si>
  <si>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</si>
  <si>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</si>
  <si>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Environmental Design.</t>
  </si>
  <si>
    <t>Instructional content for this group of programs is defined in codes 04.0401 - 04.0499.</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</si>
  <si>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</si>
  <si>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</si>
  <si>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Healthcare Environment Design/Architecture.</t>
  </si>
  <si>
    <t>A program that focuses on the design and performance of healthcare environments to optimize healing. Includes instruction in interior design, architecture, healing sciences, healthcare environments, human-centered design, and healthcare delivery.</t>
  </si>
  <si>
    <t>Sustainable Design/Architecture.</t>
  </si>
  <si>
    <t>A program that focuses on the application of biological, physical, and social science in the design of sustainable cities and metropolitan regions. Includes instruction in community revitalization, community economic development, construction technology, design innovation, environmental economics, ethics, justice and politics, sustainable materials, sustainability theory, structural materials, and urbanism.</t>
  </si>
  <si>
    <t>Environmental Design, Other.</t>
  </si>
  <si>
    <t>Any instructional program in environmental design not listed above.</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</si>
  <si>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</si>
  <si>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</si>
  <si>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</si>
  <si>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</si>
  <si>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</si>
  <si>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t>
  </si>
  <si>
    <t>Architectural History, Criticism, and Conservation.</t>
  </si>
  <si>
    <t>Instructional content for this group of programs is defined in codes 04.0801 - 04.0899.</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</si>
  <si>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</si>
  <si>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</si>
  <si>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Conservation.</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</si>
  <si>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and material conservation.</t>
  </si>
  <si>
    <t>Architectural Studies.</t>
  </si>
  <si>
    <t>A program that focuses on the study of architecture, cities, landscapes, designed objects, ornament, architectural photography, and material culture in diverse places and time periods, and the social and aesthetic dimensions of contemporary architecture, landscapes, and cities, emphasizing issues of sustainable environments, new forms of urbanism, and the use of digital media for visualization and analysis. Includes instruction in the fundamentals of architecture, design, environmental and sustainability studies, historic preservation, landscape architecture, studio art, and urban affairs and planning.</t>
  </si>
  <si>
    <t>Architectural History, Criticism, and Conservation, Other.</t>
  </si>
  <si>
    <t>Any instructional program in architectural history, criticism, and conservation not listed above.</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</si>
  <si>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</si>
  <si>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</si>
  <si>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</si>
  <si>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</si>
  <si>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</si>
  <si>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</si>
  <si>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</si>
  <si>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</si>
  <si>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</si>
  <si>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</si>
  <si>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</si>
  <si>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Architecture and Related Services, Other.</t>
  </si>
  <si>
    <t>Instructional content is defined in code 04.9999.</t>
  </si>
  <si>
    <t>Any instructional program in architecture and related programs not listed above.</t>
  </si>
  <si>
    <t>AREA, ETHNIC, CULTURAL, GENDER, AND GROUP STUDIES.</t>
  </si>
  <si>
    <t>Instructional programs that focus on the defined areas, regions, and countries of the world; defined minority groups within and across societies; and issues relevant to collective gender and group experience.</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</si>
  <si>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</si>
  <si>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</si>
  <si>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</si>
  <si>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</si>
  <si>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</si>
  <si>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</si>
  <si>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</si>
  <si>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</si>
  <si>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</si>
  <si>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</si>
  <si>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</si>
  <si>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</si>
  <si>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</si>
  <si>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</si>
  <si>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</si>
  <si>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</si>
  <si>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</si>
  <si>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</si>
  <si>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</si>
  <si>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</si>
  <si>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</si>
  <si>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</si>
  <si>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Scandinavian Studies.</t>
  </si>
  <si>
    <t>A program that focuses on the history, society, politics, culture, and economics of one or more of the peoples of Scandinavia, defined as Northern Europe including Denmark, Finland, Iceland, Norway, Sweden, and related island groups (e.g.,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</si>
  <si>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</si>
  <si>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</si>
  <si>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</si>
  <si>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</si>
  <si>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</si>
  <si>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</si>
  <si>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</si>
  <si>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</si>
  <si>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</si>
  <si>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</si>
  <si>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</si>
  <si>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</si>
  <si>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</si>
  <si>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</si>
  <si>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</si>
  <si>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</si>
  <si>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</si>
  <si>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</si>
  <si>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</si>
  <si>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</si>
  <si>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</si>
  <si>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</si>
  <si>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</si>
  <si>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</si>
  <si>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</si>
  <si>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</si>
  <si>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</si>
  <si>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</si>
  <si>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</si>
  <si>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</si>
  <si>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</si>
  <si>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</si>
  <si>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</si>
  <si>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</si>
  <si>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</si>
  <si>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</si>
  <si>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</si>
  <si>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</si>
  <si>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</si>
  <si>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</si>
  <si>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</si>
  <si>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</si>
  <si>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</si>
  <si>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</si>
  <si>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</si>
  <si>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</si>
  <si>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Appalachian Studies.</t>
  </si>
  <si>
    <t>A program of study that focuses on the history, sociology, culture, and economics of the Appalachian region of the United States. Includes instruction in contemporary issues in Appalachia, political economy of Appalachia, community-based research, ethnomusicology, and oral and written languages of Appalachia.</t>
  </si>
  <si>
    <t>Arctic Studies.</t>
  </si>
  <si>
    <t>A program that focuses on the history, society, politics, culture, and economics of the Arctic region.</t>
  </si>
  <si>
    <t>Area Studies, Other.</t>
  </si>
  <si>
    <t>Any instructional program in specifically defined area studies not listed above.</t>
  </si>
  <si>
    <t>Ethnic, Cultural Minority, Gender, and Group Studies.</t>
  </si>
  <si>
    <t>Instructional content for this group of programs is defined in codes 05.0200 - 05.0299.</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</si>
  <si>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</si>
  <si>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</si>
  <si>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</si>
  <si>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</si>
  <si>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</si>
  <si>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</si>
  <si>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</si>
  <si>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</si>
  <si>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</si>
  <si>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</si>
  <si>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</si>
  <si>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</si>
  <si>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</si>
  <si>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</si>
  <si>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</si>
  <si>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</si>
  <si>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</si>
  <si>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</si>
  <si>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</si>
  <si>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</si>
  <si>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Comparative Group Studies.</t>
  </si>
  <si>
    <t>A program that focuses on the comparative study of the history, literature, sociology, politics, culture, and economics of different groups such as racial, gender, sexual, class, ethnic, geographical, and national. Includes instruction in comparative studies, comparative literature, critical race theory, cultural anthropology, cultural studies, religious studies, science studies, social and cultural theory, urban studies, and visual culture.</t>
  </si>
  <si>
    <t>Ethnic, Cultural Minority, Gender, and Group Studies, Other.</t>
  </si>
  <si>
    <t>Any instructional program in ethnic, cultural minority, gender, and group studies not listed above.</t>
  </si>
  <si>
    <t>Area, Ethnic, Cultural, Gender, and Group Studies, Other.</t>
  </si>
  <si>
    <t>Instructional content is defined in code 05.9999.</t>
  </si>
  <si>
    <t>Any instructional program in area, ethnic, cultural, gender, or group studies not listed above.</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</si>
  <si>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</si>
  <si>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</si>
  <si>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</si>
  <si>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</si>
  <si>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</si>
  <si>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</si>
  <si>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</si>
  <si>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</si>
  <si>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</si>
  <si>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</si>
  <si>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</si>
  <si>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</si>
  <si>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</si>
  <si>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</si>
  <si>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</si>
  <si>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</si>
  <si>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</si>
  <si>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</si>
  <si>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</si>
  <si>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Business and Economic Journalism.</t>
  </si>
  <si>
    <t>A program of study that prepares students to gather, analyze, and synthesize verbal and visual information to communicate stories related to business and economics across multiple media platforms. Includes instruction in accounting, business, business and economic reporting, business law, economics, finance, financial accounting and reporting, ethics, journalistic research methods and resources, and journalism skills and techniques.</t>
  </si>
  <si>
    <t>Cultural Journalism.</t>
  </si>
  <si>
    <t>A program of study that prepares individuals to be journalists who critically examine current culture as expressed through the visual and performing arts, design, film, music, radio, television, dance, theater, and written text. Includes instruction in arts criticism, art and entertainment reporting, cultural critique, investigative reporting, newspaper reporting, photojournalism, and writing.</t>
  </si>
  <si>
    <t>Science/Health/Environmental Journalism.</t>
  </si>
  <si>
    <t>A program that focuses on reporting on science, health, or environmental policy issues; investigating environmental problems and their causes; and public relations. Includes instruction in communication law, health reporting skills, interactive journalism, integrated marketing communication, journalism methods, media ethics, persuasion and political communication, science, health and the environment, social marketing, and video journalism.</t>
  </si>
  <si>
    <t>Journalism, Other.</t>
  </si>
  <si>
    <t>Any instructional program in journalism not listed above.</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</si>
  <si>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</si>
  <si>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</si>
  <si>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</si>
  <si>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</si>
  <si>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</si>
  <si>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</si>
  <si>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Radio, Television, and Digital Communication, Other.</t>
  </si>
  <si>
    <t>Any instructional program in radio, television, and digital communications not listed above.</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</si>
  <si>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</si>
  <si>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</si>
  <si>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</si>
  <si>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</si>
  <si>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</si>
  <si>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</si>
  <si>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</si>
  <si>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</si>
  <si>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</si>
  <si>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</si>
  <si>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</si>
  <si>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</si>
  <si>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</si>
  <si>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</si>
  <si>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</si>
  <si>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</si>
  <si>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</si>
  <si>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</si>
  <si>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t>
  </si>
  <si>
    <t>Communication Management and Strategic Communications.</t>
  </si>
  <si>
    <t>A program that focuses on the critical thinking, analysis, and practical skills essential to developing and implementing communication strategies that advance organizations goals and missions. Includes instruction in communication management, crisis communication, communications law, digital and traditional marketing strategies, media relations, social media strategies, strategic communication, traditional and emerging media, and writing for the media.</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</si>
  <si>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</si>
  <si>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</si>
  <si>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</si>
  <si>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</si>
  <si>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</si>
  <si>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</si>
  <si>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</si>
  <si>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</si>
  <si>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</si>
  <si>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</si>
  <si>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Technologies/Technicians.</t>
  </si>
  <si>
    <t>Instructional content is defined in code 10.0105.</t>
  </si>
  <si>
    <t>Communications Technology/Technician.</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</si>
  <si>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</si>
  <si>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Audiovisual Communications Technologies/Technicians.</t>
  </si>
  <si>
    <t>Instructional content for this group of programs is defined in codes 10.0201 - 10.0299.</t>
  </si>
  <si>
    <t>Photographic and Film/Video Technology/Technician.</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</si>
  <si>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</si>
  <si>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</si>
  <si>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</si>
  <si>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</si>
  <si>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soundtrack editing; dubbing and mixing; sound engineering; tape, disk, and CD production; digital recording and transmission; amplification and modulation; and working with producers, editors, directors, artists, and production managers.</t>
  </si>
  <si>
    <t>Voice Writing Technology/Technician.</t>
  </si>
  <si>
    <t>A program that prepares individuals to apply technical knowledge and skills to use voice writing computer software and speak a verbal shorthand language to create transcripts and screen captioning of live or recorded events intended for the public or a specific audience in a variety of media (e.g., digital, film, print, television) as well as for conferences, conversations, interviews, and meetings. Includes instruction in screen captioning, speed building, spoken shorthand, transcription, and voice input writing.</t>
  </si>
  <si>
    <t>Audiovisual Communications Technologies/Technicians, Other.</t>
  </si>
  <si>
    <t>Any instructional program in audiovisual communications technologies not listed above.</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</si>
  <si>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</si>
  <si>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</si>
  <si>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</si>
  <si>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</si>
  <si>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</si>
  <si>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</si>
  <si>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</si>
  <si>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</si>
  <si>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</si>
  <si>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</si>
  <si>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</si>
  <si>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</si>
  <si>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</si>
  <si>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</si>
  <si>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</si>
  <si>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</si>
  <si>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</si>
  <si>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</si>
  <si>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</si>
  <si>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</si>
  <si>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</si>
  <si>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</si>
  <si>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</si>
  <si>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</si>
  <si>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</si>
  <si>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</si>
  <si>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</si>
  <si>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</si>
  <si>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</si>
  <si>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</si>
  <si>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</si>
  <si>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</si>
  <si>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</si>
  <si>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</si>
  <si>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Human-Centered Technology Design.</t>
  </si>
  <si>
    <t>A program that focuses on incorporating a human perspective into designing, researching, and creating technological interfaces. Includes instruction in design, human-computer interaction, learning, neuroscience, perception, product design, user-centered design, and usability.</t>
  </si>
  <si>
    <t>Computer and Information Sciences,  Other.</t>
  </si>
  <si>
    <t>Any instructional program in computer science not listed above.</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</si>
  <si>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</si>
  <si>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</si>
  <si>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</si>
  <si>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</si>
  <si>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</si>
  <si>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</si>
  <si>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</si>
  <si>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</si>
  <si>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Game Programming.</t>
  </si>
  <si>
    <t>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t>
  </si>
  <si>
    <t>Computer Programming, Specific Platforms.</t>
  </si>
  <si>
    <t>A program that prepares individuals to design, develop, and implement software-based solutions for specific business and consumer platforms including industrial, game, mobile, tactile, and web platforms. Includes instruction in computer programming, computer hardware, data structures, database theory, maintenance, operating systems, project management, software development, and systems analysis.</t>
  </si>
  <si>
    <t>Computer Programming, Other.</t>
  </si>
  <si>
    <t>Any instructional program in computer programming not listed above.</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</si>
  <si>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</si>
  <si>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</si>
  <si>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</si>
  <si>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</si>
  <si>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</si>
  <si>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</si>
  <si>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</si>
  <si>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</si>
  <si>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</si>
  <si>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</si>
  <si>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</si>
  <si>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</si>
  <si>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</si>
  <si>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</si>
  <si>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</si>
  <si>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</si>
  <si>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</si>
  <si>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</si>
  <si>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</si>
  <si>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</si>
  <si>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</si>
  <si>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</si>
  <si>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Computer Software and Media Applications.</t>
  </si>
  <si>
    <t>Instructional content for this group of programs is defined in codes 11.0801 - 11.0899.</t>
  </si>
  <si>
    <t>Web Page, Digital/Multimedia and Information Resources Design.</t>
  </si>
  <si>
    <t>A program that prepares individuals to apply HTML, CSS,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</si>
  <si>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</si>
  <si>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</si>
  <si>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</si>
  <si>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</si>
  <si>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</si>
  <si>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</si>
  <si>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Computer Software and Media Applications, Other.</t>
  </si>
  <si>
    <t>Any instructional program in computer software and media applications not listed above.</t>
  </si>
  <si>
    <t>Computer Systems Networking and Telecommunications.</t>
  </si>
  <si>
    <t>Instructional content for this group of programs is defined in codes 11.0901 - 11.0999.</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</si>
  <si>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</si>
  <si>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Cloud Computing.</t>
  </si>
  <si>
    <t>A program that prepares individuals to design and implement enterprise software systems that rely on distributed computing and service-oriented architecture, including databases, web services, cloud computing, and mobile apps. Includes instruction in data management, distributed and cloud computing, enterprise software architecture, enterprise and cloud security, mobile systems and applications, server administration, and web development.</t>
  </si>
  <si>
    <t>Computer Systems Networking and Telecommunications, Other.</t>
  </si>
  <si>
    <t>Any instructional program in computer systems networking and telecommunications not listed above.</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</si>
  <si>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</si>
  <si>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</si>
  <si>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</si>
  <si>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</si>
  <si>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</si>
  <si>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</si>
  <si>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Security/Auditing/Information Assurance.</t>
  </si>
  <si>
    <t>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</si>
  <si>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</si>
  <si>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</si>
  <si>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</si>
  <si>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</si>
  <si>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</si>
  <si>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</si>
  <si>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Computer/Information Technology Services Administration and Management, Other.</t>
  </si>
  <si>
    <t>Any instructional program in computer/information technology services administration and management not listed above.</t>
  </si>
  <si>
    <t>Computer and Information Sciences and Support Services, Other.</t>
  </si>
  <si>
    <t>Instructional content is defined in code 11.9999.</t>
  </si>
  <si>
    <t>Any instructional program in computer and information sciences and support services not listed above.</t>
  </si>
  <si>
    <t>CULINARY, ENTERTAINMENT, AND PERSONAL SERVICES.</t>
  </si>
  <si>
    <t>Instructional programs that prepare individuals to provide professional services related to cosmetology, funeral services, entertainment, and food preparation and service.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</si>
  <si>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</si>
  <si>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</si>
  <si>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</si>
  <si>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</si>
  <si>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</si>
  <si>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</si>
  <si>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</si>
  <si>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</si>
  <si>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</si>
  <si>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</si>
  <si>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</si>
  <si>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</si>
  <si>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</si>
  <si>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</si>
  <si>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</si>
  <si>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</si>
  <si>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</si>
  <si>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</si>
  <si>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</si>
  <si>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</si>
  <si>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</si>
  <si>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</si>
  <si>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</si>
  <si>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</si>
  <si>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</si>
  <si>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</si>
  <si>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</si>
  <si>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</si>
  <si>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</si>
  <si>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</si>
  <si>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</si>
  <si>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</si>
  <si>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</si>
  <si>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</si>
  <si>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</si>
  <si>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t>
  </si>
  <si>
    <t>Cosmetology and Related Personal Grooming Arts, Other.</t>
  </si>
  <si>
    <t>Any instructional program in cosmetology and related personal grooming services not listed above.</t>
  </si>
  <si>
    <t>Culinary Arts and Related Services.</t>
  </si>
  <si>
    <t>Instructional content for this group of programs is defined in codes 12.0500 - 12.0599.</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</si>
  <si>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</si>
  <si>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</si>
  <si>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</si>
  <si>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</si>
  <si>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</si>
  <si>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</si>
  <si>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</si>
  <si>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</si>
  <si>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</si>
  <si>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</si>
  <si>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</si>
  <si>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</si>
  <si>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</si>
  <si>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</si>
  <si>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</si>
  <si>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</si>
  <si>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</si>
  <si>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</si>
  <si>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</si>
  <si>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</si>
  <si>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</si>
  <si>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</si>
  <si>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</si>
  <si>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</si>
  <si>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Casino Operations and Services.</t>
  </si>
  <si>
    <t>Instructional content for this group of programs is defined in codes 12.0601 - 12.0699.</t>
  </si>
  <si>
    <t>Casino Operations and Services, General.</t>
  </si>
  <si>
    <t>A program that focuses on casino operations and services. Includes instruction in casino operations, casino security and surveillance, casino dealing, principles of the gaming industry, ethics, and gaming law.</t>
  </si>
  <si>
    <t>Casino Dealing.</t>
  </si>
  <si>
    <t>A program of study that prepares individuals to apply technical skills and knowledge to become table games dealers in casinos or other recreational settings. Includes instruction in dealing techniques for Baccarat, Blackjack, Carnival Games, Craps, Poker, and Roulette.</t>
  </si>
  <si>
    <t>Casino Operations and Services, Other.</t>
  </si>
  <si>
    <t>Any instructional program in casino operations and services not listed above.</t>
  </si>
  <si>
    <t>Culinary, Entertainment, and Personal Services, Other.</t>
  </si>
  <si>
    <t>Instructional content is defined in code 12.9999.</t>
  </si>
  <si>
    <t>Any instructional program in culinary, entertainment, and personal services not listed above.</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</si>
  <si>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</si>
  <si>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</si>
  <si>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</si>
  <si>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</si>
  <si>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</si>
  <si>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</si>
  <si>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</si>
  <si>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</si>
  <si>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</si>
  <si>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</si>
  <si>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</si>
  <si>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</si>
  <si>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</si>
  <si>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</si>
  <si>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</si>
  <si>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</si>
  <si>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</si>
  <si>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</si>
  <si>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</si>
  <si>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</si>
  <si>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</si>
  <si>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</si>
  <si>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</si>
  <si>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</si>
  <si>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</si>
  <si>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</si>
  <si>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</si>
  <si>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</si>
  <si>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</si>
  <si>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</si>
  <si>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Community College Administration.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</si>
  <si>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</si>
  <si>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</si>
  <si>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</si>
  <si>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</si>
  <si>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</si>
  <si>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</si>
  <si>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</si>
  <si>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</si>
  <si>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</si>
  <si>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International School Administration/Leadership.</t>
  </si>
  <si>
    <t>A program that focuses on the principles and practice of administration in international schools, the study of international education as an object of applied research, and which may prepare individuals to function as administrators in such settings. Includes instruction in culture in the classroom, educational leadership, globalization, instructional design and technology, international research methods, evaluation, and education policy.</t>
  </si>
  <si>
    <t>Education Entrepreneurship.</t>
  </si>
  <si>
    <t>A program that prepares individuals to create, fund, and manage innovations in education. Includes instruction in philanthropy, business modeling, the design of learning environments, the economics of education, entrepreneurship, evaluation, finance, human-centered design, investing, resource management, project management, and marketing.</t>
  </si>
  <si>
    <t>Early Childhood Program Administration.</t>
  </si>
  <si>
    <t>A program that focuses on early childhood educational program administration and prepares individuals to serve as a principal or director of an early childhood educational program. Includes instruction in early childhood education, program and facilities planning, budgeting and administration, public relations, human resources management, early childhood growth and development, counseling skills, applicable law and regulations, school safety, policy studies, and professional standards and ethics.</t>
  </si>
  <si>
    <t>Educational Administration and Supervision, Other.</t>
  </si>
  <si>
    <t>Any instructional program in education administration and supervision not listed above.</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</si>
  <si>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</si>
  <si>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</si>
  <si>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</si>
  <si>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</si>
  <si>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</si>
  <si>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</si>
  <si>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</si>
  <si>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</si>
  <si>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</si>
  <si>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</si>
  <si>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</si>
  <si>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</si>
  <si>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</si>
  <si>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</si>
  <si>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Institutional Research.</t>
  </si>
  <si>
    <t>A program of study that prepares an individual to be an institutional researcher at a postsecondary educational institution. Includes instruction in data analysis, data-driven decision-making, data mining, higher education administration and organization, research methods, and statistics.</t>
  </si>
  <si>
    <t>Educational Assessment, Evaluation, and Research, Other.</t>
  </si>
  <si>
    <t>Any instructional program in educational evaluation, research and statistics not listed above.</t>
  </si>
  <si>
    <t>International and Comparative Education.</t>
  </si>
  <si>
    <t>Instructional content is defined in code 13.0701.</t>
  </si>
  <si>
    <t>A program that focuses on the educational phenomena, practices, and institutions within different societies and states in a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</si>
  <si>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</si>
  <si>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</si>
  <si>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</si>
  <si>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</si>
  <si>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</si>
  <si>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</si>
  <si>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 a collaborative or team environment.  Includes instruction in diagnosing learning disabilities, developing individual education plans, teaching and supervising special education students, special education counseling, and applicable laws and policies.</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</si>
  <si>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</si>
  <si>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</si>
  <si>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</si>
  <si>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</si>
  <si>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</si>
  <si>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individuals with emotional disturbances, counseling, and applicable laws and policies.</t>
  </si>
  <si>
    <t>Education/Teaching of Individuals with Intellectual Disabilities.</t>
  </si>
  <si>
    <t>A program that focuses on the design of educational services for children or adults with intellectual disabilities which adversely affect their educational performance and that may prepare individuals to teach such students.  Includes instruction in identifying students with intellectual disabilities,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</si>
  <si>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</si>
  <si>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</si>
  <si>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</si>
  <si>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</si>
  <si>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</si>
  <si>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</si>
  <si>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</si>
  <si>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</si>
  <si>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</si>
  <si>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</si>
  <si>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</si>
  <si>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</si>
  <si>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</si>
  <si>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</si>
  <si>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</si>
  <si>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</si>
  <si>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</si>
  <si>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</si>
  <si>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</si>
  <si>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</si>
  <si>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</si>
  <si>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</si>
  <si>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</si>
  <si>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</si>
  <si>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</si>
  <si>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</si>
  <si>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</si>
  <si>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</si>
  <si>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</si>
  <si>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</si>
  <si>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</si>
  <si>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</si>
  <si>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</si>
  <si>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</si>
  <si>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</si>
  <si>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</si>
  <si>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</si>
  <si>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</si>
  <si>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</si>
  <si>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</si>
  <si>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</si>
  <si>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</si>
  <si>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</si>
  <si>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</si>
  <si>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</si>
  <si>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</si>
  <si>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</si>
  <si>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</si>
  <si>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</si>
  <si>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</si>
  <si>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</si>
  <si>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</si>
  <si>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</si>
  <si>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t>
  </si>
  <si>
    <t>Online Educator/Online Teaching.</t>
  </si>
  <si>
    <t>A program that prepares individuals to teach students at various academic levels through online instructional technologies. Includes instruction in andragogy, pedagogy, assessment, instructional design and technology, and learning science.</t>
  </si>
  <si>
    <t>International Teaching and Learning.</t>
  </si>
  <si>
    <t>A program that prepares individuals to teach in schools that are implementing or proposing to implement the International Baccalaureate curriculum. Includes instruction in culturally-responsive classrooms, cross-cultural awareness, foundations of international education, human learning, human development, international teaching and learning, and pedagogy.</t>
  </si>
  <si>
    <t>Science, Technology, Engineering, and Mathematics (STEM) Educational Methods.</t>
  </si>
  <si>
    <t>A program that prepares individuals to connect education practices with scientific, engineering, and mathematical principles for PreK-12 students. Includes instruction in critical thinking, curriculum and instruction, history of STEM education, integrating STEM across curricula, learning sciences and technology, STEM education methods, and teacher leadership in STEM education.</t>
  </si>
  <si>
    <t>College/Postsecondary/University Teaching.</t>
  </si>
  <si>
    <t>A program that prepares individuals to teach at a postsecondary institution. Includes instruction in andragogy, assessment, classroom motivation, instructional design and technology, learner-centered teaching, learning science, syllabus construction, and teaching critical thinking.</t>
  </si>
  <si>
    <t>Teacher Education and Professional Development, Specific Levels and Methods, Other.</t>
  </si>
  <si>
    <t>Any instructional program in teacher education and professional development not listed above.</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</si>
  <si>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</si>
  <si>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</si>
  <si>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</si>
  <si>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</si>
  <si>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Art Teacher Education.</t>
  </si>
  <si>
    <t>A program that prepares individuals to teach art and art appreciation programs at various educational levels.</t>
  </si>
  <si>
    <t>Business and Innovation/Entrepreneurship Teacher Education.</t>
  </si>
  <si>
    <t>A program that prepares individuals to teach vocational business, innovation, and entrepreneurship programs at various educational levels. Includes instruction in business administration, business development, finance, idea generation, investing, logistics, management, and marketing.</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</si>
  <si>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</si>
  <si>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</si>
  <si>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</si>
  <si>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</si>
  <si>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</si>
  <si>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</si>
  <si>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</si>
  <si>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</si>
  <si>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</si>
  <si>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</si>
  <si>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</si>
  <si>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</si>
  <si>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</si>
  <si>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</si>
  <si>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</si>
  <si>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</si>
  <si>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</si>
  <si>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</si>
  <si>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</si>
  <si>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</si>
  <si>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</si>
  <si>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</si>
  <si>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</si>
  <si>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</si>
  <si>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</si>
  <si>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</si>
  <si>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</si>
  <si>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</si>
  <si>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</si>
  <si>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</si>
  <si>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</si>
  <si>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</si>
  <si>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</si>
  <si>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</si>
  <si>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</si>
  <si>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</si>
  <si>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</si>
  <si>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</si>
  <si>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</si>
  <si>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</si>
  <si>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</si>
  <si>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</si>
  <si>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</si>
  <si>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</si>
  <si>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</si>
  <si>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</si>
  <si>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</si>
  <si>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</si>
  <si>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</si>
  <si>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</si>
  <si>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</si>
  <si>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</si>
  <si>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</si>
  <si>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</si>
  <si>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</si>
  <si>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</si>
  <si>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</si>
  <si>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</si>
  <si>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</si>
  <si>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</si>
  <si>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</si>
  <si>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</si>
  <si>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</si>
  <si>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</si>
  <si>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</si>
  <si>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</si>
  <si>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Communication Arts and Literature Teacher Education.</t>
  </si>
  <si>
    <t>A program of study that prepares individuals to teach oral expression, literature, and writing to students at various education levels. Includes instruction in interpersonal communication, intercultural communication, language learning, listening instructional techniques, public speaking, reading instructional techniques, writing instructional techniques, and practical teaching experience.</t>
  </si>
  <si>
    <t>Teacher Education and Professional Development, Specific Subject Areas, Other.</t>
  </si>
  <si>
    <t>Any instructional program in teacher education, specific academic and vocational programs not listed above.</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</si>
  <si>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</si>
  <si>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</si>
  <si>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</si>
  <si>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</si>
  <si>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</si>
  <si>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</si>
  <si>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</si>
  <si>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</si>
  <si>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</si>
  <si>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</si>
  <si>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</si>
  <si>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</si>
  <si>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</si>
  <si>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</si>
  <si>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</si>
  <si>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</si>
  <si>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</si>
  <si>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</si>
  <si>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</si>
  <si>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</si>
  <si>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</si>
  <si>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</si>
  <si>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14.0101 - 14.0103.</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</si>
  <si>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</si>
  <si>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</si>
  <si>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t>
  </si>
  <si>
    <t>Applied Engineering.</t>
  </si>
  <si>
    <t>A program that generally prepares individuals to apply mathematical and scientific principles inherent to engineering to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</si>
  <si>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Aerospace, Aeronautical, and Astronautical/Space Engineering.</t>
  </si>
  <si>
    <t>Instructional content for this group of programs is defined in codes 14.0201 - 14.0299.</t>
  </si>
  <si>
    <t>Aerospace, Aeronautical, and Astronautical/Space Engineering, General.</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</si>
  <si>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</si>
  <si>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Astronautical Engineering.</t>
  </si>
  <si>
    <t>A program that prepares individuals to apply mathematical and scientific principles to the design, development, and operational evaluation of aircraft and space vehicles. Includes instruction in control systems, fluid dynamics, electrical circuits systems, orbital mechanics, propulsion, remote sensing, satellites, spacecraft centers, spacecraft systems engineering, and space exploration.</t>
  </si>
  <si>
    <t>Aerospace, Aeronautical, and Astronautical/Space Engineering, Other.</t>
  </si>
  <si>
    <t>Any program in aerospace, aeronautical, astronautical, or space engineering not listed above.</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</si>
  <si>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</si>
  <si>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</si>
  <si>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</si>
  <si>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</si>
  <si>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</si>
  <si>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</si>
  <si>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</si>
  <si>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</si>
  <si>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</si>
  <si>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</si>
  <si>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</si>
  <si>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</si>
  <si>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</si>
  <si>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</si>
  <si>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</si>
  <si>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</si>
  <si>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</si>
  <si>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</si>
  <si>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</si>
  <si>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</si>
  <si>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</si>
  <si>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</si>
  <si>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</si>
  <si>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</si>
  <si>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</si>
  <si>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</si>
  <si>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</si>
  <si>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</si>
  <si>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</si>
  <si>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</si>
  <si>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</si>
  <si>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</si>
  <si>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Civil Engineering, Other.</t>
  </si>
  <si>
    <t>Any instructional program in civil engineering not listed above.</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</si>
  <si>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</si>
  <si>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</si>
  <si>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</si>
  <si>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</si>
  <si>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</si>
  <si>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</si>
  <si>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</si>
  <si>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</si>
  <si>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</si>
  <si>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t>
  </si>
  <si>
    <t>Electrical, Electronics, and Communications Engineering.</t>
  </si>
  <si>
    <t>Instructional content for this group of programs is defined in codes 14.1001 - 14.1099.</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</si>
  <si>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</si>
  <si>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</si>
  <si>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</si>
  <si>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</si>
  <si>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</si>
  <si>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</si>
  <si>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Electrical, Electronics, and Communications Engineering, Other.</t>
  </si>
  <si>
    <t>Any instructional program in electrical, electronics, and communications engineering not listed above.</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</si>
  <si>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</si>
  <si>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</si>
  <si>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</si>
  <si>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</si>
  <si>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</si>
  <si>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</si>
  <si>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</si>
  <si>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Engineering Science.</t>
  </si>
  <si>
    <t>Instructional content is defined in code 14.1301.</t>
  </si>
  <si>
    <t>A program with a general focus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</si>
  <si>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</si>
  <si>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</si>
  <si>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</si>
  <si>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Materials Engineering.</t>
  </si>
  <si>
    <t>Instructional content is defined in code 14.1801.</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</si>
  <si>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</si>
  <si>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</si>
  <si>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</si>
  <si>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</si>
  <si>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</si>
  <si>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</si>
  <si>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</si>
  <si>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</si>
  <si>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</si>
  <si>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</si>
  <si>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</si>
  <si>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</si>
  <si>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</si>
  <si>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</si>
  <si>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</si>
  <si>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</si>
  <si>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</si>
  <si>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</si>
  <si>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</si>
  <si>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</si>
  <si>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</si>
  <si>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</si>
  <si>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</si>
  <si>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</si>
  <si>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</si>
  <si>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Textile Sciences and Engineering.</t>
  </si>
  <si>
    <t>Instructional content is defined in code 14.2801. These CIP codes are not valid for IPEDS reporting.</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</si>
  <si>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</si>
  <si>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</si>
  <si>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</si>
  <si>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</si>
  <si>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</si>
  <si>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</si>
  <si>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</si>
  <si>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</si>
  <si>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</si>
  <si>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</si>
  <si>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</si>
  <si>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</si>
  <si>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</si>
  <si>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</si>
  <si>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</si>
  <si>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</si>
  <si>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</si>
  <si>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</si>
  <si>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</si>
  <si>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</si>
  <si>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</si>
  <si>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</si>
  <si>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</si>
  <si>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</si>
  <si>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</si>
  <si>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</si>
  <si>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</si>
  <si>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</si>
  <si>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</si>
  <si>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</si>
  <si>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</si>
  <si>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</si>
  <si>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</si>
  <si>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</si>
  <si>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</si>
  <si>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</si>
  <si>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</si>
  <si>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</si>
  <si>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</si>
  <si>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</si>
  <si>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</si>
  <si>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</si>
  <si>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</si>
  <si>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Electrical and Computer Engineering.</t>
  </si>
  <si>
    <t>Instructional content is defined in code 14.4701.</t>
  </si>
  <si>
    <t>A program that prepares individuals to apply mathematical and scientific principles to the design and development of computer systems. Includes instruction in computer architecture, cybersecurity, electronic circuits, electromagnetism, electronic materials and design, micro-fabrication methods and techniques, signal and image processing, and wireless communication networks.</t>
  </si>
  <si>
    <t>Energy Systems Engineering.</t>
  </si>
  <si>
    <t>Instructional content for this group of programs is defined in codes 14.4801 - 14.4899.</t>
  </si>
  <si>
    <t>Energy Systems Engineering, General.</t>
  </si>
  <si>
    <t>A program that prepares individuals to apply mathematical and scientific principles to the design, development and operational evaluation of energy generation, storage, conversion, and distribution systems. Includes instruction in conventional and alternative/renewable energy systems, electrical power systems, and electrical system design.</t>
  </si>
  <si>
    <t>Power Plant Engineering.</t>
  </si>
  <si>
    <t>A program that prepares individuals to plan electrical systems and modify existing electrical systems that generate and use large amounts of electricity required for distribution networks that are economical, safe, and functional. Includes instruction in alternative/renewable energy systems; calculus; circuit analysis; electrical power systems and industry practices; electrical system design; microprocessor architecture; motor control systems; power electronics operation, planning and protection; programmable logic controllers; and project management.</t>
  </si>
  <si>
    <t>Energy Systems Engineering, Other.</t>
  </si>
  <si>
    <t>Any instructional program in energy systems engineering not listed above.</t>
  </si>
  <si>
    <t>Engineering, Other.</t>
  </si>
  <si>
    <t>Instructional content is defined in code 14.9999.</t>
  </si>
  <si>
    <t>Any instructional program in engineering not listed above.</t>
  </si>
  <si>
    <t>ENGINEERING/ENGINEERING-RELATED TECHNOLOGIES/TECHNICIANS.</t>
  </si>
  <si>
    <t>Instructional programs that prepare individuals to apply basic engineering principles and technical skills in support of engineering and related projects or to prepare for engineering-related fields.</t>
  </si>
  <si>
    <t>Engineering Technologies/Technicians, General.</t>
  </si>
  <si>
    <t>Instructional content for this group of programs is defined in codes 15.0000 - 15.0001.</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</si>
  <si>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</si>
  <si>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Applied Engineering Technologies/Technicians.</t>
  </si>
  <si>
    <t>A program that generally prepares individuals to apply basic engineering principles and technical skills in support of engineers engaged in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</si>
  <si>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Architectural Engineering Technologies/Technicians.</t>
  </si>
  <si>
    <t>Instructional content is defined in code 15.0101.</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</si>
  <si>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</si>
  <si>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Civil Engineering Technologies/Technicians.</t>
  </si>
  <si>
    <t>Instructional content is defined in code 15.0201.</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</si>
  <si>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</si>
  <si>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Electrical/Electronic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</si>
  <si>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</si>
  <si>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</si>
  <si>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</si>
  <si>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</si>
  <si>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</si>
  <si>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</si>
  <si>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</si>
  <si>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Integrated Circuit Design Technology/Technician.</t>
  </si>
  <si>
    <t>A program that prepares individuals to apply basic engineering principles and technical skills to design circuits in microelectronics. Includes instruction in circuit design, circuit layout, circuit analysis, computer-aided drafting, and semi-conductor technologies.</t>
  </si>
  <si>
    <t>Audio Engineering Technology/Technician.</t>
  </si>
  <si>
    <t>A program of study that prepares individuals to apply mathematical and scientific principles to the mixing, recording, and production of music. Includes instruction in acoustics, audio mixing, audio production, audio recording, computer composition of music, music theory, digital devices, and sound technology.</t>
  </si>
  <si>
    <t>Electrical/Electronic Engineering Technologies/Technicians, Other.</t>
  </si>
  <si>
    <t>Any instructional program in electrical and electronic engineering-related technologies not listed above.</t>
  </si>
  <si>
    <t>Electromechanical Technologies/Technicians.</t>
  </si>
  <si>
    <t>Instructional content for this group of programs is defined in codes 15.0401 - 15.0499.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</si>
  <si>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</si>
  <si>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</si>
  <si>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Electromechanical/Electromechanical Engineering Technology/Technician.</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</si>
  <si>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</si>
  <si>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</si>
  <si>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</si>
  <si>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</si>
  <si>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</si>
  <si>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</si>
  <si>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</si>
  <si>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Mechatronics, Robotics, and Automation Engineering Technology/Technician.</t>
  </si>
  <si>
    <t>A program that prepares individuals to apply basic engineering principles and technical skills in the support of engineers to the design, development, and operational evaluation of autonomous, computer-controlled, electro-mechanical systems. Includes instruction in computer and software engineering, control engineering, electronic and electrical engineering, mechanical engineering, and robotics.</t>
  </si>
  <si>
    <t>Electromechanical Technologies/Technicians, Other.</t>
  </si>
  <si>
    <t>Any instructional program in electromechanical technologies not listed above.</t>
  </si>
  <si>
    <t>Environmental Control Technologies/Technicians.</t>
  </si>
  <si>
    <t>Instructional content for this group of programs is defined in codes 15.0501 - 15.0599.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</si>
  <si>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</si>
  <si>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</si>
  <si>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</si>
  <si>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</si>
  <si>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Environmental/Environmental Engineering Technology/Technician.</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</si>
  <si>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</si>
  <si>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</si>
  <si>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</si>
  <si>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</si>
  <si>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</si>
  <si>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Industrial Production Technologies/Technicians.</t>
  </si>
  <si>
    <t>Instructional content for this group of programs is defined in codes 15.0607 - 15.0699.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</si>
  <si>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</si>
  <si>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</si>
  <si>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</si>
  <si>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</si>
  <si>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</si>
  <si>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</si>
  <si>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</si>
  <si>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</si>
  <si>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</si>
  <si>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</si>
  <si>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</si>
  <si>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</si>
  <si>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Technology/Technician.</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</si>
  <si>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</si>
  <si>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Composite Materials Technology/Technician.</t>
  </si>
  <si>
    <t>A program of study that prepares individuals to apply basic engineering principles and technical skills in support of engineers and other professionals engaged in the development, manufacture, and use of composite materials in aircraft technology, automotive technology, boats, medical prostheses, and wind turbines. Includes instruction in computer-aided design and drafting, composite materials and processes, composite maintenance, composite manufacturing, composite repair, material science, and mold manufacturing and production.</t>
  </si>
  <si>
    <t>Industrial Production Technologies/Technicians, Other.</t>
  </si>
  <si>
    <t>Any instructional program in industrial production technologies not listed above.</t>
  </si>
  <si>
    <t>Quality Control and Safety Technologies/Technicians.</t>
  </si>
  <si>
    <t>Instructional content for this group of programs is defined in codes 15.0701 - 15.0799.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</si>
  <si>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</si>
  <si>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</si>
  <si>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</si>
  <si>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</si>
  <si>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</si>
  <si>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to mitigate damage, reduce risks, and prevent accidents. Includes instruction in industrial processes, industrial hygiene, injury prevention, toxicology, ergonomics, risk analysis,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</si>
  <si>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</si>
  <si>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</si>
  <si>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Process Safety Technology/Technician.</t>
  </si>
  <si>
    <t>A program that prepares individuals to apply basic engineering principles and technical skills in support of engineers engaged in developing methods to mitigate damage, reduce risks, and prevent accidents. Includes instruction in design for injury prevention, engineering for process safety, environmental psychology, function-based risk analysis, fundamentals of industrial engineering, operations research, probability and statistics, risk assessment and reduction, and safety engineering.</t>
  </si>
  <si>
    <t>Quality Control and Safety Technologies/Technicians, Other.</t>
  </si>
  <si>
    <t>Any instructional program in quality control and safety technologies not listed above.</t>
  </si>
  <si>
    <t>Mechanical Engineering Related Technologies/Technicians.</t>
  </si>
  <si>
    <t>Instructional content for this group of programs is defined in codes 15.0801 - 15.0899.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</si>
  <si>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</si>
  <si>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</si>
  <si>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</si>
  <si>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</si>
  <si>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Mechanical/Mechanical Engineering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</si>
  <si>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</si>
  <si>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Marine Engineering Technology/Technician.</t>
  </si>
  <si>
    <t>A program that prepares individuals to apply basic engineering principles and technical skills in support of engineers and other professionals engaged in shipboard mechanical and electrical engineering and the maintenance and operation of marine engines, including gas, diesel, and steam engines. Includes instruction in automation, diesel-powered systems, electrical circuits and systems, engine performance, hydraulics, manufacturing, motor-powered systems, refrigeration and air-conditioning, steam-powered systems, and welding.</t>
  </si>
  <si>
    <t>Motorsports Engineering Technology/Technician.</t>
  </si>
  <si>
    <t>A program that prepares individuals to apply basic engineering principles and technical skills in support of engineers and other professionals engaged in the design, construction, and repair of vehicles used in racing and motorsports. Includes instruction in aerodynamics, design, vehicle dynamics, performance engines, fluid mechanics, computer-aided design (CAD), mechanical engineering, and welding.</t>
  </si>
  <si>
    <t>Mechanical Engineering Related Technologies/Technicians, Other.</t>
  </si>
  <si>
    <t>Any instructional program in mechanical engineering-related technologies not listed above.</t>
  </si>
  <si>
    <t>Mining and Petroleum Technologies/Technicians.</t>
  </si>
  <si>
    <t>Instructional content for this group of programs is defined in codes 15.0901 - 15.0999.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</si>
  <si>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</si>
  <si>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</si>
  <si>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</si>
  <si>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</si>
  <si>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</si>
  <si>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</si>
  <si>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Construction Engineering Technology/Technician.</t>
  </si>
  <si>
    <t>Instructional content is defined in code 15.1001.</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</si>
  <si>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</si>
  <si>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Engineering-Related Technologies/Technicians.</t>
  </si>
  <si>
    <t>Instructional content for this group of programs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</si>
  <si>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</si>
  <si>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</si>
  <si>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</si>
  <si>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</si>
  <si>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Technologies/Technicians, Other.</t>
  </si>
  <si>
    <t>Any programs in engineering-related technologies and technicians not listed above.</t>
  </si>
  <si>
    <t>Computer Engineering Technologies/Technicians.</t>
  </si>
  <si>
    <t>Instructional content for this group of programs is defined in codes 15.1201 - 15.1299.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</si>
  <si>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</si>
  <si>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</si>
  <si>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Computer/Computer Systems Technology/Technician.</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</si>
  <si>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</si>
  <si>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</si>
  <si>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</si>
  <si>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</si>
  <si>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</si>
  <si>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</si>
  <si>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</si>
  <si>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Drafting/Design Engineering Technologies/Technicians.</t>
  </si>
  <si>
    <t>Instructional content for this group of programs is defined in codes 15.1301 - 15.1399.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</si>
  <si>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</si>
  <si>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</si>
  <si>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</si>
  <si>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</si>
  <si>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</si>
  <si>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</si>
  <si>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</si>
  <si>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</si>
  <si>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</si>
  <si>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</si>
  <si>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</si>
  <si>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</si>
  <si>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3-D Modeling and Design Technology/Technician.</t>
  </si>
  <si>
    <t>A program that prepares individuals to apply technical knowledge and skills in the use of three-dimensional (3-D) computer technology to create technical illustrations and models used in manufacturing, design, production, and construction. Includes instruction in 3-D computer-aided design (CAD), 3-D printing, 3-D model design and construction, and 3-D scanning.</t>
  </si>
  <si>
    <t>Drafting/Design Engineering Technologies/Technicians, Other.</t>
  </si>
  <si>
    <t>Any instructional program in drafting/design engineering technologies not listed above.</t>
  </si>
  <si>
    <t>Nuclear Engineering Technology/Technician.</t>
  </si>
  <si>
    <t>Instructional content is defined in code 15.1401.</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</si>
  <si>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</si>
  <si>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</si>
  <si>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</si>
  <si>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</si>
  <si>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</si>
  <si>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</si>
  <si>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</si>
  <si>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</si>
  <si>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</si>
  <si>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</si>
  <si>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</si>
  <si>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</si>
  <si>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</si>
  <si>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</si>
  <si>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Energy Systems Technologies/Technicians.</t>
  </si>
  <si>
    <t>Instructional content for this group of programs is defined in codes 15.1701 - 15.1799.</t>
  </si>
  <si>
    <t>Energy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</si>
  <si>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</si>
  <si>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Power Plant Technology/Technician.</t>
  </si>
  <si>
    <t>A program that prepares individuals to apply basic engineering principles and technical skills in support of engineers engaged in the operation and maintenance of electricity generating power plants. Includes instruction in basic electricity, electrical power, generator operations, industrial controls, power plant instrumentation, power plant theory, pollution control, reactor theory, thermodynamics, turbines, and water chemistry.</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</si>
  <si>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</si>
  <si>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</si>
  <si>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Wind Energy Technology/Technician.</t>
  </si>
  <si>
    <t>A program that prepares individuals to apply basic engineering principles and technical skills in support of engineers and other professionals engaged in developing wind-powered energy systems. Includes instruction in wind energy principles, energy storage and transfer technologies, testing and inspection procedures, system maintenance procedures, and report preparation.</t>
  </si>
  <si>
    <t>Hydroelectric Energy Technology/Technician.</t>
  </si>
  <si>
    <t>A program that prepares individuals to apply basic engineering principles and technical skills in support of engineers and other professionals engaged in developing hydroelectric energy systems. Includes instruction in hydroelectric energy principles, energy storage and transfer technologies, testing and inspection procedures, system maintenance procedures, and report preparation.</t>
  </si>
  <si>
    <t>Geothermal Energy Technology/Technician.</t>
  </si>
  <si>
    <t>A program that prepares individuals to apply basic engineering principles and technical skills in support of engineers and other professionals engaged in developing geothermal energy systems. Includes instruction in geothermal energy principles, energy storage and transfer technologies, testing and inspection procedures, system maintenance procedures, and report preparation.</t>
  </si>
  <si>
    <t>Energy Systems Technologies/Technicians, Other.</t>
  </si>
  <si>
    <t>Any instructional program in energy systems technologies not listed above.</t>
  </si>
  <si>
    <t>Engineering/Engineering-Related Technologies/Technicians, Other.</t>
  </si>
  <si>
    <t>Instructional content is defined in code 15.9999.</t>
  </si>
  <si>
    <t>Any instructional program in engineering technologies and engineering-related fields not listed above.</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</si>
  <si>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</si>
  <si>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</si>
  <si>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</si>
  <si>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</si>
  <si>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</si>
  <si>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</si>
  <si>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</si>
  <si>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</si>
  <si>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</si>
  <si>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</si>
  <si>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</si>
  <si>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</si>
  <si>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</si>
  <si>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</si>
  <si>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</si>
  <si>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</si>
  <si>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</si>
  <si>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</si>
  <si>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</si>
  <si>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East Asian Languages, Literatures, and Linguistics.</t>
  </si>
  <si>
    <t>Instructional content for this group of programs is defined in codes 16.0300 - 16.0399.</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</si>
  <si>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</si>
  <si>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</si>
  <si>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</si>
  <si>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</si>
  <si>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</si>
  <si>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</si>
  <si>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</si>
  <si>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</si>
  <si>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</si>
  <si>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</si>
  <si>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</si>
  <si>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</si>
  <si>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Slavic, Baltic and Albanian Languages, Literatures, and Linguistics.</t>
  </si>
  <si>
    <t>Instructional content for this group of programs is defined in codes 16.0400 - 16.0499.</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</si>
  <si>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</si>
  <si>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</si>
  <si>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</si>
  <si>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</si>
  <si>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</si>
  <si>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</si>
  <si>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</si>
  <si>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</si>
  <si>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</si>
  <si>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</si>
  <si>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</si>
  <si>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</si>
  <si>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</si>
  <si>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</si>
  <si>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</si>
  <si>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</si>
  <si>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</si>
  <si>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</si>
  <si>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</si>
  <si>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</si>
  <si>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</si>
  <si>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</si>
  <si>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Germanic Languages, Literatures, and Linguistics.</t>
  </si>
  <si>
    <t>Instructional content for this group of programs is defined in codes 16.0500 - 16.0599.</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</si>
  <si>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</si>
  <si>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</si>
  <si>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</si>
  <si>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</si>
  <si>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</si>
  <si>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</si>
  <si>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</si>
  <si>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</si>
  <si>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</si>
  <si>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</si>
  <si>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</si>
  <si>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</si>
  <si>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</si>
  <si>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</si>
  <si>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</si>
  <si>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</si>
  <si>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</si>
  <si>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</si>
  <si>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</si>
  <si>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South Asian Languages, Literatures, and Linguistics.</t>
  </si>
  <si>
    <t>Instructional content for this group of programs is defined in codes 16.0700 - 16.0799.</t>
  </si>
  <si>
    <t>South Asian Languages, Literatures, and Linguistics, General.</t>
  </si>
  <si>
    <t>A general program that focuses on one or more of the languages, literatures, and linguistics of the peoples of the Indian subcontinent and associated borderlands and island groups.</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</si>
  <si>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</si>
  <si>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</si>
  <si>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</si>
  <si>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</si>
  <si>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</si>
  <si>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</si>
  <si>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</si>
  <si>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</si>
  <si>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</si>
  <si>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</si>
  <si>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</si>
  <si>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</si>
  <si>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</si>
  <si>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</si>
  <si>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</si>
  <si>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</si>
  <si>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</si>
  <si>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</si>
  <si>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Romance Languages, Literatures, and Linguistics.</t>
  </si>
  <si>
    <t>Instructional content for this group of programs is defined in codes 16.0900 - 16.0999.</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</si>
  <si>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</si>
  <si>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</si>
  <si>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</si>
  <si>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</si>
  <si>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</si>
  <si>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</si>
  <si>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</si>
  <si>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</si>
  <si>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</si>
  <si>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</si>
  <si>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</si>
  <si>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</si>
  <si>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</si>
  <si>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</si>
  <si>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</si>
  <si>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</si>
  <si>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</si>
  <si>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</si>
  <si>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</si>
  <si>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</si>
  <si>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North American language families, including, but not limited to, Algonkian, Athabascan, Siouan, Muskogean, Iroquoian, Kumeyaay, Yuman, Mayan, Zapotecan, and Uto-Aztecan; South American language families, including, but not limited to, Andean-Equatorial, Ge-Pano-Carib, and Macro-Chibchan; and other minor languages.</t>
  </si>
  <si>
    <t>Middle/Near Eastern and Semitic Languages, Literatures, and Linguistics.</t>
  </si>
  <si>
    <t>Instructional content for this group of programs is defined in codes 16.1100 - 16.1199.</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</si>
  <si>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</si>
  <si>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</si>
  <si>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</si>
  <si>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</si>
  <si>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</si>
  <si>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</si>
  <si>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</si>
  <si>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</si>
  <si>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</si>
  <si>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</si>
  <si>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Classics and Classical Languages, Literatures, and Linguistics.</t>
  </si>
  <si>
    <t>Instructional content for this group of programs is defined in codes 16.1200 - 16.1299.</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</si>
  <si>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</si>
  <si>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</si>
  <si>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</si>
  <si>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</si>
  <si>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</si>
  <si>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</si>
  <si>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</si>
  <si>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</si>
  <si>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</si>
  <si>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</si>
  <si>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</si>
  <si>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</si>
  <si>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</si>
  <si>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</si>
  <si>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</si>
  <si>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</si>
  <si>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</si>
  <si>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</si>
  <si>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</si>
  <si>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</si>
  <si>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</si>
  <si>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</si>
  <si>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</si>
  <si>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</si>
  <si>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</si>
  <si>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</si>
  <si>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</si>
  <si>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</si>
  <si>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</si>
  <si>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</si>
  <si>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</si>
  <si>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Hawaiian Language and Literature.</t>
  </si>
  <si>
    <t>A program that focuses on the Hawaiian language and related dialects. Includes instruction in philology; dialects;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</si>
  <si>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</si>
  <si>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</si>
  <si>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</si>
  <si>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</si>
  <si>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</si>
  <si>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</si>
  <si>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</si>
  <si>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</si>
  <si>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</si>
  <si>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</si>
  <si>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</si>
  <si>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</si>
  <si>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</si>
  <si>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</si>
  <si>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</si>
  <si>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</si>
  <si>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</si>
  <si>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</si>
  <si>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</si>
  <si>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</si>
  <si>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</si>
  <si>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</si>
  <si>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</si>
  <si>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</si>
  <si>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Second Language Learning.</t>
  </si>
  <si>
    <t>Instructional content for this group of programs is defined in codes 16.1701 - 16.1799.</t>
  </si>
  <si>
    <t>English as a Second Language.</t>
  </si>
  <si>
    <t>A program that focuses on the development of proficiency in reading, writing, and speaking English for those for whom English is not their mother tongue. Includes instruction in the use of basic communication skills to develop and transmit ideas and thoughts in English as well as specialized programs that focus on the development of proficiency in English sufficient to meet specific occupational or academic demands. Note: These programs are for academic credit towards a postsecondary credential. For second language programs that are not for academic credit towards a postsecondary credential, see 32.0109.</t>
  </si>
  <si>
    <t>Armenian Languages, Literatures, and Linguistics.</t>
  </si>
  <si>
    <t>Instructional content is defined in code 16.1801.</t>
  </si>
  <si>
    <t>Armenian Language and Literature.</t>
  </si>
  <si>
    <t>A program that focuses on the historical and modern languages spoken by Armenians. Includes instruction in philology; linguistics; dialects and pidgins; literature; and applications to business, science/technology, and other settings.</t>
  </si>
  <si>
    <t>Foreign Languages, Literatures, and Linguistics, Other.</t>
  </si>
  <si>
    <t>Instructional content is defined in code 16.9999.</t>
  </si>
  <si>
    <t>Any instructional program in foreign languages, literatures, and linguistics not listed above.</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</si>
  <si>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</si>
  <si>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</si>
  <si>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</si>
  <si>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</si>
  <si>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</si>
  <si>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</si>
  <si>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</si>
  <si>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</si>
  <si>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</si>
  <si>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</si>
  <si>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</si>
  <si>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</si>
  <si>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</si>
  <si>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</si>
  <si>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</si>
  <si>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</si>
  <si>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</si>
  <si>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</si>
  <si>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</si>
  <si>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</si>
  <si>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</si>
  <si>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</si>
  <si>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</si>
  <si>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</si>
  <si>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</si>
  <si>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</si>
  <si>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</si>
  <si>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</si>
  <si>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</si>
  <si>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</si>
  <si>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</si>
  <si>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</si>
  <si>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</si>
  <si>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</si>
  <si>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</si>
  <si>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</si>
  <si>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</si>
  <si>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</si>
  <si>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</si>
  <si>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</si>
  <si>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</si>
  <si>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</si>
  <si>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</si>
  <si>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</si>
  <si>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</si>
  <si>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</si>
  <si>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</si>
  <si>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</si>
  <si>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</si>
  <si>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</si>
  <si>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</si>
  <si>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</si>
  <si>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</si>
  <si>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</si>
  <si>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</si>
  <si>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</si>
  <si>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</si>
  <si>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</si>
  <si>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</si>
  <si>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</si>
  <si>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</si>
  <si>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</si>
  <si>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</si>
  <si>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Early Childhood and Family Studies.</t>
  </si>
  <si>
    <t>A program of study that focuses on the development and learning of children from birth to six years old within the context of the family. Includes instruction in child abuse and neglect, child and infant growth and development, early childhood education, early childhood language and literacy, early childhood math and science, early childhood special education, family literacy, family sociology, family and marriage relations, assessment and measurement, psychology, and psychopathology.</t>
  </si>
  <si>
    <t>Parent Education Services.</t>
  </si>
  <si>
    <t>A program that prepares individuals to plan, coordinate, and teach parent education programs and services that address the cultural, emotional, intellectual, physical and social needs of children and parents. Includes instruction in child development, cultural diversity in schools, child behavior, family development, family-community partnerships, family dynamics, interpersonal relationships, parent-child relationships, and social services.</t>
  </si>
  <si>
    <t>Human Development, Family Studies, and Related Services, Other.</t>
  </si>
  <si>
    <t>Any instructional program in human development, family studies, and related services not listed above.</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</si>
  <si>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</si>
  <si>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</si>
  <si>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</si>
  <si>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</si>
  <si>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</si>
  <si>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</si>
  <si>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</si>
  <si>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</si>
  <si>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</si>
  <si>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</si>
  <si>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</si>
  <si>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</si>
  <si>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</si>
  <si>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</si>
  <si>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Work and Family Studies.</t>
  </si>
  <si>
    <t>Instructional content is defined in code 19.1001.</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</si>
  <si>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</si>
  <si>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Other.</t>
  </si>
  <si>
    <t>Instructional content is defined in code 19.9999.</t>
  </si>
  <si>
    <t>Any instructional program in family and consumer sciences/human sciences not listed above.</t>
  </si>
  <si>
    <t>RESERVED.</t>
  </si>
  <si>
    <t>Reserved for use by Statistics Canada. These CIP codes are not valid for IPEDS reporting.</t>
  </si>
  <si>
    <t>Instructional content is defined in code 21.0101.</t>
  </si>
  <si>
    <t>LEGAL PROFESSIONS AND STUDIES.</t>
  </si>
  <si>
    <t>Instructional programs that prepare individuals for the legal profession, for related support professions and professional legal research, and focus on the study of legal issues in non-professional programs.</t>
  </si>
  <si>
    <t>Non-Professional Legal Studies.</t>
  </si>
  <si>
    <t>Instructional content for this group of programs is defined in codes 22.0000 - 22.0099.</t>
  </si>
  <si>
    <t>Legal Studies.</t>
  </si>
  <si>
    <t>A program of study that focuses on law and legal issues from the perspective of the social sciences and humanities.</t>
  </si>
  <si>
    <t>Pre-Law Studies.</t>
  </si>
  <si>
    <t>A program that prepares individuals for the professional study of law at the post-baccalaureate level.</t>
  </si>
  <si>
    <t>Non-Professional Legal Studies, Other.</t>
  </si>
  <si>
    <t>Any program in non-professional legal studies not listed above.</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</si>
  <si>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</si>
  <si>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</si>
  <si>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</si>
  <si>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</si>
  <si>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</si>
  <si>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</si>
  <si>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t>
  </si>
  <si>
    <t>Programs for Foreign Lawyers.</t>
  </si>
  <si>
    <t>A program that prepares lawyers educated outside the United States to understand U. S. or Canadian law and jurisprudence.</t>
  </si>
  <si>
    <t>American/U.S. Law/Legal Studies/Jurisprudence.</t>
  </si>
  <si>
    <t>An advanced, professional program of the U.S. legal system, Constitution law, and jurisprudence.  Includes instruction in legal history, legal sociology, philosophy of law, Constitutional law, legal procedure, and related topics.</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</si>
  <si>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</si>
  <si>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</si>
  <si>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</si>
  <si>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</si>
  <si>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Comparative Law.</t>
  </si>
  <si>
    <t>An advanced, professional study of legal systems and philosophies in comparative perspective.</t>
  </si>
  <si>
    <t>Energy, Environment, and Natural Resources Law.</t>
  </si>
  <si>
    <t>An advanced, professional study of  the law, policies, and regulations governing the energy industry, environmental protection, natural resources and land use, and related topics.</t>
  </si>
  <si>
    <t>Health Law.</t>
  </si>
  <si>
    <t>An advanced, professional study of the law, policies and regulations affecting the health care industry, health professions, health services and insurance industries, and patients.</t>
  </si>
  <si>
    <t>International Law and Legal Studies.</t>
  </si>
  <si>
    <t>An advanced, professional study of the law affecting relations between nations, the behavior of international organizations, and the international activities of private citizens and organizations.</t>
  </si>
  <si>
    <t>International Business, Trade, and Tax Law.</t>
  </si>
  <si>
    <t>An advanced, professional study of the law, policies, and regulations governing transnational business and commercial practices, including the specialized tax law related to international financial transactions.</t>
  </si>
  <si>
    <t>Tax Law/Taxation.</t>
  </si>
  <si>
    <t>An advanced, professional study of tax law and taxation procedures in U.S. or Canadian jurisdictions affecting individuals and corporations.</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</si>
  <si>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</si>
  <si>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</si>
  <si>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Patent Law.</t>
  </si>
  <si>
    <t>An advanced, professional study of the law, policies, and regulations affecting patents.</t>
  </si>
  <si>
    <t>Agriculture Law.</t>
  </si>
  <si>
    <t>An advanced, professional study of the law, policies, and regulations for lawyers and non-legal professionals in food and agriculture.</t>
  </si>
  <si>
    <t>Arts and Entertainment Law.</t>
  </si>
  <si>
    <t>An advanced, professional study of the law, policies, and regulations affecting the sports, fashion, entertainment, arts, and media industries.</t>
  </si>
  <si>
    <t>Compliance Law.</t>
  </si>
  <si>
    <t>An advanced, professional study of the law, policies, and regulations for lawyers and non-legal professionals in compliance, ethics, internal monitoring, regulatory affairs, and related areas.</t>
  </si>
  <si>
    <t>Criminal Law and Procedure.</t>
  </si>
  <si>
    <t>An advanced, professional study of the law, policies, and regulations affecting criminal law and trial procedures.</t>
  </si>
  <si>
    <t>Entrepreneurship Law.</t>
  </si>
  <si>
    <t>An advanced, professional study of the law, policies, and regulations affecting entrepreneurship and innovation.</t>
  </si>
  <si>
    <t>Family/Child/Elder Law.</t>
  </si>
  <si>
    <t>An advanced, professional study of the law, policies, and regulations affecting domestic relations across the lifespan.</t>
  </si>
  <si>
    <t>Human Resources Law.</t>
  </si>
  <si>
    <t>An advanced, professional study of the law, policies, and regulations affecting human resources.</t>
  </si>
  <si>
    <t>Insurance Law.</t>
  </si>
  <si>
    <t>An advanced, professional study of the law, policies, and regulations affecting insurance.</t>
  </si>
  <si>
    <t>Real Estate and Land Development Law.</t>
  </si>
  <si>
    <t>An advanced, professional study of the law, policies, and regulations affecting real estate and land development.</t>
  </si>
  <si>
    <t>Transportation Law.</t>
  </si>
  <si>
    <t>An advanced, professional study of the law, policies, and regulations affecting land, sea, air, and space transportation.</t>
  </si>
  <si>
    <t>Tribal/Indigenous Law.</t>
  </si>
  <si>
    <t>An advanced, professional study of the law, policies, and regulations affecting federal Indian law, tribal law and policy, and Indigenous peoples' human rights.</t>
  </si>
  <si>
    <t>Legal Research and Advanced Professional Studies, Other.</t>
  </si>
  <si>
    <t>Any program in legal research and advanced professional studies not listed above.</t>
  </si>
  <si>
    <t>Legal Support Services.</t>
  </si>
  <si>
    <t>Instructional content for this group of programs is defined in codes 22.0301 - 22.0399.</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</si>
  <si>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</si>
  <si>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</si>
  <si>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</si>
  <si>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</si>
  <si>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 and Captioning/Court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</si>
  <si>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</si>
  <si>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Court Interpreter.</t>
  </si>
  <si>
    <t>A program of study that prepares individuals to provide accurate translation and interpretation between two or more languages for parties involved in a legal proceeding. Includes instruction in courtroom standards and procedures, court interpreting, legal terminology, consecutive interpretation, simultaneous interpretation, and sight translation.</t>
  </si>
  <si>
    <t>Scopist.</t>
  </si>
  <si>
    <t>An instructional program that prepares individuals to perform editing and word processing on a court reporter transcript to ensure the accuracy of the transcripts. Includes instruction in legal terminology, legal transcriptioning, machine shorthand, and computer-aided transcription software.</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</si>
  <si>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</si>
  <si>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</si>
  <si>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</si>
  <si>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</si>
  <si>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</si>
  <si>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</si>
  <si>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</si>
  <si>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</si>
  <si>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</si>
  <si>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</si>
  <si>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Rhetoric and Composition/Writing Studies.</t>
  </si>
  <si>
    <t>Instructional content for this group of programs is defined in codes 23.1301 - 23.1399.</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</si>
  <si>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</si>
  <si>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</si>
  <si>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Creative Writing.</t>
  </si>
  <si>
    <t>A program that focuses on the process and techniques of original composition in various literary forms such as the short story, poetry, the novel, and others.  Includes instruction in technical and editorial skills, criticism, and the marketing of finished manuscripts.</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</si>
  <si>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</si>
  <si>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</si>
  <si>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</si>
  <si>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</si>
  <si>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</si>
  <si>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</si>
  <si>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</si>
  <si>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</si>
  <si>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</si>
  <si>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t>
  </si>
  <si>
    <t>American Literature (United States).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</si>
  <si>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</si>
  <si>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American Literature (Canadian).</t>
  </si>
  <si>
    <t>A program that focuses on the literature and literary development, both formal and folkloric, of Canada from its origins to the present.  Includes instruction in period and genre studies, author studies, literary criticism, and regional and oral traditions.</t>
  </si>
  <si>
    <t>English Literature (British and Commonwealth).</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</si>
  <si>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</si>
  <si>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</si>
  <si>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</si>
  <si>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</si>
  <si>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</si>
  <si>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</si>
  <si>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</si>
  <si>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</si>
  <si>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</si>
  <si>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</si>
  <si>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</si>
  <si>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</si>
  <si>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</si>
  <si>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</si>
  <si>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</si>
  <si>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</si>
  <si>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</si>
  <si>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</si>
  <si>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</si>
  <si>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</si>
  <si>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</si>
  <si>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</si>
  <si>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</si>
  <si>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</si>
  <si>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</si>
  <si>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</si>
  <si>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</si>
  <si>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</si>
  <si>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</si>
  <si>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</si>
  <si>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</si>
  <si>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</si>
  <si>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</si>
  <si>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</si>
  <si>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</si>
  <si>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Library Science, Other.</t>
  </si>
  <si>
    <t>Instructional content is defined in code 25.9999.</t>
  </si>
  <si>
    <t>Any instructional program in library science not listed above.</t>
  </si>
  <si>
    <t>BIOLOGICAL AND BIOMEDICAL SCIENCES.</t>
  </si>
  <si>
    <t>Instructional programs that focus on the biological sciences and the non-clinical biomedical sciences, and that prepare individuals for research and professional careers as biologists and biomedical scientists.</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</si>
  <si>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</si>
  <si>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</si>
  <si>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</si>
  <si>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</si>
  <si>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</si>
  <si>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</si>
  <si>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</si>
  <si>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</si>
  <si>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</si>
  <si>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</si>
  <si>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</si>
  <si>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</si>
  <si>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</si>
  <si>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</si>
  <si>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</si>
  <si>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</si>
  <si>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</si>
  <si>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</si>
  <si>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</si>
  <si>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</si>
  <si>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</si>
  <si>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</si>
  <si>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</si>
  <si>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</si>
  <si>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</si>
  <si>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</si>
  <si>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Biochemistry, Biophysics and Molecular Biology, Other.</t>
  </si>
  <si>
    <t>Any instructional program in biochemistry, biophysics and molecular biology not listed above.</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</si>
  <si>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</si>
  <si>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</si>
  <si>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</si>
  <si>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</si>
  <si>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</si>
  <si>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</si>
  <si>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</si>
  <si>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</si>
  <si>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</si>
  <si>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</si>
  <si>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</si>
  <si>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</si>
  <si>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</si>
  <si>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</si>
  <si>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</si>
  <si>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</si>
  <si>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</si>
  <si>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</si>
  <si>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</si>
  <si>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</si>
  <si>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</si>
  <si>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</si>
  <si>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</si>
  <si>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</si>
  <si>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</si>
  <si>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</si>
  <si>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</si>
  <si>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</si>
  <si>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</si>
  <si>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</si>
  <si>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</si>
  <si>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</si>
  <si>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</si>
  <si>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</si>
  <si>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</si>
  <si>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</si>
  <si>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</si>
  <si>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</si>
  <si>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</si>
  <si>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</si>
  <si>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</si>
  <si>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Infectious Disease and Global Health.</t>
  </si>
  <si>
    <t>A program that focuses on the biological, social, and behavioral factors contributing to the cause and spread of infectious diseases. Includes instruction in research design and evaluation, infectious disease epidemiology, international health policy and management, microbiology, microbial genetics, molecular virology, disease mechanisms, antimicrobial resistance, immunology, and bioterrorism.</t>
  </si>
  <si>
    <t>Microbiological Sciences and Immunology, Other.</t>
  </si>
  <si>
    <t>Any instructional program in the microbiological sciences and immunology not listed above.</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</si>
  <si>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</si>
  <si>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</si>
  <si>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</si>
  <si>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</si>
  <si>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</si>
  <si>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</si>
  <si>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</si>
  <si>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</si>
  <si>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</si>
  <si>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</si>
  <si>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</si>
  <si>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</si>
  <si>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</si>
  <si>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</si>
  <si>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</si>
  <si>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</si>
  <si>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</si>
  <si>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</si>
  <si>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</si>
  <si>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</si>
  <si>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</si>
  <si>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</si>
  <si>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</si>
  <si>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</si>
  <si>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</si>
  <si>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</si>
  <si>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</si>
  <si>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</si>
  <si>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</si>
  <si>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</si>
  <si>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</si>
  <si>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</si>
  <si>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</si>
  <si>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</si>
  <si>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</si>
  <si>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</si>
  <si>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</si>
  <si>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</si>
  <si>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</si>
  <si>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</si>
  <si>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</si>
  <si>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</si>
  <si>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</si>
  <si>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</si>
  <si>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</si>
  <si>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Exercise Physiology and Kinesiology.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</si>
  <si>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</si>
  <si>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</si>
  <si>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</si>
  <si>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</si>
  <si>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</si>
  <si>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</si>
  <si>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</si>
  <si>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</si>
  <si>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</si>
  <si>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Biomechanics.</t>
  </si>
  <si>
    <t>A program of study that focuses on the biological, anatomical, and mechanical structure and function of the mechanical aspects of biological systems. Includes courses in anatomy, physiology, kinesiology, mechanics, measurement and instrumentation, and research methods.</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</si>
  <si>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</si>
  <si>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</si>
  <si>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</si>
  <si>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</si>
  <si>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</si>
  <si>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</si>
  <si>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</si>
  <si>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</si>
  <si>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</si>
  <si>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</si>
  <si>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</si>
  <si>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</si>
  <si>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</si>
  <si>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</si>
  <si>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</si>
  <si>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</si>
  <si>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</si>
  <si>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</si>
  <si>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</si>
  <si>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</si>
  <si>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</si>
  <si>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</si>
  <si>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</si>
  <si>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</si>
  <si>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</si>
  <si>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</si>
  <si>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</si>
  <si>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</si>
  <si>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</si>
  <si>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Biomathematics, Bioinformatics, and Computational Biology, Other.</t>
  </si>
  <si>
    <t>Any instructional program in biomathematics, bioinformatics, and computational biology not listed above.</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</si>
  <si>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</si>
  <si>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</si>
  <si>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</si>
  <si>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</si>
  <si>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</si>
  <si>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</si>
  <si>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</si>
  <si>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</si>
  <si>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paleoecology and paleontology; and applications to fields such as fisheries science and biotechnology.</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</si>
  <si>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</si>
  <si>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</si>
  <si>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</si>
  <si>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</si>
  <si>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</si>
  <si>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</si>
  <si>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</si>
  <si>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</si>
  <si>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</si>
  <si>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</si>
  <si>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</si>
  <si>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</si>
  <si>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</si>
  <si>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</si>
  <si>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</si>
  <si>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</si>
  <si>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Epidemiology and Biostatistics.</t>
  </si>
  <si>
    <t>A program with a general synthesis of epidemiology and biostatistics or a specialization which draws from epidemiology and biostatistics. Includes instruction in biostatistics, disease and injury determinants, epidemiology, health services research, pathology, spatial analysis, and statistics.</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</si>
  <si>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</si>
  <si>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</si>
  <si>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</si>
  <si>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</si>
  <si>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</si>
  <si>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</si>
  <si>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</si>
  <si>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</si>
  <si>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</si>
  <si>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Neuroanatomy.</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</si>
  <si>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</si>
  <si>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</si>
  <si>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</si>
  <si>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</si>
  <si>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</si>
  <si>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Neurobiology and Neurosciences, Other.</t>
  </si>
  <si>
    <t>Any instructional program in neurobiology and neurosciences not listed above.</t>
  </si>
  <si>
    <t>Biological and Biomedical Sciences, Other.</t>
  </si>
  <si>
    <t>Instructional content is defined in code 26.9999.</t>
  </si>
  <si>
    <t>Any instructional program in the biological and biomedical sciences not listed above.</t>
  </si>
  <si>
    <t>MATHEMATICS AND STATISTICS.</t>
  </si>
  <si>
    <t>Instructional programs that focus on the systematic study of logical symbolic language and its applications.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</si>
  <si>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</si>
  <si>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</si>
  <si>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</si>
  <si>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</si>
  <si>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</si>
  <si>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</si>
  <si>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</si>
  <si>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</si>
  <si>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</si>
  <si>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</si>
  <si>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</si>
  <si>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</si>
  <si>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</si>
  <si>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</si>
  <si>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</si>
  <si>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</si>
  <si>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</si>
  <si>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</si>
  <si>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</si>
  <si>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</si>
  <si>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</si>
  <si>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</si>
  <si>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</si>
  <si>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</si>
  <si>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</si>
  <si>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</si>
  <si>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Applied Mathematics, Other.</t>
  </si>
  <si>
    <t>Any instructional program in applied mathematics not listed above.</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</si>
  <si>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</si>
  <si>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</si>
  <si>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</si>
  <si>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</si>
  <si>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</si>
  <si>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</si>
  <si>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</si>
  <si>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</si>
  <si>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Statistics, Other.</t>
  </si>
  <si>
    <t>Any instructional program in statistics not listed above.</t>
  </si>
  <si>
    <t>Applied Statistics.</t>
  </si>
  <si>
    <t>Instructional content is defined in code 27.0601.</t>
  </si>
  <si>
    <t>Applied Statistics, General.</t>
  </si>
  <si>
    <t>A program that focuses on the application of statistics to the solution of functional problems in fields such as business, engineering, medicine, and the applied sciences. Includes instruction in the principles in inference, probability theory, regression analysis, descriptive statistics, stochastic processes, Monte Carlo method, Bayesian statistics, non-parametric statistics, sampling theory, statistical computing, and statistical techniques.</t>
  </si>
  <si>
    <t>Mathematics and Statistics, Other.</t>
  </si>
  <si>
    <t>Instructional content is defined in code 27.9999.</t>
  </si>
  <si>
    <t>Any instructional program in mathematics and  statistics not listed above.</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</si>
  <si>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</si>
  <si>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 These CIP codes are not valid for IPEDS reporting.</t>
  </si>
  <si>
    <t>Air Force ROTC, Air Science and Operations.</t>
  </si>
  <si>
    <t>Instructional content for this group of programs is defined in codes 28.0101 - 28.0199. These CIP codes are not valid for IPEDS reporting.</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</si>
  <si>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</si>
  <si>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</si>
  <si>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Air Force ROTC, Air Science and Operations, Other.</t>
  </si>
  <si>
    <t>Any instructional program in Air Force ROTC, air science and operations not listed above. This CIP code is not valid for IPEDS reporting.</t>
  </si>
  <si>
    <t>Army ROTC, Military Science and Operations.</t>
  </si>
  <si>
    <t>Instructional content for this group of programs is defined in codes 28.0301 - 28.0399. These CIP codes are not valid for IPEDS reporting.</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</si>
  <si>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</si>
  <si>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</si>
  <si>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Army ROTC, Military Science and Operations, Other.</t>
  </si>
  <si>
    <t>Any instructional program in Army ROTC, military science and operations not listed above. This CIP code is not valid for IPEDS reporting.</t>
  </si>
  <si>
    <t>Navy/Marine ROTC, Naval Science and Operations.</t>
  </si>
  <si>
    <t>Instructional content for this group of programs is defined in codes 28.0401 - 28.0499. These CIP codes are not valid for IPEDS reporting.</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</si>
  <si>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</si>
  <si>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</si>
  <si>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Navy/Marine Corps ROTC, Naval Science and Operations, Other.</t>
  </si>
  <si>
    <t>Any instructional program in Navy/Marine Corps ROTC, naval science and operations not listed above. This CIP code is not valid for IPEDS reporting.</t>
  </si>
  <si>
    <t>Military Science and Operational Studies.</t>
  </si>
  <si>
    <t>Instructional content for this group of programs is defined in codes 28.0501 - 28.0599. These CIP codes are not valid for IPEDS reporting.</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</si>
  <si>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</si>
  <si>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</si>
  <si>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</si>
  <si>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 This CIP code is not valid for IPEDS reporting.</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</si>
  <si>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</si>
  <si>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 This CIP code is not valid for IPEDS reporting.</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</si>
  <si>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</si>
  <si>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 This CIP code is not valid for IPEDS reporting.</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</si>
  <si>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</si>
  <si>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 This CIP code is not valid for IPEDS reporting.</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</si>
  <si>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</si>
  <si>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 This CIP code is not valid for IPEDS reporting.</t>
  </si>
  <si>
    <t>Military Science and Operational Studies, Other.</t>
  </si>
  <si>
    <t>Any instructional program in military science and operational studies not listed above. This CIP code is not valid for IPEDS reporting.</t>
  </si>
  <si>
    <t>Security Policy and Strategy.</t>
  </si>
  <si>
    <t>Instructional content for this group of programs is defined in codes 28.0601 - 28.0699. These CIP codes are not valid for IPEDS reporting.</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</si>
  <si>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</si>
  <si>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</si>
  <si>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</si>
  <si>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</si>
  <si>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</si>
  <si>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</si>
  <si>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</si>
  <si>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</si>
  <si>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</si>
  <si>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t>
  </si>
  <si>
    <t>National Security Policy and Strategy, Other.</t>
  </si>
  <si>
    <t>Any instructional program in national security policy and strategy not listed above. This CIP code is not valid for IPEDS reporting.</t>
  </si>
  <si>
    <t>Military Economics and Management.</t>
  </si>
  <si>
    <t>Instructional content for this group of programs is defined in codes 28.0701 - 28.0799. These CIP codes are not valid for IPEDS reporting.</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</si>
  <si>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</si>
  <si>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</si>
  <si>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</si>
  <si>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 This CIP code is not valid for IPEDS reporting.</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</si>
  <si>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</si>
  <si>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 This CIP code is not valid for IPEDS reporting.</t>
  </si>
  <si>
    <t>Military Economics and Management, Other.</t>
  </si>
  <si>
    <t>Any instructional program in military economics and management not listed above. This CIP code is not valid for IPEDS reporting.</t>
  </si>
  <si>
    <t>Instructional content is defined in code 28.0801. These CIP codes are not valid for IPEDS reporting.</t>
  </si>
  <si>
    <t>Military Science, Leadership and Operational Art, Other.</t>
  </si>
  <si>
    <t>Instructional content is defined in code 28.9999. These CIP codes are not valid for IPEDS reporting.</t>
  </si>
  <si>
    <t>Any instructional program in military science, leadership and operational art not listed above. This CIP code is not valid for IPEDS reporting.</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</si>
  <si>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</si>
  <si>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</si>
  <si>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</si>
  <si>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</si>
  <si>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</si>
  <si>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</si>
  <si>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</si>
  <si>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</si>
  <si>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</si>
  <si>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</si>
  <si>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</si>
  <si>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</si>
  <si>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</si>
  <si>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</si>
  <si>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</si>
  <si>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</si>
  <si>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</si>
  <si>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</si>
  <si>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</si>
  <si>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</si>
  <si>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</si>
  <si>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</si>
  <si>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</si>
  <si>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</si>
  <si>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</si>
  <si>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</si>
  <si>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</si>
  <si>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</si>
  <si>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</si>
  <si>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</si>
  <si>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</si>
  <si>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</si>
  <si>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</si>
  <si>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</si>
  <si>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</si>
  <si>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</si>
  <si>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</si>
  <si>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</si>
  <si>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</si>
  <si>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</si>
  <si>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</si>
  <si>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</si>
  <si>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</si>
  <si>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</si>
  <si>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</si>
  <si>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</si>
  <si>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</si>
  <si>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</si>
  <si>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</si>
  <si>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</si>
  <si>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</si>
  <si>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</si>
  <si>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</si>
  <si>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</si>
  <si>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</si>
  <si>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</si>
  <si>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</si>
  <si>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</si>
  <si>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</si>
  <si>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</si>
  <si>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Instructional content is defined in code 29.0501.</t>
  </si>
  <si>
    <t>Military Technology and Applied Sciences Management.</t>
  </si>
  <si>
    <t>Instructional content is defined in code 29.0601.</t>
  </si>
  <si>
    <t>A program that focuses on applied military science, military operations, intelligence gathering, military technology, and national security. Includes instruction in computer science, engineering, ethics, field training, leadership, military strategy, logistics, management skills, and politics.</t>
  </si>
  <si>
    <t>Military Technologies and Applied Sciences, Other.</t>
  </si>
  <si>
    <t>Instructional content is defined in code 29.9999.</t>
  </si>
  <si>
    <t>Any instructional program in military technologies and applied sciences not listed above.</t>
  </si>
  <si>
    <t>MULTI/INTERDISCIPLINARY STUDIES.</t>
  </si>
  <si>
    <t>Instructional programs that derive from two or more distinct programs to provide a cross-cutting focus on a subject concentration that is not subsumed under a single discipline or occupational field.</t>
  </si>
  <si>
    <t>Multi-/Interdisciplinary Studies, General.</t>
  </si>
  <si>
    <t>Instructional content for this group of programs is defined in codes 30.0000 - 30.0001.</t>
  </si>
  <si>
    <t>A program that derives from two or more distinct programs and that is integrated around a unifying theme or topic that cannot be subsumed under a single discipline or occupational field.</t>
  </si>
  <si>
    <t>Comprehensive Transition and Postsecondary (CTP) Program.</t>
  </si>
  <si>
    <t>A comprehensive transition and postsecondary (CTP) program that provides students with intellectual disabilities with academic enrichment, socialization, independent living skills, self-advocacy skills, and integrated work experiences and career skills that lead to gainful employment.</t>
  </si>
  <si>
    <t>Biological and Physical Sciences.</t>
  </si>
  <si>
    <t>Instructional content is defined in code 30.0101.</t>
  </si>
  <si>
    <t>A program that is either a general synthesis of one or more of the biological and physical sciences, or a specialization which draws from the biological and physical sciences.</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</si>
  <si>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</si>
  <si>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</si>
  <si>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</si>
  <si>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</si>
  <si>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</si>
  <si>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</si>
  <si>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Mathematics and Computer Science.</t>
  </si>
  <si>
    <t>Instructional content is defined in code 30.0801.</t>
  </si>
  <si>
    <t>A program with a general synthesis of mathematics and computer science or a specialization which draws from mathematics and computer science.</t>
  </si>
  <si>
    <t>Biopsychology.</t>
  </si>
  <si>
    <t>Instructional content is defined in code 30.1001.</t>
  </si>
  <si>
    <t>A program that focuses on biological and psychological linkages, especially the linkages between biochemical and biophysical activity and the functioning of the central nervous system.</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</si>
  <si>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</si>
  <si>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</si>
  <si>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</si>
  <si>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Historic Preservation and Conservation.</t>
  </si>
  <si>
    <t>Instructional content for this group of programs is defined in codes 30.1201 - 30.1299.</t>
  </si>
  <si>
    <t>Historic Preservation and Conservation, General.</t>
  </si>
  <si>
    <t>A program that focuses on the design and implementation of plans to restore and maintain historic buildings, districts, and landscapes in a way that balances conservation and preservation with commercial and development interests. Includes instruction in architectural history, building conservation, cultural resource management, economics, historical documentation and preservation, land-use and zoning codes, public policy, public relations, real estate law, and taxation.</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</si>
  <si>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</si>
  <si>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</si>
  <si>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</si>
  <si>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</si>
  <si>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</si>
  <si>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</si>
  <si>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</si>
  <si>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</si>
  <si>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</si>
  <si>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</si>
  <si>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</si>
  <si>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</si>
  <si>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</si>
  <si>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Accounting and Computer Science.</t>
  </si>
  <si>
    <t>Instructional content is defined in code 30.1601.</t>
  </si>
  <si>
    <t>A program that combines accounting with computer science and/or computer studies.</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</si>
  <si>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</si>
  <si>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</si>
  <si>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</si>
  <si>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Natural Sciences.</t>
  </si>
  <si>
    <t>Instructional content is defined in code 30.1801.</t>
  </si>
  <si>
    <t>A program with a combined or undifferentiated focus on one or more of the physical and biological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</si>
  <si>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</si>
  <si>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</si>
  <si>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</si>
  <si>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International/Globalization Studies.</t>
  </si>
  <si>
    <t>Instructional content is defined in code 30.2001.</t>
  </si>
  <si>
    <t>A program that focuses on global and international issues from the perspective of the social sciences, social services, and related fields.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</si>
  <si>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</si>
  <si>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</si>
  <si>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</si>
  <si>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Classical and Ancient Studies.</t>
  </si>
  <si>
    <t>Instructional content for this group of programs is defined in codes 30.2201 - 30.2299.</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</si>
  <si>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</si>
  <si>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</si>
  <si>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</si>
  <si>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study of the classical ancient civilizations of the ancient Near East, Europe, and the Mediterranean Sea, such as Athens, Anatolia, Egypt, Greece, Israel, Mesopotamia, North Africa, and Rome. Includes instruction in ancient languages, ancient history, archaeology, anthropology, Greek and Roman mythology, philosophy, and religion.</t>
  </si>
  <si>
    <t>Classical and Ancient Studies, Other.</t>
  </si>
  <si>
    <t>Any program in classical and ancient studies not listed above.</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</si>
  <si>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</si>
  <si>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</si>
  <si>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</si>
  <si>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Cognitive Science.</t>
  </si>
  <si>
    <t>Instructional content for this group of programs is defined in codes 30.2501 - 30.2599.</t>
  </si>
  <si>
    <t>Cognitive Science, General.</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</si>
  <si>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</si>
  <si>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Contemplative Studies/Inquiry.</t>
  </si>
  <si>
    <t>A program that focuses on the philosophical, psychological, and scientific bases of human contemplative experience. Includes instruction in cognitive science, meditation, mindfulness, neuroscience, philosophy, psychology, and religion.</t>
  </si>
  <si>
    <t>Cognitive Science, Other.</t>
  </si>
  <si>
    <t>Any instructional program in cognitive science not listed above.</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</si>
  <si>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</si>
  <si>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</si>
  <si>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</si>
  <si>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</si>
  <si>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</si>
  <si>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</si>
  <si>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Dispute Resolution.</t>
  </si>
  <si>
    <t>Instructional content is defined in code 30.2801. These CIP codes are not valid for IPEDS reporting.</t>
  </si>
  <si>
    <t>A program that provides individuals with skills in negotiation, mediation, and arbitration, that can be applied to resolve disputes in a variety of settings, including business, legal, domestic, and labor relations.</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</si>
  <si>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</si>
  <si>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</si>
  <si>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</si>
  <si>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</si>
  <si>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</si>
  <si>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</si>
  <si>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</si>
  <si>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</si>
  <si>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engineering, and the behavior sciences (cognitive science, cognitive psychology, sociology, organizational psychology, and social psychology).  Includes instruction in information technology, cognitive and behavioral sciences, and systems design.</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</si>
  <si>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</si>
  <si>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</si>
  <si>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</si>
  <si>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</si>
  <si>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</si>
  <si>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</si>
  <si>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Anthrozoology.</t>
  </si>
  <si>
    <t>Instructional content is defined in code 30.3401.</t>
  </si>
  <si>
    <t>A program of study that combines anthropology and zoology in order to examine the relationship between animals and humans. Includes instruction in animal behavior and communication, animal welfare, animal conservation, animal training, animal-assisted therapy techniques, biology, ethics, and education.</t>
  </si>
  <si>
    <t>Climate Science.</t>
  </si>
  <si>
    <t>Instructional content is defined in code 30.3501.</t>
  </si>
  <si>
    <t>A program that focuses on the scientific study of the climate system of the earth with emphasis on the physical, dynamical, and chemical interactions of the atmosphere, ocean, land, ice, and the terrestrial and marine biospheres. Includes instruction in biology, chemistry, climate analysis, climate change adaptation/mitigation, climate policy, ecology, energy development, environmental impacts, marine chemistry, meteorology, and oceanography.</t>
  </si>
  <si>
    <t>Cultural Studies and Comparative Literature.</t>
  </si>
  <si>
    <t>Instructional content is defined in code 30.3601.</t>
  </si>
  <si>
    <t>A program with a general synthesis of cultural studies and comparative literature or a specialization which draws from cultural studies and comparative literature. Includes instruction in anthropology, comparative linguistics, cultural studies, history, literary criticism, literary studies, philosophy, political economy, sociology, and textual studies.</t>
  </si>
  <si>
    <t>Design for Human Health.</t>
  </si>
  <si>
    <t>Instructional content is defined in code 30.3701.</t>
  </si>
  <si>
    <t>A program that focuses on the impact of design and architecture on the health of individuals and larger populations, and how to create settings that promote health, healing, and well-being. Includes instruction in architecture, interior design, human health services, communication studies, medical and clinical innovations, behavioral and engineering sciences, hospitals and health systems, and environmental conditions that influence health.</t>
  </si>
  <si>
    <t>Earth Systems Science.</t>
  </si>
  <si>
    <t>Instructional content is defined in code 30.3801.</t>
  </si>
  <si>
    <t>A program that focuses on the interaction of the Earth's oceanographic, atmospheric, and terrestrial systems. Includes instruction in biogeochemistry, climate dynamics, geographical information science (GIS), geophysics, hydrology, landscape ecology, meteorology, and satellite remote sensing analysis.</t>
  </si>
  <si>
    <t>Economics and Computer Science.</t>
  </si>
  <si>
    <t>Instructional content is defined in code 30.3901.</t>
  </si>
  <si>
    <t>A program of study that focuses on the theoretical and practical connections between computer science and economics. Includes instruction in data analysis, database design, data mining, computer algorithms, economics, econometrics, computer programing, mathematics, and statistics.</t>
  </si>
  <si>
    <t>Economics and Foreign Language/Literature.</t>
  </si>
  <si>
    <t>Instructional content is defined in code 30.4001.</t>
  </si>
  <si>
    <t>A program with a general synthesis of economics and the language and literature of one or more countries or regions or a specialization which draws from economics and the language and literature of one or more countries or regions. Includes instruction in comparative economic systems, econometrics, economic theory, money and banking systems, international economics, international trade, linguistics, philology, and translation.</t>
  </si>
  <si>
    <t>Environmental Geosciences.</t>
  </si>
  <si>
    <t>Instructional content is defined in code 30.4101.</t>
  </si>
  <si>
    <t>A program that focuses on the scientific study of the environmental implications of geological processes and human activities on Earth. Includes instruction in environmental/natural resource management, geographic information systems (GIS), geology, hydrology, regulatory agency compliance, hazard identification and mitigation, environmental law, environmental policy, and sustainability studies.</t>
  </si>
  <si>
    <t>Geoarcheaology.</t>
  </si>
  <si>
    <t>Instructional content is defined in code 30.4201.</t>
  </si>
  <si>
    <t>A program that focuses on the application of analytical techniques, concepts, and field methods from the earth sciences to solve archaeological questions related to human settlement, artifacts, site taphonomy, and paleoenvironments. Includes instruction in anthropology, ancient civilizations, archeology, geology, paleoclimatic reconstruction, sedimentology, and site taphonomic research.</t>
  </si>
  <si>
    <t>Geobiology.</t>
  </si>
  <si>
    <t>Instructional content is defined in code 30.4301.</t>
  </si>
  <si>
    <t>A program that focuses on the scientific study of how living things interact with geological systems. Includes instruction in evolution of Earth systems, geochemistry, geology, geomicrobiology, marine chemistry, paleobiology, paleoecology, paleontology, and petrology.</t>
  </si>
  <si>
    <t>Geography and Environmental Studies.</t>
  </si>
  <si>
    <t>Instructional content is defined in code 30.4401.</t>
  </si>
  <si>
    <t>A program that focuses on interactions between people and the natural and built environments. Includes instruction in climate science, sustainability, environmental science and policy, research methods, geographic information systems (GIS), human geography, physical geography, remote sensing, and public policy.</t>
  </si>
  <si>
    <t>History and Language/Literature.</t>
  </si>
  <si>
    <t>Instructional content is defined in code 30.4501.</t>
  </si>
  <si>
    <t>A program with a general synthesis of history and the language and literature of one or more countries or regions or a specialization which draws from history and the language and literature of one or more countries or regions. Includes instruction in historiography; historical research methods; linguistics; literature, philology; and studies of specific periods, issues and cultures.</t>
  </si>
  <si>
    <t>History and Political Science.</t>
  </si>
  <si>
    <t>Instructional content is defined in code 30.4601.</t>
  </si>
  <si>
    <t>A program with a general synthesis of history and political science or a specialization which draws from history and political science. Includes instruction in comparative government and politics, historiography, historical research methods, political science, political theory, records administration, and systematic study of political institutions and behavior.</t>
  </si>
  <si>
    <t>Linguistics and Anthropology.</t>
  </si>
  <si>
    <t>Instructional content is defined in code 30.4701.</t>
  </si>
  <si>
    <t>A program that focuses on the study of the anthropological, historical, and sociological context of language with a particular emphasis on language use and its role in shaping cultural and social diversity. Includes instruction in applied linguistics, data management, field methods, language heritage, socialization, structure, linguistic analysis, linguistic theory, and multilingualism.</t>
  </si>
  <si>
    <t>Linguistics and Computer Science.</t>
  </si>
  <si>
    <t>Instructional content is defined in code 30.4801.</t>
  </si>
  <si>
    <t>A program that focuses on the relationship between computer and human language and computational techniques applied to natural language. Includes instruction in computer programming, human languages, linguistic analysis, logic, natural language processing, semantics, machine learning, psycholinguistics, software engineering, and syntax.</t>
  </si>
  <si>
    <t>Mathematical Economics.</t>
  </si>
  <si>
    <t>Instructional content is defined in code 30.4901.</t>
  </si>
  <si>
    <t>A program that focuses on the application of mathematical methods to the development of economic theory, models, and quantitative analysis. Includes instruction in data analysis, applied business economics, calculus, econometrics, linear algebra, microeconomic theory, probability, and statistical methods.</t>
  </si>
  <si>
    <t>Mathematics and Atmospheric/Oceanic Science.</t>
  </si>
  <si>
    <t>Instructional content is defined in code 30.5001.</t>
  </si>
  <si>
    <t>A program that focuses on the application of mathematics to atmospheric and oceanic problems. Includes instruction in chemistry, physics, atmospheric/ocean dynamics, climatology, weather simulation, climate modeling, mathematics, oceanography, and atmospheric science.</t>
  </si>
  <si>
    <t>Philosophy, Politics, and Economics.</t>
  </si>
  <si>
    <t>Instructional content is defined in code 30.5101.</t>
  </si>
  <si>
    <t>A program that focuses on philosophical foundations, political institutions, collective behavior, economic theory, and economic influences. Includes instruction in econometrics, logic, metaphysics, moral responsibility, philosophy of language, philosophy of perception, philosophy through history, reasoning and persuasion, and social epistemology.</t>
  </si>
  <si>
    <t>Digital Humanities and Textual Studies.</t>
  </si>
  <si>
    <t>Instructional content for this group of programs is defined in codes 30.5201 - 30.5299.</t>
  </si>
  <si>
    <t>Digital Humanities and Textual Studies, General.</t>
  </si>
  <si>
    <t>A program that focuses on digital textual editing, archiving, and publishing, and on the study of new media and computing platforms from the perspectives of the humanities and computer science. Includes instruction in archiving, computer programming, cultural studies, and textual criticism.</t>
  </si>
  <si>
    <t>Digital Humanities.</t>
  </si>
  <si>
    <t>A program that focuses on the use of new technologies, advanced computing, and public engagement to investigate and analyze questions in the humanities. Includes instruction in anthropology, art, data mining and machine learning, design, digital archives, geospatial technologies, history, human-computer interface design, literature, markup languages, social media technologies, and software development.</t>
  </si>
  <si>
    <t>Textual Studies.</t>
  </si>
  <si>
    <t>A program that focuses on the interconnected histories of digital or print texts and manuscripts for cultural and literary study. Includes instruction in archiving texts, bibliography, book and literary history, cultural studies, codicology, paleography, stemmatology, and textual criticism.</t>
  </si>
  <si>
    <t>Digital Humanities and Textual Studies, Other.</t>
  </si>
  <si>
    <t>Any instructional program in digital humanities and textual studies not listed above.</t>
  </si>
  <si>
    <t>Thanatology.</t>
  </si>
  <si>
    <t>Instructional content is defined in code 30.5301.</t>
  </si>
  <si>
    <t>A program of study that focuses on the biological, philosophical, psychological, sociological, and theological aspects of death, dying, and bereavement. Includes instruction in counseling, ethics, grief, palliative and hospice care, philosophy, thanatology, and theology.</t>
  </si>
  <si>
    <t>Data Science.</t>
  </si>
  <si>
    <t>Instructional content for this group of programs is defined in codes 30.7001 - 30.7099.</t>
  </si>
  <si>
    <t>Data Science, General.</t>
  </si>
  <si>
    <t>A program that focuses on the analysis of large scale data sources from the interdisciplinary perspectives of applied statistics, computer science, data storage, data representation, data modeling, mathematics, and statistics. Includes instruction in computer algorithms, computer programming, data management, data mining, information policy, information retrieval, mathematical modeling, quantitative analysis, statistics, trend spotting, and visual analytics.</t>
  </si>
  <si>
    <t>Data Science, Other.</t>
  </si>
  <si>
    <t>Any instructional program in data science not listed above.</t>
  </si>
  <si>
    <t>Data Analytics.</t>
  </si>
  <si>
    <t>Instructional content for this group of programs is defined in codes 30.7101 - 30.7199.</t>
  </si>
  <si>
    <t>Data Analytics, General.</t>
  </si>
  <si>
    <t>A program that prepares individuals to apply data science to generate insights from data and identify and predict trends. Includes instruction in computer databases, computer programming, inference, machine learning, optimization, probability and stochastic models, statistics, strategy, uncertainty quantification, and visual analytics.</t>
  </si>
  <si>
    <t>Business Analytics.</t>
  </si>
  <si>
    <t>A program that prepares individuals to apply data science to solve business challenges. Includes instruction in machine learning, optimization methods, computer algorithms, probability and stochastic models, information economics, logistics, strategy, consumer behavior, marketing, and visual analytics.</t>
  </si>
  <si>
    <t>Data Visualization.</t>
  </si>
  <si>
    <t>A program that prepares individuals to organize and derive meaning from data by using visual presentation tools and techniques. Includes instruction in cognitive science, computer programming, data management, data visualization theory, graphic design, infographics, perceptual psychology, statistics, and visual design.</t>
  </si>
  <si>
    <t>Financial Analytics.</t>
  </si>
  <si>
    <t>A program that focuses on financial big data modeling from algorithms to cloud-based data-driven financial technologies. Includes instruction in financial analytics, financial data processing, knowledge management, data visualization, effective decision communication, machine learning for finance, statistical inference and dynamic modeling on financial data, and project management.</t>
  </si>
  <si>
    <t>Data Analytics, Other.</t>
  </si>
  <si>
    <t>Any instructional program in data analytics not listed above.</t>
  </si>
  <si>
    <t>Multi/Interdisciplinary Studies, Other.</t>
  </si>
  <si>
    <t>Instructional content is defined in code 30.9999.</t>
  </si>
  <si>
    <t>Multi-/Interdisciplinary Studies, Other.</t>
  </si>
  <si>
    <t>Any instructional program in multi/interdisciplinary studies not listed above.</t>
  </si>
  <si>
    <t>PARKS, RECREATION, LEISURE, FITNESS, AND KINESIOLOGY.</t>
  </si>
  <si>
    <t>Instructional programs that focus on the principles and practices of managing parks and other recreational and fitness facilities; providing recreational, leisure and fitness services; and the study of human kinesiology and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</si>
  <si>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</si>
  <si>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</si>
  <si>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</si>
  <si>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Parks, Recreation, and Leisure Facilities Management.</t>
  </si>
  <si>
    <t>Instructional content for this group of programs is defined in codes 31.0301 - 31.0399.</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</si>
  <si>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</si>
  <si>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</si>
  <si>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</si>
  <si>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</si>
  <si>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</si>
  <si>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</si>
  <si>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Sports, Kinesiology, and Physical Education/Fitness.</t>
  </si>
  <si>
    <t>Instructional content for this group of programs is defined in codes 31.0501 - 31.0599.</t>
  </si>
  <si>
    <t>Sports, Kinesiology,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</si>
  <si>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</si>
  <si>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</si>
  <si>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</si>
  <si>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Exercise Science and Kinesiology.</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</si>
  <si>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</si>
  <si>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</si>
  <si>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</si>
  <si>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Sports Studies.</t>
  </si>
  <si>
    <t>A program that focuses on the psychological, sociological, and historical aspects of sport and physical activity. Includes instruction in theory of sport, sport psychology, sport in American society, gender and race/ethnicity and sport, and sports history.</t>
  </si>
  <si>
    <t>Sports, Kinesiology, and Physical Education/Fitness, Other.</t>
  </si>
  <si>
    <t>Any instructional program in sports, kinesiology,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</si>
  <si>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</si>
  <si>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</si>
  <si>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</si>
  <si>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Parks, Recreation, Leisure, Fitness, and Kinesiology, Other.</t>
  </si>
  <si>
    <t>Instructional content is defined in code 31.9999.</t>
  </si>
  <si>
    <t>Any instructional program in parks, recreation, leisure, fitness, and kinesiology not listed above.</t>
  </si>
  <si>
    <t>BASIC SKILLS AND DEVELOPMENTAL/REMEDIAL EDUCATION.</t>
  </si>
  <si>
    <t>Instructional programs that focus on the fundamental knowledge and skills that individuals need to function productively in society. These CIP codes are not valid for IPEDS reporting.</t>
  </si>
  <si>
    <t>Basic Skills and Developmental/Remedial Education.</t>
  </si>
  <si>
    <t>Instructional content for this group of programs is defined in codes 32.0101 - 32.0199. These CIP codes are not valid for IPEDS reporting.</t>
  </si>
  <si>
    <t>Basic Skills and Developmental/Remedial Education, General.</t>
  </si>
  <si>
    <t>A general program that focuses on the fundamental knowledge and skills that individuals need to function productively in society. This CIP code is not valid for IPEDS reporting.</t>
  </si>
  <si>
    <t>Developmental/Remedial Mathematics.</t>
  </si>
  <si>
    <t>A program that focuses on the development of computing and other mathematical reasoning abilities and skills. This CIP code is not valid for IPEDS reporting.</t>
  </si>
  <si>
    <t>Job-Seeking/Changing Skills.</t>
  </si>
  <si>
    <t>A program that focuses on the development of skills related to job searches and self-marketing.  Includes instruction in assessing one's own capabilities and skills; filling out an application; and handling an interview. This CIP code is not valid for IPEDS reporting.</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</si>
  <si>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</si>
  <si>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 This CIP code is not valid for IPEDS reporting.</t>
  </si>
  <si>
    <t>Developmental/Remedial English.</t>
  </si>
  <si>
    <t>A program that focuses on the fundamental knowledge and skills in reading, writing and speaking that individuals need to function productively in society. This CIP code is not valid for IPEDS reporting.</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</si>
  <si>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 This CIP code is not valid for IPEDS reporting.</t>
  </si>
  <si>
    <t>Basic Computer Skills.</t>
  </si>
  <si>
    <t>A program that focuses on the knowledge and skills needed to operate a computer, including computer concepts, keyboarding and mouse skills, using computer hardware and software, and basic troubleshooting. This CIP code is not valid for IPEDS reporting.</t>
  </si>
  <si>
    <t>Workforce Development and Training.</t>
  </si>
  <si>
    <t>A program that focuses on learning or upgrading basic skills in order to enhance job performance, promote career development, or train for a new job. This CIP code is not valid for IPEDS reporting.</t>
  </si>
  <si>
    <t>Accent Reduction/Modification.</t>
  </si>
  <si>
    <t>A program that focuses on accent modification and effective pronunciation in order to assist individuals in changing their accents/dialects to Standard American English. Includes instruction in changing speech patterns, intonation, phonology, pronunciation, rhythm, semantics, syntax, vocabulary, voice production, and word order. This CIP code is not valid for IPEDS reporting.</t>
  </si>
  <si>
    <t>Basic Skills and Developmental/Remedial Education, Other.</t>
  </si>
  <si>
    <t>Any instructional program in basic skills not listed above. This CIP code is not valid for IPEDS reporting.</t>
  </si>
  <si>
    <t>General Exam Preparation and Test-Taking Skills.</t>
  </si>
  <si>
    <t>Instructional content for this group of programs is defined in codes 32.0201 - 32.0299. These CIP codes are not valid for IPEDS reporting.</t>
  </si>
  <si>
    <t>Exam Preparation and Test-Taking Skills, General.</t>
  </si>
  <si>
    <t>A program of study that focuses on general study and exam-taking skills. This CIP code is not valid for IPEDS reporting.</t>
  </si>
  <si>
    <t>High School Equivalent Exam Preparation.</t>
  </si>
  <si>
    <t>A program of study that focuses on general study and exam-taking skills associated with preparation for the high school equivalency examinations. This CIP code is not valid for IPEDS reporting.</t>
  </si>
  <si>
    <t>Undergraduate Entrance/Placement Examination Preparation.</t>
  </si>
  <si>
    <t>A program of study that focuses on general study and exam-taking skills associated with preparation for undergraduate college/university entrance or placement examinations. This CIP code is not valid for IPEDS reporting.</t>
  </si>
  <si>
    <t>Graduate/Professional School Entrance Examination Preparation.</t>
  </si>
  <si>
    <t>A program of study that focuses on general study and exam-taking skills associated with preparation for graduate and professional school entrance examinations. This CIP code is not valid for IPEDS reporting.</t>
  </si>
  <si>
    <t>Professional Certification/Licensure Examination Preparation.</t>
  </si>
  <si>
    <t>A program of study that focuses on general study and exam-taking skills associated with preparation for professional certification and licensure examinations. This CIP code is not valid for IPEDS reporting.</t>
  </si>
  <si>
    <t>General Exam Preparation and Test-Taking Skills, Other.</t>
  </si>
  <si>
    <t>Any instructional program in general exam preparation and test-taking skills not listed above.</t>
  </si>
  <si>
    <t>CITIZENSHIP ACTIVITIES.</t>
  </si>
  <si>
    <t>Instructional programs that prepare individuals for citizenship, and provide instruction in how citizens may engage in civic activities. These CIP codes are not valid for IPEDS reporting.</t>
  </si>
  <si>
    <t>Citizenship Activities.</t>
  </si>
  <si>
    <t>Instructional content for this group of programs is defined in codes 33.0101 - 33.0199. These CIP codes are not valid for IPEDS reporting.</t>
  </si>
  <si>
    <t>Citizenship Activities, General.</t>
  </si>
  <si>
    <t>A program that generally prepares individuals for citizenship, and focuses on how citizens may engage in civic activities. This CIP code is not valid for IPEDS reporting.</t>
  </si>
  <si>
    <t>American Citizenship Education.</t>
  </si>
  <si>
    <t>A program that prepares individuals to take the oath of United States citizenship and to exercise the attendant rights and responsibilities of citizenship. This CIP code is not valid for IPEDS reporting.</t>
  </si>
  <si>
    <t>Community Awareness.</t>
  </si>
  <si>
    <t>A program that focuses on local government and history, current issues, and focuses on how individuals can keep abreast of important issues that may affect them. This CIP code is not valid for IPEDS reporting.</t>
  </si>
  <si>
    <t>Community Involvement.</t>
  </si>
  <si>
    <t>A program that focuses on how individuals may become actively involved in the social, economic and political issues and events affecting them; and the roles and methods that are available to influence community life and public policy. This CIP code is not valid for IPEDS reporting.</t>
  </si>
  <si>
    <t>Canadian Citizenship Education.</t>
  </si>
  <si>
    <t>A program that prepares individuals to take the oath of Canadian citizenship and to exercise the attendant rights and responsibilities of citizenship. This CIP code is not valid for IPEDS reporting.</t>
  </si>
  <si>
    <t>Personal Emergency Preparedness.</t>
  </si>
  <si>
    <t>A program of study that focuses on the leadership and management skills needed to prepare and respond to critical threats such as natural disasters, hazardous spills, and security threats. Includes instruction in communication, community preparedness, decision-making, disaster management, disaster recovery, disaster preparation, emergency planning and preparation, resource planning, and risk and hazard impact. This CIP code is not valid for IPEDS reporting.</t>
  </si>
  <si>
    <t>Citizenship Activities, Other.</t>
  </si>
  <si>
    <t>Any instructional program in citizenship activities not listed above. This CIP code is not valid for IPEDS reporting.</t>
  </si>
  <si>
    <t>HEALTH-RELATED KNOWLEDGE AND SKILLS.</t>
  </si>
  <si>
    <t>Instructional programs that focus on the promotion of personal and family health. These CIP codes are not valid for IPEDS reporting.</t>
  </si>
  <si>
    <t>Health-Related Knowledge and Skills.</t>
  </si>
  <si>
    <t>Instructional content for this group of programs is defined in codes 34.0102 - 34.0199. These CIP codes are not valid for IPEDS reporting.</t>
  </si>
  <si>
    <t>Birthing and Parenting Knowledge and Skills.</t>
  </si>
  <si>
    <t>A program that focuses on all facets of the mother's and father's roles in family planning, prenatal preparation and care, the birthing experience, post-natal care and the raising of children. This CIP code is not valid for IPEDS reporting.</t>
  </si>
  <si>
    <t>Personal Health Improvement and Maintenance.</t>
  </si>
  <si>
    <t>A program that focuses on the principles, techniques, and methods by which individuals can maintain or improve their overall physical and emotional well-being, as well as work on specific areas of personal health. This CIP code is not valid for IPEDS reporting.</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</si>
  <si>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</si>
  <si>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 This CIP code is not valid for IPEDS reporting.</t>
  </si>
  <si>
    <t>Meditation/Mind-Body Wellness.</t>
  </si>
  <si>
    <t>A program that focuses on meditation and mindfulness training, and how these techniques can enhance brain function, regulate emotions, reduce stress, and increase compassion. Includes instruction in alternative medicine, innovative and ancient healing practices, inspired creativity and the arts, meditation, mindfulness, neuroscience, religious belief systems, spiritual psychology, therapeutic movement, and visualization meditation. This CIP code is not valid for IPEDS reporting.</t>
  </si>
  <si>
    <t>Health-Related Knowledge and Skills, Other.</t>
  </si>
  <si>
    <t>Any instructional program in health-related knowledge and skills not listed above. This CIP code is not valid for IPEDS reporting.</t>
  </si>
  <si>
    <t>INTERPERSONAL AND SOCIAL SKILLS.</t>
  </si>
  <si>
    <t>Programs that focus on the development of methods and skills for effective interactions with others in a variety of settings (private, social, and business settings). These CIP codes are not valid for IPEDS reporting.</t>
  </si>
  <si>
    <t>Interpersonal and Social Skills.</t>
  </si>
  <si>
    <t>Instructional content for this group of programs is defined in codes 35.0101 - 35.0199. These CIP codes are not valid for IPEDS reporting.</t>
  </si>
  <si>
    <t>Interpersonal and Social Skills, General.</t>
  </si>
  <si>
    <t>A general program that focuses on how to effectively interact with others in private, social and business settings. This CIP code is not valid for IPEDS reporting.</t>
  </si>
  <si>
    <t>Interpersonal Relationships Skills.</t>
  </si>
  <si>
    <t>A program that focuses on how to increase one's ability to establish and maintain mutually satisfactory ties with other human beings. This CIP code is not valid for IPEDS reporting.</t>
  </si>
  <si>
    <t>Business and Social Skills.</t>
  </si>
  <si>
    <t>A program that focuses on how to increase one's ability to function effectively in social and business settings where interpersonal communication is required. This CIP code is not valid for IPEDS reporting.</t>
  </si>
  <si>
    <t>Life Coaching.</t>
  </si>
  <si>
    <t>A program that focuses on assisting individuals in achieving personal goals such as life transitions, relationships, physical well-being, emotional well-being, and career choices. Includes instruction in career and vocational development, coaching methodologies, coaching research techniques, group coaching, leadership techniques, and personal coaching. This CIP code is not valid for IPEDS reporting.</t>
  </si>
  <si>
    <t>Interpersonal Social Skills, Other.</t>
  </si>
  <si>
    <t>Any instructional program in interpersonal social skills not listed above. This CIP code is not valid for IPEDS reporting.</t>
  </si>
  <si>
    <t>LEISURE AND RECREATIONAL ACTIVITIES.</t>
  </si>
  <si>
    <t>Programs that focus on the development of an appreciation for and competency in recreational and leisure-related activities. These CIP codes are not valid for IPEDS reporting.</t>
  </si>
  <si>
    <t>Leisure and Recreational Activities.</t>
  </si>
  <si>
    <t>Instructional content for this group of programs is defined in codes 36.0101 - 36.0199. These CIP codes are not valid for IPEDS reporting.</t>
  </si>
  <si>
    <t>Leisure and Recreational Activities, General.</t>
  </si>
  <si>
    <t>A general program that focuses on the development of an appreciation for and competency in recreational and leisure-related activities. This CIP code is not valid for IPEDS reporting.</t>
  </si>
  <si>
    <t>Handicrafts and Model-Making.</t>
  </si>
  <si>
    <t>A program that focuses on the fashioning of objects of decoration, utility or representation from various materials, including related matters of research, tool use and appreciation. This CIP code is not valid for IPEDS reporting.</t>
  </si>
  <si>
    <t>Board, Card and Role-Playing Games.</t>
  </si>
  <si>
    <t>A  program that focuses on the rules and techniques of participation and skill-building in competitive activities of skill or chance, such as board games, card games or role-playing activities. This CIP code is not valid for IPEDS reporting.</t>
  </si>
  <si>
    <t>Home Maintenance and Improvement.</t>
  </si>
  <si>
    <t>A program that focuses on the knowledge and skills associated with maintaining living space and related equipment and furnishings, as well as do-it-yourself repairs and improvement projects of varying complexity. This CIP code is not valid for IPEDS reporting.</t>
  </si>
  <si>
    <t>Nature Appreciation.</t>
  </si>
  <si>
    <t>A program that focuses on how to increase one's understanding and knowledge of the natural environment in which we live, as well as techniques of wildlife observation and management. This CIP code is not valid for IPEDS reporting.</t>
  </si>
  <si>
    <t>Pet Ownership and Care.</t>
  </si>
  <si>
    <t>A program that focuses on how to increase one's ability to care for domesticated animals kept for pleasure or work. This CIP code is not valid for IPEDS reporting.</t>
  </si>
  <si>
    <t>Sports and Exercise.</t>
  </si>
  <si>
    <t>A program that focuses on the rules and techniques of participation and skill building in competitive physical activities, as well as non-competitive physical fitness programs. This CIP code is not valid for IPEDS reporting.</t>
  </si>
  <si>
    <t>Travel and Exploration.</t>
  </si>
  <si>
    <t>A program that focuses on particular geographic areas or phenomena, and provides opportunities for organized trips or tours, including related knowledge and skills. This CIP code is not valid for IPEDS reporting.</t>
  </si>
  <si>
    <t>Art.</t>
  </si>
  <si>
    <t>A program that focuses on the techniques and methods of creative self-expression in visual or plastic media, such as painting or sculpture. This CIP code is not valid for IPEDS reporting.</t>
  </si>
  <si>
    <t>Collecting.</t>
  </si>
  <si>
    <t>A program that focuses on the knowledge and techniques necessary for acquiring and maintaining personal collections of objects, such as autographs, stamps, models, specimens, vehicles and antiques. This CIP code is not valid for IPEDS reporting.</t>
  </si>
  <si>
    <t>Cooking and Other Domestic Skills.</t>
  </si>
  <si>
    <t>A program that focuses on the knowledge and skills related to food buying and preparation, home decoration, sewing and other domestic activities, either as hobbies or as routine tasks. This CIP code is not valid for IPEDS reporting.</t>
  </si>
  <si>
    <t>Computer Games and Programming Skills.</t>
  </si>
  <si>
    <t>A program that focuses on the knowledge and skills associated with creating and maintaining computer programs, as well as playing computer-based games. This CIP code is not valid for IPEDS reporting.</t>
  </si>
  <si>
    <t>Dancing.</t>
  </si>
  <si>
    <t>A program that focuses on the knowledge and skills related to recreational dance, such as square dancing, ballroom dancing, classical or modern dance. This CIP code is not valid for IPEDS reporting.</t>
  </si>
  <si>
    <t>Music.</t>
  </si>
  <si>
    <t>A program that focuses on the knowledge and skills associated with personal music appreciation, the playing of a musical instrument, singing or recreational composition. This CIP code is not valid for IPEDS reporting.</t>
  </si>
  <si>
    <t>Reading.</t>
  </si>
  <si>
    <t>A program that focuses on the activity of reading for pleasure, either alone or as part of a group experience. This CIP code is not valid for IPEDS reporting.</t>
  </si>
  <si>
    <t>Theatre/Theater.</t>
  </si>
  <si>
    <t>A program that focuses on the knowledge and skills associated with participation in amateur theatrical productions, drama appreciation, and writing amateur plays. This CIP code is not valid for IPEDS reporting.</t>
  </si>
  <si>
    <t>Writing.</t>
  </si>
  <si>
    <t>A program that focuses on the knowledge and skills related to creative writing and poetry composition for pleasure or profit, including methods of publication. This CIP code is not valid for IPEDS reporting.</t>
  </si>
  <si>
    <t>Beekeeping.</t>
  </si>
  <si>
    <t>A program that focuses on keeping bees for personal enjoyment, pollination of plants and vegetables, and domestic honey and other bee product production. Includes instruction in bee behavior, hive equipment, beekeeping supplies, bee pests and parasites, handling bees, hive set up and care, honey production, and seasonal management practices. This CIP code is not valid for IPEDS reporting.</t>
  </si>
  <si>
    <t>Firearms Training/Safety.</t>
  </si>
  <si>
    <t>A program that focuses on the fundamentals of gun operation, shooting techniques, and firearm safety. Includes instruction in ammunition, firearm cleaning, firearms law, firearm operation, and shooting techniques. This CIP code is not valid for IPEDS reporting.</t>
  </si>
  <si>
    <t>Floral Design/Arrangement.</t>
  </si>
  <si>
    <t>A program that focuses on the techniques of floral design based on color palette, theme, season, and flower selection. Includes instruction in botanical terminology, flower handling and identification, foliage and plants, traditional and contemporary floral design, and use of seasonal, dry, silk, or exotic plant materials. This CIP code is not valid for IPEDS reporting.</t>
  </si>
  <si>
    <t>Master Gardener/Gardening.</t>
  </si>
  <si>
    <t>A program that prepares individuals to educate the public on science-based, environmentally-sound practices in sustainable gardening and horticulture. Includes instruction in vegetables, houseplants, composting, flowers, fruits, turf grass, woody plants, plant propagation, pollination, soils, wildlife management, integrated pest management, plant pathology, and entomology. This CIP code is not valid for IPEDS reporting.</t>
  </si>
  <si>
    <t>Leisure and Recreational Activities, Other.</t>
  </si>
  <si>
    <t>Any instructional program in leisure and recreational activities not listed above. This CIP code is not valid for IPEDS reporting.</t>
  </si>
  <si>
    <t>Noncommercial Vehicle Operation.</t>
  </si>
  <si>
    <t>Instructional content for this group of programs is defined in codes 36.0202 - 36.0299. These CIP codes are not valid for IPEDS reporting.</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</si>
  <si>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</si>
  <si>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This CIP code is not valid for IPEDS reporting.</t>
  </si>
  <si>
    <t>Automobile Driver Education.</t>
  </si>
  <si>
    <t>A program that prepares individuals to drive automobiles for personal use and qualifies them to sit for a driver's license examination. Includes instruction in automobile operation, driving skills, safety, and traffic rules. This CIP code is not valid for IPEDS reporting.</t>
  </si>
  <si>
    <t>Helicopter Pilot (Private).</t>
  </si>
  <si>
    <t>A program that prepares individuals to fly helicopters for personal use, and qualifies individuals to sit for the FAA Private Pilot - Helicopter (PRH) examination. Includes instruction in principles of helicopter design and performance; helicopter flight systems and controls; flight crew operations and procedures; radio communications and navigation procedures and systems; airways safety and traffic regulations; and governmental rules and regulations pertaining to piloting helicopters. This CIP code is not valid for IPEDS reporting.</t>
  </si>
  <si>
    <t>Motorcycle Rider Education.</t>
  </si>
  <si>
    <t>A program that prepares individuals to ride motorcycles for personal use and qualifies them to sit for a motorcycle license examination. Includes instruction in motorcycle operation, riding skills, safety, and traffic rules. This CIP code is not valid for IPEDS reporting.</t>
  </si>
  <si>
    <t>Personal Watercraft/Boating Education.</t>
  </si>
  <si>
    <t>A program that prepares individuals to operate boats and other watercraft for personal use and qualifies them to sit for a boating license examination. Includes instruction in boat and watercraft operation, safety, and applicable laws and rules. This CIP code is not valid for IPEDS reporting.</t>
  </si>
  <si>
    <t>Remote Aircraft Pilot.</t>
  </si>
  <si>
    <t>A program that prepares individuals to fly an unmanned aircraft system (UAS) for personal use, and qualifies individuals to sit for the FAA Remote Pilot Certificate with small unmanned aircraft systems (sUAS) rating knowledge examination. Includes instruction in principles of unmanned aircraft system design and performance; aircraft flight systems and controls; airway safety and traffic regulations; and governmental rules and regulations pertaining to piloting unmanned aircraft. This CIP code is not valid for IPEDS reporting.</t>
  </si>
  <si>
    <t>Noncommercial Vehicle Operation, Other.</t>
  </si>
  <si>
    <t>Any instructional program in noncommercial vehicle operation not listed above.</t>
  </si>
  <si>
    <t>PERSONAL AWARENESS AND SELF-IMPROVEMENT.</t>
  </si>
  <si>
    <t>Programs that focus on the development of improved self-awareness, avoidance of stressful behavior, and improved decision-making skills. These CIP codes are not valid for IPEDS reporting.</t>
  </si>
  <si>
    <t>Personal Awareness and Self-Improvement.</t>
  </si>
  <si>
    <t>Instructional content for this group of programs is defined in codes 37.0101 - 37.0199. These CIP codes are not valid for IPEDS reporting.</t>
  </si>
  <si>
    <t>Self-Awareness and Personal Assessment.</t>
  </si>
  <si>
    <t>A program that focuses on the knowledge and skills useful in becoming aware of one's feelings, using methods of assessing one's personal attributes, and being aware of how one is perceived by others. This CIP code is not valid for IPEDS reporting.</t>
  </si>
  <si>
    <t>Stress Management and Coping Skills.</t>
  </si>
  <si>
    <t>A program that focuses on the knowledge and skills useful in avoiding stressful situations and managing them when they occur, including dealing with complex and long-term stressful relationships. This CIP code is not valid for IPEDS reporting.</t>
  </si>
  <si>
    <t>Personal Decision-Making Skills.</t>
  </si>
  <si>
    <t>A program that focuses on how to develop individuals' abilities to assess decisions affecting their lives and to make life choices consistent with needs and beliefs. This CIP code is not valid for IPEDS reporting.</t>
  </si>
  <si>
    <t>Self-Esteem and Values Clarification.</t>
  </si>
  <si>
    <t>A program that focuses on the development of personal philosophies and ideas of positive self-concept and self-worth, and applying these knowledge and skills in everyday circumstances. This CIP code is not valid for IPEDS reporting.</t>
  </si>
  <si>
    <t>Investing/Wealth Management/Retirement Planning.</t>
  </si>
  <si>
    <t>A program that prepares individuals to evaluate their personal financial health, establish financial planning strategies, and solve financial problems, based on their short term and long term financial goals. Includes instruction in asset management, estate planning, college savings, investment theory, insurance, real estate, retirement planning, and taxation. This CIP code is not valid for IPEDS reporting.</t>
  </si>
  <si>
    <t>Self-Defense.</t>
  </si>
  <si>
    <t>A program that focuses on defensive concepts and techniques against various types of assault. Includes instruction in basic principles of defense, continuum of survival, date rape, defensive mindset, weapons and strategies, offensive and defensive postures, recognizing vulnerable locations, risk reduction strategies, and using personal weapons. This CIP code is not valid for IPEDS reporting.</t>
  </si>
  <si>
    <t>Personal Awareness and Self-Improvement, Other.</t>
  </si>
  <si>
    <t>Any instructional program in personnel awareness and self-improvement not listed above. This CIP code is not valid for IPEDS reporting.</t>
  </si>
  <si>
    <t>PHILOSOPHY AND RELIGIOUS STUDIES.</t>
  </si>
  <si>
    <t>Instructional programs that focus on logical inquiry, philosophical analysis, and the academic study of organized systems of belief and religious practices.</t>
  </si>
  <si>
    <t>Philosophy and Religious Studies, General.</t>
  </si>
  <si>
    <t>Instructional content is defined in code 38.0001.</t>
  </si>
  <si>
    <t>A general program that combines the study of philosophy and religious studies. Includes instruction in logic; ethics; epistemology; symbolism; phenomenology; the sociology, psychology, philosophy, anthropology, literature, and art of religion; and world religions.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</si>
  <si>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</si>
  <si>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</si>
  <si>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</si>
  <si>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</si>
  <si>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</si>
  <si>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</si>
  <si>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</si>
  <si>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</si>
  <si>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</si>
  <si>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Philosophy, Other.</t>
  </si>
  <si>
    <t>Any instructional program in Philosophy not listed above.</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</si>
  <si>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</si>
  <si>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</si>
  <si>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</si>
  <si>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</si>
  <si>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Siddhartha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</si>
  <si>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</si>
  <si>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</si>
  <si>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</si>
  <si>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</si>
  <si>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</si>
  <si>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</si>
  <si>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</si>
  <si>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</si>
  <si>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Talmudic Studies.</t>
  </si>
  <si>
    <t>A program focused on intense study of the Talmud that fosters values, critical thinking, and scholarship skills; prepares students for entry into a broad spectrum of graduate and professional schools; and prepares students for entry into a variety of careers including the Rabbinate. Includes instruction in Jewish law, Jewish jurisprudence, ethics, philosophy, and related disciplines.</t>
  </si>
  <si>
    <t>Catholic Studies.</t>
  </si>
  <si>
    <t>A program that focuses on Catholic thought, culture, and how Catholic tradition informs theology, culture, institutions, and identity. Includes instruction in Biblical Greek, Biblical Hebrew, Catholic bioethics, Catholic social thought, church history, Latin, philosophy, and theology.</t>
  </si>
  <si>
    <t>Mormon Studies.</t>
  </si>
  <si>
    <t>A program that focuses on beliefs, practices, culture, and history of the Church of Jesus Christ of Latter-day Saints (Mormon). Includes instruction in Mormon culture, history, literature, philosophy, sociology, and theology.</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</si>
  <si>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</si>
  <si>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</si>
  <si>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</si>
  <si>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</si>
  <si>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</si>
  <si>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THEOLOGY AND RELIGIOUS VOCATIONS.</t>
  </si>
  <si>
    <t>Instructional programs that focus on the intramural study of theology and that prepare individuals for the professional practice of religious vocations.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</si>
  <si>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</si>
  <si>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</si>
  <si>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</si>
  <si>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Missions/Missionary Studies and Missiology.</t>
  </si>
  <si>
    <t>Instructional content for this group of programs is defined in codes 39.0301 - 39.0399.</t>
  </si>
  <si>
    <t>Missions/Missionary Studies.</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</si>
  <si>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</si>
  <si>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Church Planting.</t>
  </si>
  <si>
    <t>A program of study that prepares individuals to establish congregations of Christians in new locations. Includes instruction in models of church planting, church multiplication strategies, church leadership, evangelism, missiology, Christian ethics, and mission-oriented theology.</t>
  </si>
  <si>
    <t>Missions/Missionary Studies and Missiology, Other.</t>
  </si>
  <si>
    <t>Any instructional program in missions, missionary studies, and missiology not listed above.</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</si>
  <si>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</si>
  <si>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</si>
  <si>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</si>
  <si>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Religious Music and Worship.</t>
  </si>
  <si>
    <t>Instructional content for this group of programs is defined in codes 39.0501 - 39.0599.</t>
  </si>
  <si>
    <t>Religious/Sacred Music.</t>
  </si>
  <si>
    <t>A program that focuses on the history, theory, composition, and performance of music for religious or sacred purposes, and that prepares individuals for religious musical vocations such as choir directors, cantors, organists, and chanters.</t>
  </si>
  <si>
    <t>Worship Ministry.</t>
  </si>
  <si>
    <t>A program of study that focuses on the use of musical and theatrical arts in Christian worship. Includes instruction in digital media, electronic hardware design and installation, music, theater, and worship theology.</t>
  </si>
  <si>
    <t>Religious Music and Worship, Other.</t>
  </si>
  <si>
    <t>Any instructional program in religious music and worship not listed above.</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</si>
  <si>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</si>
  <si>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</si>
  <si>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</si>
  <si>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</si>
  <si>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</si>
  <si>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</si>
  <si>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</si>
  <si>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</si>
  <si>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</si>
  <si>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t>
  </si>
  <si>
    <t>Theological and Ministerial Studies, Other.</t>
  </si>
  <si>
    <t>Any instructional program in theological and ministerial studies not listed above, including preparation for religious vocations in faiths other than Christianity and Judaism.</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</si>
  <si>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</si>
  <si>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</si>
  <si>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</si>
  <si>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</si>
  <si>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</si>
  <si>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</si>
  <si>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</si>
  <si>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</si>
  <si>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</si>
  <si>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</si>
  <si>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</si>
  <si>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</si>
  <si>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Chaplain/Chaplaincy Studies.</t>
  </si>
  <si>
    <t>A program that prepares individuals to provide caregiver, pastoral, and spiritual support in an institutional, hospice, military, or sports setting. Includes instruction in global, healthcare, prison, and sports chaplaincy; addiction, crisis, disaster, family, marriage, grief, and loss counseling; ethics; leadership; multi-cultural, multi-faith contexts; and worship.</t>
  </si>
  <si>
    <t>Pastoral Counseling and Specialized Ministries, Other.</t>
  </si>
  <si>
    <t>Any instructional program in pastoral counseling and specialized ministries not listed above.</t>
  </si>
  <si>
    <t>Religious Institution Administration and Law.</t>
  </si>
  <si>
    <t>Instructional content for this group of programs is defined in codes 39.0801 - 39.0899.</t>
  </si>
  <si>
    <t>Religious Institution Administration and Management.</t>
  </si>
  <si>
    <t>A program that prepares individuals to manage the business affairs and administration of religious institutions. Includes instruction in business management, principles of accounting and financial management, human resources management, taxation of religious institutions, and business law as applied to religious institutions.</t>
  </si>
  <si>
    <t>Religious/Canon Law.</t>
  </si>
  <si>
    <t>A program of study that focuses on the history, theology, and philosophy of religious, church, and ecclesiastical law and that prepares individuals to serve as professional canonists.</t>
  </si>
  <si>
    <t>Religious Institution Administration and Law, Other.</t>
  </si>
  <si>
    <t>Any instructional program in religious institution administration and law not listed above.</t>
  </si>
  <si>
    <t>Theology and Religious Vocations, Other.</t>
  </si>
  <si>
    <t>Instructional content is defined in code 39.9999.</t>
  </si>
  <si>
    <t>Any instructional program in theological studies and religious vocations not listed above.</t>
  </si>
  <si>
    <t>PHYSICAL SCIENCES.</t>
  </si>
  <si>
    <t>Instructional programs that focus on the scientific study of inanimate objects, processes of matter and energy, and associated phenomena.</t>
  </si>
  <si>
    <t>Physical Sciences, General.</t>
  </si>
  <si>
    <t>Instructional content is defined in code 40.0101.</t>
  </si>
  <si>
    <t>A program that focuses on the major topics, concepts, processes, and interrelationships of physical phenomena as studied in any combination of physical science disciplines.</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</si>
  <si>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</si>
  <si>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</si>
  <si>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</si>
  <si>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</si>
  <si>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</si>
  <si>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</si>
  <si>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</si>
  <si>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</si>
  <si>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</si>
  <si>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</si>
  <si>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</si>
  <si>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</si>
  <si>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</si>
  <si>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</si>
  <si>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</si>
  <si>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</si>
  <si>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</si>
  <si>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</si>
  <si>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</si>
  <si>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</si>
  <si>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</si>
  <si>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</si>
  <si>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</si>
  <si>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</si>
  <si>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</si>
  <si>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</si>
  <si>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</si>
  <si>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</si>
  <si>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</si>
  <si>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</si>
  <si>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</si>
  <si>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</si>
  <si>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</si>
  <si>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</si>
  <si>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</si>
  <si>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</si>
  <si>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</si>
  <si>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</si>
  <si>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</si>
  <si>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</si>
  <si>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</si>
  <si>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</si>
  <si>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</si>
  <si>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</si>
  <si>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Cheminformatics/Chemistry Informatics.</t>
  </si>
  <si>
    <t>A program that focuses on applying computer science approaches in the representation, analysis, design, and modeling of chemical structures and associated metadata, such as biological activity endpoints and physicochemical properties. Includes instruction in chemical information technology, computational chemistry, computer science, database design, molecular modeling, scientific computing, and statistics.</t>
  </si>
  <si>
    <t>Chemistry, Other.</t>
  </si>
  <si>
    <t>Any instructional program in chemistry not listed above.</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</si>
  <si>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</si>
  <si>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</si>
  <si>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</si>
  <si>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</si>
  <si>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</si>
  <si>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</si>
  <si>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</si>
  <si>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</si>
  <si>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</si>
  <si>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</si>
  <si>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</si>
  <si>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</si>
  <si>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</si>
  <si>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</si>
  <si>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</si>
  <si>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</si>
  <si>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</si>
  <si>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</si>
  <si>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</si>
  <si>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</si>
  <si>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</si>
  <si>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</si>
  <si>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</si>
  <si>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</si>
  <si>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</si>
  <si>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</si>
  <si>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</si>
  <si>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</si>
  <si>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</si>
  <si>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</si>
  <si>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</si>
  <si>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</si>
  <si>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</si>
  <si>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</si>
  <si>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</si>
  <si>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</si>
  <si>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</si>
  <si>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</si>
  <si>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</si>
  <si>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t>
  </si>
  <si>
    <t>Materials Sciences.</t>
  </si>
  <si>
    <t>Instructional content for this group of programs is defined in codes 40.1001 - 40.1099.</t>
  </si>
  <si>
    <t>Materials Science.</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</si>
  <si>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</si>
  <si>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</si>
  <si>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</si>
  <si>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Materials Sciences, Other.</t>
  </si>
  <si>
    <t>Any instructional program in materials sciences not listed above.</t>
  </si>
  <si>
    <t>Physics and Astronomy.</t>
  </si>
  <si>
    <t>Instructional content is defined in code 40.1101.</t>
  </si>
  <si>
    <t>A program that focuses on the scientific study of the theories that explain the fundamental structure of our world and the universe and which draws from physics and astronomy. Includes instruction in astronomy, calculus, cosmology, differential equations, electricity, magnetism, data analysis, physics, quantum mechanics, space science, spectroscopy, and thermal physics.</t>
  </si>
  <si>
    <t>Physical Sciences, Other.</t>
  </si>
  <si>
    <t>Instructional content is defined in code 40.9999.</t>
  </si>
  <si>
    <t>Any instructional program in physical sciences not listed above.</t>
  </si>
  <si>
    <t>SCIENCE TECHNOLOGIES/TECHNICIANS.</t>
  </si>
  <si>
    <t>Instructional programs that prepare individuals to apply scientific principles and technical skills in support of scientific research and development.</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</si>
  <si>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</si>
  <si>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</si>
  <si>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</si>
  <si>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Biology/Biotechnology Technologies/Technicians.</t>
  </si>
  <si>
    <t>Instructional content is defined in code 41.0101.</t>
  </si>
  <si>
    <t>Biology/Biotechnology Technology/Technician.</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</si>
  <si>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</si>
  <si>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</si>
  <si>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</si>
  <si>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</si>
  <si>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</si>
  <si>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</si>
  <si>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</si>
  <si>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</si>
  <si>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</si>
  <si>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</si>
  <si>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</si>
  <si>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</si>
  <si>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</si>
  <si>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</si>
  <si>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</si>
  <si>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</si>
  <si>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</si>
  <si>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</si>
  <si>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</si>
  <si>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</si>
  <si>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</si>
  <si>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</si>
  <si>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</si>
  <si>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</si>
  <si>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</si>
  <si>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Research and Experimental Psychology.</t>
  </si>
  <si>
    <t>Instructional content for this group of programs is defined in codes 42.2701 - 42.2799.</t>
  </si>
  <si>
    <t>Cognitive Psychology and Psycholinguistics.</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</si>
  <si>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</si>
  <si>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Comparative Psychology.</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</si>
  <si>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</si>
  <si>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Developmental and Child Psychology.</t>
  </si>
  <si>
    <t>A program that focuses on the scientific study of the unique stages of psychological growth and development of individuals from infancy through childhood.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</si>
  <si>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Experimental Psychology.</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</si>
  <si>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</si>
  <si>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Personality Psychology.</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</si>
  <si>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</si>
  <si>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Behavioral Neuroscience.</t>
  </si>
  <si>
    <t>A program that focuses on the scientific study of the biological bases of behavior and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molecular and cellular neuroscience, brain science, anatomy and physiology of the central nervous system, and specialized experimental design and research methods.</t>
  </si>
  <si>
    <t>Social Psychology.</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</si>
  <si>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</si>
  <si>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Psychometrics and Quantitative Psychology.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</si>
  <si>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</si>
  <si>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Psychopharmacology.</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</si>
  <si>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</si>
  <si>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Developmental and Adolescent Psychology.</t>
  </si>
  <si>
    <t>A program that focuses on the scientific study of the unique stages of psychological growth and development of individuals from adolescence to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</si>
  <si>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</si>
  <si>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</si>
  <si>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</si>
  <si>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 These CIP codes are not valid for IPEDS reporting.</t>
  </si>
  <si>
    <t>Clinical Psychology.</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</si>
  <si>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</si>
  <si>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Community Psychology.</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</si>
  <si>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</si>
  <si>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Counseling Psychology.</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</si>
  <si>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</si>
  <si>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Industrial and Organizational Psychology.</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</si>
  <si>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</si>
  <si>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School Psychology.</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</si>
  <si>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</si>
  <si>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Educational Psychology.</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</si>
  <si>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</si>
  <si>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Clinical Child Psychology.</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</si>
  <si>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</si>
  <si>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Environmental Psychology.</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</si>
  <si>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</si>
  <si>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Geropsychology.</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</si>
  <si>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</si>
  <si>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Health/Medical Psychology.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</si>
  <si>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</si>
  <si>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Family Psychology.</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</si>
  <si>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</si>
  <si>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Forensic Psychology.</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</si>
  <si>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</si>
  <si>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</si>
  <si>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</si>
  <si>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</si>
  <si>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</si>
  <si>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Performance and Sport Psychology.</t>
  </si>
  <si>
    <t>A program that focuses on the motor, physiological, and psychosocial aspects of sport behavior. Includes instruction in applied sport psychology, clinical mental health counseling, coaching, exercise physiology, ethical performance enhancement; human development, leadership and team building, mind-body practices, neuroscience, and personality and health.</t>
  </si>
  <si>
    <t>Somatic Psychology.</t>
  </si>
  <si>
    <t>A program that focuses on a holistic approach to solving interpersonal issues and psychological problems. Includes instruction in authentic movement, body-mind balance and integration, contact improvisation, dance, Pilates, Tai Chi, relaxation techniques, and Yoga.</t>
  </si>
  <si>
    <t>Transpersonal/Spiritual Psychology.</t>
  </si>
  <si>
    <t>A program that prepares individuals to pursue spiritual and psychological practices for counseling. Includes instruction in emotional intelligence, expressive movement, healing practices and rituals, human consciousness, movement and meditation, psychosomatic connection, spiritual systems and wellness, transpersonal counseling, and therapeutic trance.</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</si>
  <si>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</si>
  <si>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</si>
  <si>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</si>
  <si>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</si>
  <si>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</si>
  <si>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</si>
  <si>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</si>
  <si>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Criminal Justice and Corrections.</t>
  </si>
  <si>
    <t>Instructional content for this group of programs is defined in codes 43.0100 - 43.0199.</t>
  </si>
  <si>
    <t>Criminal Justice and Corrections, General.</t>
  </si>
  <si>
    <t>A program of study that focuses on the general study of criminal justice and corrections. Includes instruction in criminology, criminal justice, correctional science, forensic science, law enforcement, psychology, and ethics.</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</si>
  <si>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</si>
  <si>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</si>
  <si>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</si>
  <si>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</si>
  <si>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</si>
  <si>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</si>
  <si>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</si>
  <si>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</si>
  <si>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</si>
  <si>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</si>
  <si>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</si>
  <si>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</si>
  <si>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</si>
  <si>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</si>
  <si>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</si>
  <si>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</si>
  <si>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</si>
  <si>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</si>
  <si>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</si>
  <si>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</si>
  <si>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</si>
  <si>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</si>
  <si>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</si>
  <si>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</si>
  <si>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</si>
  <si>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</si>
  <si>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</si>
  <si>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</si>
  <si>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Cultural/Archaeological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</si>
  <si>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</si>
  <si>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</si>
  <si>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</si>
  <si>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</si>
  <si>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</si>
  <si>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</si>
  <si>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</si>
  <si>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</si>
  <si>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</si>
  <si>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</si>
  <si>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</si>
  <si>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</si>
  <si>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</si>
  <si>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</si>
  <si>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</si>
  <si>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</si>
  <si>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</si>
  <si>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</si>
  <si>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</si>
  <si>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</si>
  <si>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</si>
  <si>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</si>
  <si>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</si>
  <si>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</si>
  <si>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</si>
  <si>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</si>
  <si>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</si>
  <si>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</si>
  <si>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</si>
  <si>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t>
  </si>
  <si>
    <t>Security Science and Technology.</t>
  </si>
  <si>
    <t>Instructional content for this group of programs is defined in codes 43.0401 - 43.0499.</t>
  </si>
  <si>
    <t>Security Science and Technology, General.</t>
  </si>
  <si>
    <t>A program of study that focuses on the general application of science and technology to security.</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</si>
  <si>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</si>
  <si>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</si>
  <si>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</si>
  <si>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</si>
  <si>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Cybersecurity Defense Strategy/Policy.</t>
  </si>
  <si>
    <t>A program that focuses on the study of strategy, policy, and standards regarding the security of and operations in cyberspace. Includes instruction in incident response, information assurance, recovery policies, vulnerability reduction, deterrence, threat reduction, and resiliency.</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</si>
  <si>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</si>
  <si>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</si>
  <si>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</si>
  <si>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</si>
  <si>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Geospatial Intelligence.</t>
  </si>
  <si>
    <t>A program that prepares individuals to analyze security and intelligence problems using a geographic perspective by relating human actions to cultural, political, economic, social, and physical landscapes. Includes instruction in aerial photography analysis, cartography, geographic information systems (GIS), physical geography, remote sensing, spatial programming, and quantitative methods in geographic research.</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</si>
  <si>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</si>
  <si>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</si>
  <si>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Security Science and Technology, Other.</t>
  </si>
  <si>
    <t>Any instructional program in security science and technology not listed above.</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</si>
  <si>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</si>
  <si>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</si>
  <si>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</si>
  <si>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PUBLIC ADMINISTRATION AND SOCIAL SERVICE PROFESSIONS.</t>
  </si>
  <si>
    <t>Instructional programs that prepare individuals to analyze, manage, and deliver public programs and services.</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</si>
  <si>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</si>
  <si>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</si>
  <si>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</si>
  <si>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Community Organization and Advocacy.</t>
  </si>
  <si>
    <t>Instructional content is defined in code 44.0201.</t>
  </si>
  <si>
    <t>A program that focuses on the theories, principles, and practice of organizing and providing services to communities. May prepare individuals to apply such knowledge and skills in community service positions.</t>
  </si>
  <si>
    <t>Public Administration.</t>
  </si>
  <si>
    <t>Instructional content for this group of programs is defined in codes 44.0401 - 44.0499.</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</si>
  <si>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</si>
  <si>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Public Works Management.</t>
  </si>
  <si>
    <t>A program of study that focuses on public works management skills and public works operation. Includes instruction in accountability, budget, conflict resolution strategies, ethics, finance, human resources, labor and employee relations, and operations management.</t>
  </si>
  <si>
    <t>Transportation and Infrastructure Planning/Studies.</t>
  </si>
  <si>
    <t>A program that focuses on the economic, social, spatial, and environmental aspects of transportation and infrastructure planning. Includes instruction in economics, environmental analysis, geographic information systems (GIS), logistics, risk analysis, transportation economics, transportation evaluation, transportation planning, transportation policy, and urban transportation planning.</t>
  </si>
  <si>
    <t>Public Administration, Other.</t>
  </si>
  <si>
    <t>Any program in public administration not listed above.</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</si>
  <si>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</si>
  <si>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</si>
  <si>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</si>
  <si>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</si>
  <si>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</si>
  <si>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</si>
  <si>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</si>
  <si>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</si>
  <si>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</si>
  <si>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</si>
  <si>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Public Policy Analysis, Other.</t>
  </si>
  <si>
    <t>Any instructional program in public policy analysis not listed above.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</si>
  <si>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</si>
  <si>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</si>
  <si>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</si>
  <si>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</si>
  <si>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</si>
  <si>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Forensic Social Work.</t>
  </si>
  <si>
    <t>A program that prepares individuals to serve as social workers in correctional facilities, mental health hospitals, the justice system, substance abuse treatment programs, and victim assistance. Includes instruction in forensic social work, criminal justice administration, domestic violence, ethics, juvenile justice systems, mental illness and crime, program evaluation, and research methods.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</si>
  <si>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</si>
  <si>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</si>
  <si>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</si>
  <si>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</si>
  <si>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</si>
  <si>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SOCIAL SCIENCES.</t>
  </si>
  <si>
    <t>Instructional programs that focus on the systematic study of social systems, social institutions, and social behavior.</t>
  </si>
  <si>
    <t>Social Sciences, General.</t>
  </si>
  <si>
    <t>Instructional content for this group of programs is defined in codes 45.0101 - 45.0199.</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</si>
  <si>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</si>
  <si>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</si>
  <si>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</si>
  <si>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Survey Research/Methodology.</t>
  </si>
  <si>
    <t>A program that focuses on survey research design to gather data about behaviors, demographics, opinions, and data analysis to answer complex questions. Includes instruction in the analysis of survey data, cross-cultural and multi-population survey methodology, data collection methods, modes of survey analysis, quantitative analysis, questionnaire design, research design, sampling, survey error, and structural equation modeling.</t>
  </si>
  <si>
    <t>Social Sciences, Other.</t>
  </si>
  <si>
    <t>Any program in general social sciences not listed above.</t>
  </si>
  <si>
    <t>Anthropology.</t>
  </si>
  <si>
    <t>Instructional content for this group of programs is defined in codes 45.0201 - 45.0299.</t>
  </si>
  <si>
    <t>Anthropology, General.</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</si>
  <si>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</si>
  <si>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</si>
  <si>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</si>
  <si>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</si>
  <si>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</si>
  <si>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Cultural Anthropology.</t>
  </si>
  <si>
    <t>A program that focuses on the study of culture and the relationship of culture to other aspects of social life. Includes instruction in cultural anthropology, anthropological theory, ethnography, linguistics, and quantitative and qualitative research methods.</t>
  </si>
  <si>
    <t>Forensic Anthropology.</t>
  </si>
  <si>
    <t>A program that focuses on the application of the biological sciences and skeletal anthropology in medicolegal death investigations. Includes instruction in biological anthropology theory, crime scene investigation, forensic anthropology field methods, forensic anthropological techniques and procedures, human anatomy, methods of human identification, mortuary archaeology, osteology, and taphonomy.</t>
  </si>
  <si>
    <t>Anthropology, Other.</t>
  </si>
  <si>
    <t>Any instructional program in Anthropology not listed above.</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</si>
  <si>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</si>
  <si>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</si>
  <si>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</si>
  <si>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</si>
  <si>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</si>
  <si>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</si>
  <si>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Demography.</t>
  </si>
  <si>
    <t>Instructional content for this group of programs is defined in codes 45.0501 - 45.0599.</t>
  </si>
  <si>
    <t>Demography and Population Studies.</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</si>
  <si>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</si>
  <si>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Applied Demography.</t>
  </si>
  <si>
    <t>A program of study that focuses on the practical application of demographic methods and materials for decision-making in business, education, health, and government. Includes instruction in statistics, research methods, geographic information systems, and demographic methods and techniques.</t>
  </si>
  <si>
    <t>Demography, Other.</t>
  </si>
  <si>
    <t>Any instructional program in demography not listed above.</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</si>
  <si>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</si>
  <si>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</si>
  <si>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</si>
  <si>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</si>
  <si>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</si>
  <si>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</si>
  <si>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</si>
  <si>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</si>
  <si>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</si>
  <si>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</si>
  <si>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</si>
  <si>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</si>
  <si>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Economics, Other.</t>
  </si>
  <si>
    <t>Any instructional program in economics not listed above.</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</si>
  <si>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</si>
  <si>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</si>
  <si>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</si>
  <si>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</si>
  <si>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</si>
  <si>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</si>
  <si>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Geography, Other.</t>
  </si>
  <si>
    <t>Any instructional program in geography not listed above.</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</si>
  <si>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</si>
  <si>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</si>
  <si>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</si>
  <si>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</si>
  <si>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</si>
  <si>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</si>
  <si>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International Relations and National Security Studies, Other.</t>
  </si>
  <si>
    <t>Any instructional program in international relations and national security studies not listed above.</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</si>
  <si>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</si>
  <si>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</si>
  <si>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</si>
  <si>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</si>
  <si>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</si>
  <si>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</si>
  <si>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</si>
  <si>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</si>
  <si>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</si>
  <si>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t>
  </si>
  <si>
    <t>Political Science and Government, Other.</t>
  </si>
  <si>
    <t>Any instructional program in political science and government not listed above.</t>
  </si>
  <si>
    <t>Sociology.</t>
  </si>
  <si>
    <t>Instructional content for this group of programs is defined in codes 45.1101 - 45.1199.</t>
  </si>
  <si>
    <t>Sociology, General.</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</si>
  <si>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</si>
  <si>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Applied/Public Sociology.</t>
  </si>
  <si>
    <t>A program that focuses on the application of sociological theory, methods, skills, and research to resolve particular issues in real-world settings. Includes instruction in data collection, group and organizational dynamics, participatory action research, program evaluation, sociological research methods, and sociological theory.</t>
  </si>
  <si>
    <t>Rural Sociology.</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</si>
  <si>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</si>
  <si>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Sociology, Other.</t>
  </si>
  <si>
    <t>Any instructional program in sociology not listed above.</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</si>
  <si>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</si>
  <si>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</si>
  <si>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</si>
  <si>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</si>
  <si>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</si>
  <si>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</si>
  <si>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Geography and Anthropology.</t>
  </si>
  <si>
    <t>Instructional content is defined in code 45.1501.</t>
  </si>
  <si>
    <t>A program that focuses on human cultures and their adaptation to physical environments. Includes instruction in archaeology, biogeography, climatology, cultural anthropology, cultural geography, economic development, environmental geography, geomorphology, global environmental change, historical geography, mapping sciences, physical anthropology, political ecology, Quaternary studies, and urban geography.</t>
  </si>
  <si>
    <t>Instructional content is defined in code 45.9999.</t>
  </si>
  <si>
    <t>Any instructional program in social sciences not listed above.</t>
  </si>
  <si>
    <t>CONSTRUCTION TRADES.</t>
  </si>
  <si>
    <t>Instructional programs that prepare individuals to apply technical knowledge and skills in the building, inspecting, and maintaining of structures and related properties.</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</si>
  <si>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</si>
  <si>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</si>
  <si>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</si>
  <si>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</si>
  <si>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</si>
  <si>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</si>
  <si>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</si>
  <si>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</si>
  <si>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</si>
  <si>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</si>
  <si>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</si>
  <si>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</si>
  <si>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</si>
  <si>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</si>
  <si>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</si>
  <si>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</si>
  <si>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</si>
  <si>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t>
  </si>
  <si>
    <t>Electrical and Power Transmission Installers, Other.</t>
  </si>
  <si>
    <t>Any instructional program in electrical and power transmission installation not listed above.</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</si>
  <si>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</si>
  <si>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</si>
  <si>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</si>
  <si>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</si>
  <si>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</si>
  <si>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</si>
  <si>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</si>
  <si>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</si>
  <si>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</si>
  <si>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</si>
  <si>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</si>
  <si>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</si>
  <si>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</si>
  <si>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</si>
  <si>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</si>
  <si>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</si>
  <si>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</si>
  <si>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</si>
  <si>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</si>
  <si>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</si>
  <si>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Carpet, Floor, and Tile Worker.</t>
  </si>
  <si>
    <t>A program that prepares individuals to plan, prepare, install, and repair carpet; linoleum; vinyl; ceramic, marble, quarry, mosaic, and terrazzo tiles; and wood materials on floors, walls, and stairs. Includes instruction in measuring, cutting, and installing materials; use of hand and power-operated equipment; estimation of material and labor costs; and safety training.</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</si>
  <si>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</si>
  <si>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t>
  </si>
  <si>
    <t>Building Construction Technology/Technician.</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</si>
  <si>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t>
  </si>
  <si>
    <t>Building/Construction Finishing, Management, and Inspection, Other.</t>
  </si>
  <si>
    <t>Any instructional program in building/construction finishing, management, and inspection not listed above.</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</si>
  <si>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</si>
  <si>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</si>
  <si>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</si>
  <si>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</si>
  <si>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</si>
  <si>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</si>
  <si>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</si>
  <si>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</si>
  <si>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</si>
  <si>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</si>
  <si>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</si>
  <si>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</si>
  <si>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</si>
  <si>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</si>
  <si>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</si>
  <si>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</si>
  <si>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</si>
  <si>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</si>
  <si>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</si>
  <si>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</si>
  <si>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Electrical/Electronics Maintenance and Repair Technologies/Technicians.</t>
  </si>
  <si>
    <t>Instructional content for this group of programs is defined in codes 47.0101 - 47.0199.</t>
  </si>
  <si>
    <t>Electrical/Electronics Equipment Installation and Repair Technology/Technician,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</si>
  <si>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</si>
  <si>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</si>
  <si>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</si>
  <si>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Technology/Technician.</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</si>
  <si>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</si>
  <si>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</si>
  <si>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</si>
  <si>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</si>
  <si>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</si>
  <si>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</si>
  <si>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</si>
  <si>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</si>
  <si>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</si>
  <si>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Technologies/Technicians, Other.</t>
  </si>
  <si>
    <t>Any instructional program in electrical and electronics equipment installation and repair technologies not listed above.</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</si>
  <si>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</si>
  <si>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</si>
  <si>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</si>
  <si>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t>
  </si>
  <si>
    <t>Heavy/Industrial Equipment Maintenance Technologies/Technicians.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</si>
  <si>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</si>
  <si>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</si>
  <si>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t>
  </si>
  <si>
    <t>Industrial Mechanics and Maintenance Technology/Technician.</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</si>
  <si>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t>
  </si>
  <si>
    <t>Heavy/Industrial Equipment Maintenance Technologies/Technicians, Other.</t>
  </si>
  <si>
    <t>Any instructional program in heavy or industrial equipment maintenance technologies not listed above.</t>
  </si>
  <si>
    <t>Precision Systems Maintenance and Repair Technologies/Technicians.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</si>
  <si>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</si>
  <si>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</si>
  <si>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</si>
  <si>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</si>
  <si>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</si>
  <si>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</si>
  <si>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</si>
  <si>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</si>
  <si>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</si>
  <si>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</si>
  <si>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t>
  </si>
  <si>
    <t>Precision Systems Maintenance and Repair Technologies/Technicians, Other.</t>
  </si>
  <si>
    <t>Any instructional program in precision systems maintenance and repair not listed above.</t>
  </si>
  <si>
    <t>Vehicle Maintenance and Repair Technologies/Technicians.</t>
  </si>
  <si>
    <t>Instructional content for this group of programs is defined in codes 47.0600 - 47.0699.</t>
  </si>
  <si>
    <t>Vehicle Maintenance and Repair Technology/Technician,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</si>
  <si>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</si>
  <si>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</si>
  <si>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</si>
  <si>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</si>
  <si>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</si>
  <si>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</si>
  <si>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</si>
  <si>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</si>
  <si>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</si>
  <si>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</si>
  <si>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</si>
  <si>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</si>
  <si>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</si>
  <si>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</si>
  <si>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</si>
  <si>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</si>
  <si>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</si>
  <si>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</si>
  <si>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</si>
  <si>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</si>
  <si>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</si>
  <si>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</si>
  <si>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</si>
  <si>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</si>
  <si>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</si>
  <si>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</si>
  <si>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</si>
  <si>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</si>
  <si>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</si>
  <si>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</si>
  <si>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</si>
  <si>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</si>
  <si>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t>
  </si>
  <si>
    <t>Vehicle Maintenance and Repair Technologies/Technicians, Other.</t>
  </si>
  <si>
    <t>Any instructional program in vehicle maintenance and repair technologies not listed above.</t>
  </si>
  <si>
    <t>Energy Systems Maintenance and Repair Technologies/Technicians.</t>
  </si>
  <si>
    <t>Instructional content for this group of programs is defined in codes 47.0701 - 47.0799.</t>
  </si>
  <si>
    <t>Energy Systems Installation and Repair Technology/Technician.</t>
  </si>
  <si>
    <t>A program that prepares individuals to apply technical knowledge and skills to assemble, install, operate, maintain, and repair energy systems. Includes instruction in installing, maintaining and testing various types of equipment.</t>
  </si>
  <si>
    <t>Solar Energy System Installation and Repair Technology/Technician.</t>
  </si>
  <si>
    <t>A program that prepares individuals to apply technical knowledge and skills to assemble, install, operate, maintain, and repair solar energy systems. Includes instruction in installing, maintaining and testing various types of equipment.</t>
  </si>
  <si>
    <t>Wind Energy System Installation and Repair Technology/Technician.</t>
  </si>
  <si>
    <t>A program that prepares individuals to apply technical knowledge and skills to assemble, install, operate, maintain, and repair wind energy systems. Includes instruction in installing, maintaining and testing various types of equipment.</t>
  </si>
  <si>
    <t>Hydroelectric Energy System Installation and Repair Technology/Technician.</t>
  </si>
  <si>
    <t>A program that prepares individuals to apply technical knowledge and skills to assemble, install, operate, maintain, and repair hydroelectric energy systems. Includes instruction in installing, maintaining and testing various types of equipment.</t>
  </si>
  <si>
    <t>Geothermal Energy System Installation and Repair Technology/Technician.</t>
  </si>
  <si>
    <t>A program that prepares individuals to apply technical knowledge and skills to assemble, install, operate, maintain, and repair geothermal energy systems. Includes instruction in installing, maintaining and testing various types of equipment.</t>
  </si>
  <si>
    <t>Energy Systems Maintenance and Repair Technologies/Technicians, Other.</t>
  </si>
  <si>
    <t>Any instructional program in energy systems maintenance and repair technologies not listed above.</t>
  </si>
  <si>
    <t>Mechanic and Repair Technologies/Technicians, Other.</t>
  </si>
  <si>
    <t>Instructional content is defined in code 47.9999.</t>
  </si>
  <si>
    <t>Any instructional program in mechanic and repair technologies not listed above.</t>
  </si>
  <si>
    <t>PRECISION PRODUCTION.</t>
  </si>
  <si>
    <t>Instructional programs that prepare individuals to apply technical knowledge and skills to create products using techniques of precision craftsmanship or technical illustration.</t>
  </si>
  <si>
    <t>Precision Production Trades, General.</t>
  </si>
  <si>
    <t>Instructional content is defined in code 48.0000.</t>
  </si>
  <si>
    <t>A program that generally prepares individuals to apply technical knowledge and skills in creating products using precision crafting and technical illustration.</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</si>
  <si>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</si>
  <si>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</si>
  <si>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</si>
  <si>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</si>
  <si>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</si>
  <si>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</si>
  <si>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</si>
  <si>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</si>
  <si>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</si>
  <si>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</si>
  <si>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</si>
  <si>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</si>
  <si>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</si>
  <si>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</si>
  <si>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</si>
  <si>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</si>
  <si>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</si>
  <si>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</si>
  <si>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</si>
  <si>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</si>
  <si>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</si>
  <si>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</si>
  <si>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</si>
  <si>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</si>
  <si>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</si>
  <si>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t>
  </si>
  <si>
    <t>Precision Metal Working, Other.</t>
  </si>
  <si>
    <t>Any instructional program in precision metal work not listed above.</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</si>
  <si>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</si>
  <si>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</si>
  <si>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</si>
  <si>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</si>
  <si>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</si>
  <si>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</si>
  <si>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</si>
  <si>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t>
  </si>
  <si>
    <t>Wooden Boatbuilding Technology/Technician.</t>
  </si>
  <si>
    <t>A program that prepares individuals to apply technical knowledge and skills to construct and repair traditional and modern wooden boats. Includes instruction in budgeting, drafting, fairing, lofting, joinery, planking, spars and rigging, and woodworking.</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</si>
  <si>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</si>
  <si>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</si>
  <si>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</si>
  <si>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</si>
  <si>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t>
  </si>
  <si>
    <t>Precision Production, Other.</t>
  </si>
  <si>
    <t>Instructional content is defined in code 48.9999.</t>
  </si>
  <si>
    <t>Any instructional program in precision production not listed above.</t>
  </si>
  <si>
    <t>TRANSPORTATION AND MATERIALS MOVING.</t>
  </si>
  <si>
    <t>Instructional programs that prepare individuals to apply technical knowledge and skills to perform tasks and services that facilitate the movement of people or materials.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</si>
  <si>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</si>
  <si>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</si>
  <si>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</si>
  <si>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</si>
  <si>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</si>
  <si>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</si>
  <si>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</si>
  <si>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</si>
  <si>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</si>
  <si>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</si>
  <si>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</si>
  <si>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</si>
  <si>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</si>
  <si>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</si>
  <si>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Air Transportation, Other.</t>
  </si>
  <si>
    <t>Any instructional program in aviation and air transportation services not listed above.</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</si>
  <si>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</si>
  <si>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</si>
  <si>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</si>
  <si>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backfilling, clearing and excavating.</t>
  </si>
  <si>
    <t>Truck and Bus Driver/Commercial Vehicle Operator and Instructor.</t>
  </si>
  <si>
    <t>A program that prepares individuals to apply technical knowledge and skills to drive trucks and buses, delivery vehicles, for-hire vehicles and other commercial vehicles, or to instruct commercial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</si>
  <si>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Operator/Operation.</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</si>
  <si>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</si>
  <si>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</si>
  <si>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</si>
  <si>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</si>
  <si>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t>
  </si>
  <si>
    <t>Forklift Operation/Operator.</t>
  </si>
  <si>
    <t>A program that prepares individuals to operate forklifts in a variety of work environments. Includes instruction in accident prevention, forklift operation, materials handling, and worksite safety.</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</si>
  <si>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</si>
  <si>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</si>
  <si>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</si>
  <si>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</si>
  <si>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</si>
  <si>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</si>
  <si>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</si>
  <si>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</si>
  <si>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</si>
  <si>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</si>
  <si>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</si>
  <si>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</si>
  <si>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</si>
  <si>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</si>
  <si>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</si>
  <si>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VISUAL AND PERFORMING ARTS.</t>
  </si>
  <si>
    <t>Instructional programs that focus on the creation and interpretation of works and performances that use auditory, kinesthetic, and visual phenomena to express ideas and emotions in various forms, subject to aesthetic criteria.</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</si>
  <si>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</si>
  <si>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</si>
  <si>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</si>
  <si>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</si>
  <si>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</si>
  <si>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</si>
  <si>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</si>
  <si>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</si>
  <si>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</si>
  <si>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</si>
  <si>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</si>
  <si>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</si>
  <si>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</si>
  <si>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</si>
  <si>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</si>
  <si>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</si>
  <si>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</si>
  <si>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</si>
  <si>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</si>
  <si>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</si>
  <si>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</si>
  <si>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</si>
  <si>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</si>
  <si>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</si>
  <si>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</si>
  <si>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</si>
  <si>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</si>
  <si>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</si>
  <si>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</si>
  <si>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</si>
  <si>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</si>
  <si>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</si>
  <si>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</si>
  <si>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</si>
  <si>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</si>
  <si>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</si>
  <si>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Design and Applied Arts, Other.</t>
  </si>
  <si>
    <t>Any instructional program in design and applied arts not listed above.</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</si>
  <si>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</si>
  <si>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</si>
  <si>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</si>
  <si>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</si>
  <si>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</si>
  <si>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</si>
  <si>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</si>
  <si>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</si>
  <si>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</si>
  <si>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</si>
  <si>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</si>
  <si>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</si>
  <si>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</si>
  <si>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</si>
  <si>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</si>
  <si>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</si>
  <si>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</si>
  <si>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</si>
  <si>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Comedy Writing and Performance.</t>
  </si>
  <si>
    <t>A program that focuses on the historical, cultural, and theoretical dimensions of comedy as an art form, and the writing, performance, and production of comedy. Includes instruction in comedic storytelling, comedy production, comedy writing, history of comedy, improvisation, and sketch writing.</t>
  </si>
  <si>
    <t>Theatre and Dance.</t>
  </si>
  <si>
    <t>A program of study that focuses on integrating the studies of dance and theatre arts to provide perspectives in all facets of production, performance, and critical engagement. Includes instruction in acting, aesthetics, choreography, costume design, criticism, dance, improvisation, music analysis, playwriting, theatre performance history, scene design, stage lighting, and technical theatre.</t>
  </si>
  <si>
    <t>Dramatic/Theatre Arts and Stagecraft, Other.</t>
  </si>
  <si>
    <t>Any instructional program in dramatic/theatre arts and stagecraft not listed above.</t>
  </si>
  <si>
    <t>Film/Video and Photographic Arts.</t>
  </si>
  <si>
    <t>Instructional content for this group of programs is defined in codes 50.0601 - 50.0699.</t>
  </si>
  <si>
    <t>Film/Cinema/Media Studies.</t>
  </si>
  <si>
    <t>A program in the visual arts that focuses on the study of the history, development, theory, and criticism of the film/media arts, as well as the basic principles of filmmaking and film production.</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</si>
  <si>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</si>
  <si>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</si>
  <si>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</si>
  <si>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</si>
  <si>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</si>
  <si>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</si>
  <si>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</si>
  <si>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</si>
  <si>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</si>
  <si>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</si>
  <si>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</si>
  <si>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</si>
  <si>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</si>
  <si>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</si>
  <si>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</si>
  <si>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</si>
  <si>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</si>
  <si>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</si>
  <si>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</si>
  <si>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</si>
  <si>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</si>
  <si>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</si>
  <si>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</si>
  <si>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</si>
  <si>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</si>
  <si>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</si>
  <si>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</si>
  <si>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</si>
  <si>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</si>
  <si>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</si>
  <si>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Jewelry Arts.</t>
  </si>
  <si>
    <t>A program that prepares individuals creatively and technically to express emotions, ideas, or inner visions by fashioning jewelry from gems, other stones, and precious metals. Includes instruction in design concepts, electroforming, enameling, gemology, lapidary technique and art, metal and non-metal casting and molding, metal coloring, metalsmithing and finishing, personal style development, photo etching, and stone cutting and polishing.</t>
  </si>
  <si>
    <t>Metal Arts.</t>
  </si>
  <si>
    <t>A program that focuses on the development of individual artistic expression and technical skills necessary for fabricating refined metal works. Includes instruction in aesthetics, anodizing, art history, casting, design, electroforming, enameling, metalsmithing, sculpture, two and three-dimensional design, wax carving, and welding.</t>
  </si>
  <si>
    <t>Fine Arts and Art Studies, Other.</t>
  </si>
  <si>
    <t>Any instructional program in fine arts and art studies not listed above.</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</si>
  <si>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</si>
  <si>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</si>
  <si>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</si>
  <si>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</si>
  <si>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</si>
  <si>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</si>
  <si>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</si>
  <si>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</si>
  <si>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</si>
  <si>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</si>
  <si>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</si>
  <si>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</si>
  <si>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</si>
  <si>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</si>
  <si>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</si>
  <si>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</si>
  <si>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</si>
  <si>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</si>
  <si>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</si>
  <si>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</si>
  <si>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</si>
  <si>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</si>
  <si>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</si>
  <si>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</si>
  <si>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</si>
  <si>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Brass Instruments.</t>
  </si>
  <si>
    <t>A program that prepares individuals to master a brass instrument and performing art as solo, ensemble, and/or accompanist performers. Includes instruction in playing and personal style development.</t>
  </si>
  <si>
    <t>Woodwind Instruments.</t>
  </si>
  <si>
    <t>A program that prepares individuals to master a woodwind instrument and performing art as solo, ensemble, and/or accompanist  performers. Includes instruction in playing and personal style development.</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</si>
  <si>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</si>
  <si>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t>
  </si>
  <si>
    <t>Sound Arts.</t>
  </si>
  <si>
    <t>A program that focuses on sound as a form of cultural expression, and its relationship to other disciplines such as computer programming, performance, and video. Includes instruction in acoustics; arranging, composing, and editing music; music theory; musicology; orchestration and scoring; and sound design.</t>
  </si>
  <si>
    <t>Music, Other.</t>
  </si>
  <si>
    <t>Any instructional program in music not listed above.</t>
  </si>
  <si>
    <t>Arts, Entertainment, and Media Management.</t>
  </si>
  <si>
    <t>Instructional content for this group of programs is defined in codes 50.1001 - 50.1099.</t>
  </si>
  <si>
    <t>Arts, Entertainment, 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</si>
  <si>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</si>
  <si>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</si>
  <si>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</si>
  <si>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</si>
  <si>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</si>
  <si>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Theatre/Theatre Arts Management.</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</si>
  <si>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</si>
  <si>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</si>
  <si>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</si>
  <si>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Community/Environmental/Socially-Engaged Art.</t>
  </si>
  <si>
    <t>Instructional content is defined in code 50.1101.</t>
  </si>
  <si>
    <t>A program that focuses on using the arts to promote activism, civic dialog, community development, ecological and environmental awareness, or social justice. Includes instruction in community organizing, cultural criticism, social practice, studio art, and visual and performing arts.</t>
  </si>
  <si>
    <t>Visual and Performing Arts, Other.</t>
  </si>
  <si>
    <t>Instructional content is defined in code 50.9999.</t>
  </si>
  <si>
    <t>Any instructional program in visual and performing arts not listed above.</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</si>
  <si>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</si>
  <si>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</si>
  <si>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</si>
  <si>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</si>
  <si>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</si>
  <si>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</si>
  <si>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</si>
  <si>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</si>
  <si>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</si>
  <si>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</si>
  <si>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</si>
  <si>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</si>
  <si>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</si>
  <si>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</si>
  <si>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</si>
  <si>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</si>
  <si>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</si>
  <si>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</si>
  <si>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</si>
  <si>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</si>
  <si>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Communication Disorders Sciences and Services, Other.</t>
  </si>
  <si>
    <t>Any  instructional program in communications disorders sciences and services not listed above.</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</si>
  <si>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</si>
  <si>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</si>
  <si>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</si>
  <si>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</si>
  <si>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</si>
  <si>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</si>
  <si>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</si>
  <si>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</si>
  <si>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</si>
  <si>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</si>
  <si>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</si>
  <si>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</si>
  <si>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</si>
  <si>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</si>
  <si>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</si>
  <si>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</si>
  <si>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</si>
  <si>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</si>
  <si>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</si>
  <si>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</si>
  <si>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</si>
  <si>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</si>
  <si>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and the treatment of handicapped patients.</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</si>
  <si>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</si>
  <si>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occlusion, nutritional aspects of periodontology, surgical treatments, and patient care and management.</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</si>
  <si>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</si>
  <si>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temporomandibular joint dysfunction.</t>
  </si>
  <si>
    <t>Digital Dentistry.</t>
  </si>
  <si>
    <t>A program that focuses on the use of digital and CAD/CAM technology in dental treatment. Includes instruction in digital diagnostic and treatment planning techniques, CAD/CAM restoration, and patient management.</t>
  </si>
  <si>
    <t>Geriatric Dentistry.</t>
  </si>
  <si>
    <t>A program that focuses on the advanced study of the therapeutic and preventive care of the oral health of geriatric patients. Includes instruction in aging, preventive medicine, diet therapy and counseling, geriatric restorative procedures, pulp therapy, trauma management, anesthesia, treatment planning, and patient management.</t>
  </si>
  <si>
    <t>Implantology/Implant Dentistry.</t>
  </si>
  <si>
    <t>A program that focuses on dental implantology. Includes instruction in diagnosis and treatment planning, surgical protocols, implant placement, sinus grafting, guided bone regeneration, soft tissue grafting, prosthetic protocols, prosthesis design, and aftercare.</t>
  </si>
  <si>
    <t>Advanced/Graduate Dentistry and Oral Sciences, Other.</t>
  </si>
  <si>
    <t>Any instructional program in advanced/graduate dentistry and oral sciences not listed above.</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</si>
  <si>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</si>
  <si>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</si>
  <si>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</si>
  <si>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</si>
  <si>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</si>
  <si>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</si>
  <si>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</si>
  <si>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</si>
  <si>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</si>
  <si>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</si>
  <si>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</si>
  <si>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</si>
  <si>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</si>
  <si>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</si>
  <si>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</si>
  <si>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</si>
  <si>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</si>
  <si>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</si>
  <si>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</si>
  <si>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</si>
  <si>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</si>
  <si>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</si>
  <si>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</si>
  <si>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</si>
  <si>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</si>
  <si>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</si>
  <si>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</si>
  <si>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</si>
  <si>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</si>
  <si>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</si>
  <si>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</si>
  <si>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</si>
  <si>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</si>
  <si>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</si>
  <si>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</si>
  <si>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</si>
  <si>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</si>
  <si>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</si>
  <si>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</si>
  <si>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</si>
  <si>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</si>
  <si>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</si>
  <si>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</si>
  <si>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</si>
  <si>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</si>
  <si>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</si>
  <si>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</si>
  <si>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</si>
  <si>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</si>
  <si>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</si>
  <si>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Regulatory Science/Affairs.</t>
  </si>
  <si>
    <t>A program that prepares individuals to manage the regulatory process for companies innovating and developing cutting edge products in science, biotechnology, pharmaceuticals, and medicine. Includes instruction in regulatory affairs, clinical documentation, human and animal subject protection, Food and Drug Administration (FDA) regulations, data management and analysis, good manufacturing practices, and quality management.</t>
  </si>
  <si>
    <t>Disease Registry Data Management.</t>
  </si>
  <si>
    <t>A program that prepares individuals to find, interpret, and record demographic and medical information on individuals for healthcare agencies and disease registries. Includes instruction in anatomy, data management, disease registry organization and operations, epidemiology, ethics, fundamentals of disease coding and staging, medical terminology, pathophysiology, pharmacology, physiology, quality management, and statistics.</t>
  </si>
  <si>
    <t>Healthcare Innovation.</t>
  </si>
  <si>
    <t>A program that prepares individuals to innovate solutions and lead change within a healthcare organization. Includes instruction in innovation management, medical device development, evidence-based practice, systems thinking, information technology, healthcare policy and finance, organizational change, and leadership.</t>
  </si>
  <si>
    <t>Healthcare Information Privacy Assurance and Security.</t>
  </si>
  <si>
    <t>A program that prepares individuals for careers in designing, implementing, and administering comprehensive privacy and security protection programs in all types of healthcare organizations. Includes instruction in health information ethics, healthcare information privacy and security, healthcare compliance, healthcare information security and disaster recovery, and healthcare privacy law.</t>
  </si>
  <si>
    <t>Health and Medical Administrative Services, Other.</t>
  </si>
  <si>
    <t>Any instructional program in health and medical administrative services not listed above.</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</si>
  <si>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</si>
  <si>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</si>
  <si>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</si>
  <si>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</si>
  <si>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</si>
  <si>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</si>
  <si>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</si>
  <si>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</si>
  <si>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</si>
  <si>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</si>
  <si>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</si>
  <si>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behavioral sciences, biomechanics, clinical documentation, clinical pathology, communication, exercise physiology, kinesiology, neuroscience, and professional standards and ethics.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</si>
  <si>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</si>
  <si>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</si>
  <si>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</si>
  <si>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</si>
  <si>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</si>
  <si>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</si>
  <si>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</si>
  <si>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</si>
  <si>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Technician/Assistant.</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</si>
  <si>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</si>
  <si>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</si>
  <si>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</si>
  <si>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</si>
  <si>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</si>
  <si>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</si>
  <si>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</si>
  <si>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Allied Health and Medical Assisting Services, Other.</t>
  </si>
  <si>
    <t>Any instructional program in allied health and medical assisting services not listed above.</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</si>
  <si>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</si>
  <si>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</si>
  <si>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</si>
  <si>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</si>
  <si>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</si>
  <si>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</si>
  <si>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</si>
  <si>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</si>
  <si>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</si>
  <si>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</si>
  <si>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</si>
  <si>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</si>
  <si>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</si>
  <si>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</si>
  <si>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</si>
  <si>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</si>
  <si>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</si>
  <si>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</si>
  <si>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</si>
  <si>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</si>
  <si>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</si>
  <si>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</si>
  <si>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</si>
  <si>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</si>
  <si>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</si>
  <si>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</si>
  <si>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</si>
  <si>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</si>
  <si>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</si>
  <si>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</si>
  <si>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</si>
  <si>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</si>
  <si>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</si>
  <si>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</si>
  <si>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</si>
  <si>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</si>
  <si>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</si>
  <si>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</si>
  <si>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Mammography Technology/Technician.</t>
  </si>
  <si>
    <t>A program that prepares registered radiographers to become registered mammographers. Includes instruction in anatomy and physiology, mammography instrumentation, mammography positioning, principles and procedures of mammography, and quality assurance.</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</si>
  <si>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</si>
  <si>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</si>
  <si>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Hyperbaric Medicine Technology/Technician.</t>
  </si>
  <si>
    <t>A program that prepares individuals, under the supervision of physicians, to operate hyperbaric (recompression) chambers for the treatment of disease. Includes instruction in patient assessment and management, hyperbaric safety, physics of hyperbaric and hypobaric exposures, physiology, hyperbaric chamber operation, and air decompression procedures.</t>
  </si>
  <si>
    <t>Intraoperative Neuromonitoring Technology/Technician.</t>
  </si>
  <si>
    <t>A program that prepares individuals, under the supervision of physicians, to become neuromonitoring technicians who analyze, monitor, and record nervous system function to promote the effective treatment of pathological conditions. Includes instruction in EEG technology, EMG technology, anatomy, and neuroanatomy.</t>
  </si>
  <si>
    <t>Orthopedic Technology/Technician.</t>
  </si>
  <si>
    <t>A program that prepares individuals, under the supervision of physicians, to cast, splint, and brace orthopedic injuries. Includes instruction in patient assessment; casting, splinting, and orthopedic appliances; radiographic interpretation; traction; and wound care.</t>
  </si>
  <si>
    <t>Allied Health Diagnostic, Intervention, and Treatment Professions, Other.</t>
  </si>
  <si>
    <t>Any instructional program in allied health diagnostic, intervention, and treatment professions not listed above.</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</si>
  <si>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</si>
  <si>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</si>
  <si>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</si>
  <si>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</si>
  <si>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</si>
  <si>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</si>
  <si>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</si>
  <si>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</si>
  <si>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</si>
  <si>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</si>
  <si>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</si>
  <si>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</si>
  <si>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</si>
  <si>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</si>
  <si>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</si>
  <si>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</si>
  <si>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</si>
  <si>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</si>
  <si>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</si>
  <si>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</si>
  <si>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</si>
  <si>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</si>
  <si>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</si>
  <si>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</si>
  <si>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</si>
  <si>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</si>
  <si>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Clinical/Medical Laboratory Science and Allied Professions, Other.</t>
  </si>
  <si>
    <t>Any instructional program in clinical/medical laboratory science and allied professions not listed above.</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</si>
  <si>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</si>
  <si>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</si>
  <si>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</si>
  <si>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</si>
  <si>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</si>
  <si>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</si>
  <si>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</si>
  <si>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</si>
  <si>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</si>
  <si>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</si>
  <si>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</si>
  <si>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</si>
  <si>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</si>
  <si>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</si>
  <si>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</si>
  <si>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</si>
  <si>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</si>
  <si>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</si>
  <si>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Pre-Art Therapy.</t>
  </si>
  <si>
    <t>A program that prepares individuals for admission to a professional art therapy program.</t>
  </si>
  <si>
    <t>Pre-Physician Assistant.</t>
  </si>
  <si>
    <t>A program that prepares individuals for admission to a professional physician assistant program.</t>
  </si>
  <si>
    <t>Health/Medical Preparatory Programs, Other.</t>
  </si>
  <si>
    <t>Any instructional program in health and medical professional preparation not listed above.</t>
  </si>
  <si>
    <t>Medicine.</t>
  </si>
  <si>
    <t>Instructional content for this group of programs is defined in codes 51.1201 - 51.1299.</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</si>
  <si>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</si>
  <si>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Osteopathic Medicine/Osteopathy.</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</si>
  <si>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</si>
  <si>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Podiatric Medicine/Podiatry.</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</si>
  <si>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</si>
  <si>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Medicine, Other.</t>
  </si>
  <si>
    <t>Any program in medicine not listed above.</t>
  </si>
  <si>
    <t>Medical Clinical Sciences/Graduate Medical Studies.</t>
  </si>
  <si>
    <t>Instructional content for this group of programs is defined in codes 51.1401 - 51.1499.</t>
  </si>
  <si>
    <t>Medical Science/Scientist.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</si>
  <si>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</si>
  <si>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Clinical and Translational Science.</t>
  </si>
  <si>
    <t>A program of study that prepares clinicians to direct a broad range of scientific or clinical or translational studies, translate scientific knowledge into clinical practice, and bridge clinical science with laboratory investigations. Includes instruction in bioinformatics, Information technology, biostatistics, epidemiology, grant writing, management and analysis of clinical data, clinical and translational research law and policy, responsible conduct of research, and scientific writing.</t>
  </si>
  <si>
    <t>Pain Management.</t>
  </si>
  <si>
    <t>A post-residency program of study that prepares physicians in the diagnosis, management, and treatment of acute and chronic pain. Includes instruction in anesthesiology, pain assessment, pain classification and diagnosis, pain neuroscience, palliative and end-of-life care, physical medicine and rehabilitation, psychiatry of pain, pain pharmacology, public policy, and legal issues of pain management.</t>
  </si>
  <si>
    <t>Temporomandibular Disorders and Orofacial Pain.</t>
  </si>
  <si>
    <t>A program that prepares clinicians to evaluate, diagnose, and treat of a wide variety of temporomandibular disorders (TMD) and orofacial pain disorders as well as the treatment of sleep apnea and snoring with intraoral appliances. Includes instruction in head and neck anatomy, physical diagnosis and evaluation, orofacial pain, neurobiology of pain and analgesia, and diagnostic radiography.</t>
  </si>
  <si>
    <t>Tropical Medicine.</t>
  </si>
  <si>
    <t>A program that prepares clinicians to prevent and control vector-borne and tropical infectious diseases. Includes instruction in microbiology, parasitology, mycology, virology, vector biology, vaccinology, laboratory diagnosis, travelers' health, epidemiology, and disease management.</t>
  </si>
  <si>
    <t>Medical Clinical Sciences/Graduate Medical Studies, Other.</t>
  </si>
  <si>
    <t>Any program in medical clinical sciences or graduate medical studies not listed above.</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</si>
  <si>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</si>
  <si>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</si>
  <si>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</si>
  <si>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</si>
  <si>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</si>
  <si>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</si>
  <si>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</si>
  <si>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</si>
  <si>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</si>
  <si>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</si>
  <si>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</si>
  <si>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</si>
  <si>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</si>
  <si>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</si>
  <si>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</si>
  <si>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</si>
  <si>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</si>
  <si>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</si>
  <si>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</si>
  <si>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</si>
  <si>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Infant/Toddler Mental Health Services.</t>
  </si>
  <si>
    <t>A program that prepares individuals to provide mental health services to infants, toddlers, and preschoolers and their families. Includes instruction in developmental psychology, cognitive and biological development, social and emotional development, research methods, and ethics.</t>
  </si>
  <si>
    <t>Medical Family Therapy/Therapist.</t>
  </si>
  <si>
    <t>A program that prepares individuals to work with patients and their families who are experiencing emotional, physical, relational and spiritual difficulties related to acute and chronic illnesses. Includes instruction in cultural context, ethics, family dynamics, family therapy, gender, human development, marriage counseling, psychopathology, research design and methods, sexuality, and systems thinking.</t>
  </si>
  <si>
    <t>Hospice and Palliative Care.</t>
  </si>
  <si>
    <t>A program of study that prepares individuals to work with patients in hospice and palliative care and focuses on the physical, psychological, spiritual, and social needs of patients and families affected by advanced illness. Includes instruction in aging, thanatology, pharmacology, complementary and integrative therapies, pathophysiology, and ethics.</t>
  </si>
  <si>
    <t>Trauma Counseling.</t>
  </si>
  <si>
    <t>A program that focuses on understanding elements of traumatic exposure, trauma-sensitive care, and crisis intervention. Includes instruction in disaster response, grief and loss counseling, crisis intervention and management, trauma counseling, neurobiology of trauma, PTSD and combat-related trauma, relational trauma and treatment of trauma-related disorders.</t>
  </si>
  <si>
    <t>Mental and Social Health Services and Allied Professions, Other.</t>
  </si>
  <si>
    <t>Any instructional program in mental and social health services and allied professions not listed above.</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</si>
  <si>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</si>
  <si>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</si>
  <si>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</si>
  <si>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</si>
  <si>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</si>
  <si>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</si>
  <si>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</si>
  <si>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</si>
  <si>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</si>
  <si>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</si>
  <si>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</si>
  <si>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</si>
  <si>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</si>
  <si>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</si>
  <si>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</si>
  <si>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</si>
  <si>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</si>
  <si>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</si>
  <si>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</si>
  <si>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</si>
  <si>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</si>
  <si>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</si>
  <si>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</si>
  <si>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</si>
  <si>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</si>
  <si>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</si>
  <si>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</si>
  <si>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</si>
  <si>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</si>
  <si>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</si>
  <si>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</si>
  <si>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</si>
  <si>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</si>
  <si>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</si>
  <si>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</si>
  <si>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</si>
  <si>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</si>
  <si>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</si>
  <si>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</si>
  <si>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Pharmacy, Pharmaceutical Sciences, and Administration, Other.</t>
  </si>
  <si>
    <t>Any instructional program in pharmacy, pharmaceutical sciences, and administration not listed above.</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</si>
  <si>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</si>
  <si>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</si>
  <si>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</si>
  <si>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</si>
  <si>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</si>
  <si>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</si>
  <si>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</si>
  <si>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</si>
  <si>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</si>
  <si>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</si>
  <si>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</si>
  <si>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</si>
  <si>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</si>
  <si>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</si>
  <si>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</si>
  <si>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</si>
  <si>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</si>
  <si>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</si>
  <si>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</si>
  <si>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</si>
  <si>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</si>
  <si>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</si>
  <si>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Patient Safety and Healthcare Quality.</t>
  </si>
  <si>
    <t>A program that focuses on the application of transformative mechanisms and evidence-based protocols to reduce preventable patient harm and improve clinical outcomes. Includes instruction in healthcare quality, patient safety, research methods, program evaluation, epidemiology, legal and regulatory compliance, systems thinking, human factors engineering, and risk management.</t>
  </si>
  <si>
    <t>Public Health Genetics.</t>
  </si>
  <si>
    <t>A program that prepares individuals to respond to the complex social, legal, ethical, and public health policy implications generated by genetic research. Includes instruction in biochemical genetics of complex diseases, bioethics, chromosomes and human disease, genetic counseling, genetic epidemiology, gene mapping, human population genetics, and the molecular basis of human inherited disease.</t>
  </si>
  <si>
    <t>Public Health, Other.</t>
  </si>
  <si>
    <t>Any instructional program in public health not listed above.</t>
  </si>
  <si>
    <t>Rehabilitation and Therapeutic Professions.</t>
  </si>
  <si>
    <t>Instructional content for this group of programs is defined in codes 51.2300 - 51.2399.</t>
  </si>
  <si>
    <t>Rehabilitation and Therapeutic Professions, General.</t>
  </si>
  <si>
    <t>A program that prepares individuals to work with people who have learning disabilities, mental illness, and physical disabilities in a clinical, educational, or institutional setting. Includes instruction in abnormal psychology, assistive technology, case management, counseling techniques, cultural diversity, disability assessment and measurement, ethics, psychological and physiological aspects of disability, rehabilitation services, rehabilitation science, and vocational counseling.</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</si>
  <si>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</si>
  <si>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</si>
  <si>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</si>
  <si>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</si>
  <si>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Music Therapy/Therapist.</t>
  </si>
  <si>
    <t>A program that prepares individuals, in association with a rehabilitation team or in private practice, to use music in therapeutic relationships to address the physical, psychological, cognitive, emotional, and social needs of clients.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</si>
  <si>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</si>
  <si>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</si>
  <si>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</si>
  <si>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</si>
  <si>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</si>
  <si>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evaluate, examine, diagnose, and alleviate physical functional impairments and limitations caused by injury or disease through the design and implementation of therapeutic interventions to promote fitness and health. Includes instruction in anatomy, behavioral sciences, biology, biomechanics, biophysical agents, care plan development and documentation, cellular histology, clinical evaluation and measurement, clinical reasoning, communication, exercise physiology, kinesiology, neuroscience, pharmacology, pathology, physiology, professional standards and ethics, rehabilitation psychology, and therapeutic exercise.</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</si>
  <si>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</si>
  <si>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</si>
  <si>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</si>
  <si>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</si>
  <si>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</si>
  <si>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</si>
  <si>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</si>
  <si>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</si>
  <si>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</si>
  <si>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</si>
  <si>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</si>
  <si>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</si>
  <si>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Drama Therapy/Therapist.</t>
  </si>
  <si>
    <t>A program that prepares individuals, in association with a rehabilitation team or in private practice, to use dramatic play, theater, role play, psychodrama, and dramatic ritual in therapeutic relationships to address the physical, psychological, cognitive, emotional, and social needs of clients. Includes instruction in drama theory and performance, human growth and development, biomedical sciences, abnormal psychology, disabling conditions, patient assessment and diagnosis, treatment plan development and implementation, clinical evaluation, record-keeping, and professional standards and ethics.</t>
  </si>
  <si>
    <t>Horticulture Therapy/Therapist.</t>
  </si>
  <si>
    <t>A program that focuses on plant science and horticulture techniques to achieve measurable physical and mental health outcomes for individuals with physical or mental challenges. Includes instruction in abnormal psychology, adult development and aging, botany, facilities design, horticultural therapy, plant pathology, people-plant relationships, and psychology.</t>
  </si>
  <si>
    <t>Play Therapy/Therapist.</t>
  </si>
  <si>
    <t>A program that prepares individuals to be a Registered Play Therapist (RPT) or a School Based-Registered Play Therapist (SB-RPT). Includes instruction in child development, theories of personality, psychotherapy, child and adolescent psychopathology, and ethics.</t>
  </si>
  <si>
    <t>Rehabilitation and Therapeutic Professions, Other.</t>
  </si>
  <si>
    <t>Any instructional program in rehabilitation and therapeutic professions not listed above.</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</si>
  <si>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</si>
  <si>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</si>
  <si>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</si>
  <si>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</si>
  <si>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</si>
  <si>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</si>
  <si>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</si>
  <si>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</si>
  <si>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</si>
  <si>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</si>
  <si>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Physical Therapy Technician/Aide.</t>
  </si>
  <si>
    <t>A program that prepares individuals to assist in rehabilitation services under the supervision of physical therapists, and to perform routine functions in support of physical therapy and rehabilitation. Includes instruction in applied kinesiology, basic function of the human body, communication skills, principles and procedures of physical therapy, physical therapy modalities, and professional ethics.</t>
  </si>
  <si>
    <t>Health Aides/Attendants/Orderlies, Other.</t>
  </si>
  <si>
    <t>Any other instructional program that prepares individuals to provide routine patient care and assistance.</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</si>
  <si>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</si>
  <si>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</si>
  <si>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</si>
  <si>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</si>
  <si>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</si>
  <si>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</si>
  <si>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</si>
  <si>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</si>
  <si>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</si>
  <si>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</si>
  <si>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</si>
  <si>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</si>
  <si>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</si>
  <si>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</si>
  <si>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</si>
  <si>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</si>
  <si>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</si>
  <si>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</si>
  <si>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</si>
  <si>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</si>
  <si>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Health Professions Education, Ethics, and Humanities.</t>
  </si>
  <si>
    <t>Instructional content for this group of programs is defined in codes 51.3201 - 51.3299.</t>
  </si>
  <si>
    <t>Bioethics/Medical Ethics.</t>
  </si>
  <si>
    <t>A program that focuses on the application of ethics, religion, jurisprudence, and the social sciences to the analysis of health care issues, clinical decision 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</si>
  <si>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Health Professions Education.</t>
  </si>
  <si>
    <t>A program that focuses on education and administration leadership skills for clinical educators across health professions and specialties. Includes instruction in academic leadership, assessment, clinical decision making, curriculum development, ethics, primary care education, program evaluation, research methods, and statistics.</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</si>
  <si>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</si>
  <si>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</si>
  <si>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Medical/Health Humanities.</t>
  </si>
  <si>
    <t>A program that explores the ethical, historical, literary, philosophical, and religious dimensions of medicine or health. Includes instruction in art, cultural studies, economics, ethics, history, literature, medical anthropology, philosophy, religion and spiritual thought, science and technology, visual art, and writing.</t>
  </si>
  <si>
    <t>History of Medicine.</t>
  </si>
  <si>
    <t>A program that focuses on the historical evolution and socio-economic context of medical theories, education, practices, and technologies; and on the history of diseases, therapeutics, patients, and healers. Includes instruction in the concepts and methods of the historiography of medicine; the history of science, medicine, and technology; and of research methods in the history of medicine.</t>
  </si>
  <si>
    <t>Arts in Medicine/Health.</t>
  </si>
  <si>
    <t>A program that focuses on the design, implementation, and management of programs that use the visual and performing arts in support of health and wellness among diverse individuals and communities. Includes instruction in dance, literary arts, music, theatre, healthcare systems, program administration, and public health.</t>
  </si>
  <si>
    <t>Health Professions Education, Ethics, and Humanities, Other.</t>
  </si>
  <si>
    <t>Any instructional program in health professions education, ethics, and humanities not listed above.</t>
  </si>
  <si>
    <t>Alternative and Complementary Medicine and Medical Systems.</t>
  </si>
  <si>
    <t>Instructional content for this group of programs is defined in codes 51.3300 - 51.3399.</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</si>
  <si>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</si>
  <si>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</si>
  <si>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</si>
  <si>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</si>
  <si>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</si>
  <si>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</si>
  <si>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</si>
  <si>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</si>
  <si>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</si>
  <si>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</si>
  <si>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</si>
  <si>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</si>
  <si>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Holistic/Integrative Health.</t>
  </si>
  <si>
    <t>A program that focuses on the holistic interconnectedness of physical, psychological, social, spiritual, and environmental well-being and that integrates aspects of alternative, complementary, and conventional medicine to alleviate illness and promote, maintain, and optimize wellness. Includes instruction in anatomy and physiology, alternative diagnostic and healing methods, aromatherapy, biofeedback, energy medicine, environmental psychology, ethics, health coaching, herbal medicine, mind-body medicine, mindfulness, nutrition, somatic bodywork, and stress management.</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</si>
  <si>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</si>
  <si>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</si>
  <si>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</si>
  <si>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</si>
  <si>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</si>
  <si>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</si>
  <si>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</si>
  <si>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</si>
  <si>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</si>
  <si>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</si>
  <si>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</si>
  <si>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</si>
  <si>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</si>
  <si>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</si>
  <si>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</si>
  <si>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</si>
  <si>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</si>
  <si>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</si>
  <si>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</si>
  <si>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</si>
  <si>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</si>
  <si>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</si>
  <si>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</si>
  <si>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</si>
  <si>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</si>
  <si>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</si>
  <si>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</si>
  <si>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</si>
  <si>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</si>
  <si>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</si>
  <si>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</si>
  <si>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</si>
  <si>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</si>
  <si>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</si>
  <si>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</si>
  <si>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</si>
  <si>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</si>
  <si>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</si>
  <si>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</si>
  <si>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</si>
  <si>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</si>
  <si>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</si>
  <si>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</si>
  <si>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</si>
  <si>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</si>
  <si>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</si>
  <si>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Adult Health Nurse/Nursing.</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</si>
  <si>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</si>
  <si>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Nurse Anesthetist.</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</si>
  <si>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</si>
  <si>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</si>
  <si>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</si>
  <si>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Maternal/Child Health and Neonatal Nurse/Nursing.</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</si>
  <si>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</si>
  <si>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Nurse Midwife/Nursing Midwifery.</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</si>
  <si>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</si>
  <si>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</si>
  <si>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</si>
  <si>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Pediatric Nurse/Nursing.</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</si>
  <si>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</si>
  <si>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Psychiatric/Mental Health Nurse/Nursing.</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</si>
  <si>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</si>
  <si>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Public Health/Community Nurse/Nursing.</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</si>
  <si>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</si>
  <si>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Perioperative/Operating Room and Surgical Nurse/Nursing.</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</si>
  <si>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</si>
  <si>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Clinical Nurse Specialist.</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</si>
  <si>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</si>
  <si>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Critical Care Nursing.</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</si>
  <si>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</si>
  <si>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Occupational and Environmental Health Nursing.</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</si>
  <si>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</si>
  <si>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</si>
  <si>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</si>
  <si>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</si>
  <si>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</si>
  <si>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</si>
  <si>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</si>
  <si>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</si>
  <si>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</si>
  <si>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</si>
  <si>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</si>
  <si>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</si>
  <si>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</si>
  <si>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Forensic Nursing.</t>
  </si>
  <si>
    <t>A program that prepares individuals to apply the law and forensic science to nursing practice and collaborate with other professionals for the care of victims and the prosecution of criminals. Includes instruction in advanced physical assessment, evidence collection and preservation, forensic anthropology, legal testimony, medicolegal investigation, pathophysiology, pathohistology, pharmacology, and violence prevention.</t>
  </si>
  <si>
    <t>Registered Nursing, Nursing Administration, Nursing Research and Clinical Nursing, Other.</t>
  </si>
  <si>
    <t>Any instructional program in registered nursing, nursing administration, nursing research, and clinical nursing not listed above.</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</si>
  <si>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</si>
  <si>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</si>
  <si>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</si>
  <si>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</si>
  <si>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</si>
  <si>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</si>
  <si>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</si>
  <si>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</si>
  <si>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Health Professions and Related Clinical Sciences, Other.</t>
  </si>
  <si>
    <t>Instructional content for this group of programs is defined in codes 51.9980 - 51.9999.</t>
  </si>
  <si>
    <t>Any instructional program in the health professions and related clinical sciences not listed above.</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</si>
  <si>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</si>
  <si>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</si>
  <si>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</si>
  <si>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</si>
  <si>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</si>
  <si>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</si>
  <si>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</si>
  <si>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</si>
  <si>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</si>
  <si>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</si>
  <si>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</si>
  <si>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</si>
  <si>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</si>
  <si>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</si>
  <si>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</si>
  <si>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</si>
  <si>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</si>
  <si>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</si>
  <si>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</si>
  <si>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</si>
  <si>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</si>
  <si>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</si>
  <si>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</si>
  <si>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</si>
  <si>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focuses on the theory, policy, law, and practices required to administrate and operate public transportation facilities, networks, services, and systems. Includes instruction in demand analysis and forecasting, environmental planning, facilities design and construction, geographic information systems (GIS), logistics, multi- and intermodal transportation systems, project management, public administration, public policy, transportation economics, transportation law, transportation operations, transportation systems, and transportation technologies.</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</si>
  <si>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</si>
  <si>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</si>
  <si>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</si>
  <si>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</si>
  <si>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</si>
  <si>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</si>
  <si>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</si>
  <si>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</si>
  <si>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Research Administration.</t>
  </si>
  <si>
    <t>A program designed to prepare formally trained, advanced-level personnel for research administration leadership positions at colleges and universities, government agencies, hospitals, nonprofit agencies, and in industry. Includes instruction in bioethics, biostatistics, ethical, legal and regulatory consideration in clinical investigation, financial analysis, grant writing, managing and monitoring clinical trials, project management, strategic planning, and team building.</t>
  </si>
  <si>
    <t>Risk Management.</t>
  </si>
  <si>
    <t>A program that focuses on the principles of business risk measurement, mitigation, and management. Includes instruction in business analytics, foundations of insurance and risk management, investments, life and health insurance, loss prevention, property and liability insurance risk assessment, risk control, risk financing, and security.</t>
  </si>
  <si>
    <t>Science/Technology Management.</t>
  </si>
  <si>
    <t>A program that prepares individuals to develop science, technical, and business skills required for management of people and systems in technology-based industries, government agencies, and non-profit organizations. Includes instruction in computer applications, general management principles, production and operations management, project management, quality control, safety and health issues, and statistics.</t>
  </si>
  <si>
    <t>Business Administration, Management and Operations, Other.</t>
  </si>
  <si>
    <t>Any instructional program in business and administration not listed above.</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</si>
  <si>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</si>
  <si>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</si>
  <si>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</si>
  <si>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</si>
  <si>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</si>
  <si>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</si>
  <si>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</si>
  <si>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</si>
  <si>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</si>
  <si>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</si>
  <si>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Accounting and Business/Management.</t>
  </si>
  <si>
    <t>An integrated or combined program in accounting and business administration/management that prepares individuals to function as accountants and business managers.</t>
  </si>
  <si>
    <t>Accounting and Related Services, Other.</t>
  </si>
  <si>
    <t>Any instructional program in accounting not listed above.</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</si>
  <si>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</si>
  <si>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</si>
  <si>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</si>
  <si>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</si>
  <si>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</si>
  <si>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</si>
  <si>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</si>
  <si>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</si>
  <si>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</si>
  <si>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</si>
  <si>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</si>
  <si>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</si>
  <si>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</si>
  <si>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</si>
  <si>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</si>
  <si>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</si>
  <si>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</si>
  <si>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</si>
  <si>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</si>
  <si>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</si>
  <si>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Business/Corporate Communications.</t>
  </si>
  <si>
    <t>Instructional content for this group of programs is defined in codes 52.0501 - 52.0599.</t>
  </si>
  <si>
    <t>Business/Corporate Communications, General.</t>
  </si>
  <si>
    <t>A program that prepares individuals to function in an organization as a composer, editor, and proofreader of business or business-related communications.</t>
  </si>
  <si>
    <t>Grantsmanship.</t>
  </si>
  <si>
    <t>A program that prepares individuals to develop and write grant proposals to support an organization or cause. Includes instruction in identifying grant opportunities, developing an effective proposal, budget justifications, and developing a working relationship with the funder.</t>
  </si>
  <si>
    <t>Business/Corporate Communications, Other.</t>
  </si>
  <si>
    <t>Any program in business or corporate communications not included above.</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</si>
  <si>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</si>
  <si>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</si>
  <si>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</si>
  <si>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</si>
  <si>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</si>
  <si>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</si>
  <si>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</si>
  <si>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</si>
  <si>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</si>
  <si>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</si>
  <si>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</si>
  <si>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Social Entrepreneurship.</t>
  </si>
  <si>
    <t>A program that focuses on blending entrepreneurial ideas and management skills for issue advocacy and social change. Includes instruction in philanthropy, business modeling, design, entrepreneurship, finance, investing, resource management, project management, prototype development, and marketing.</t>
  </si>
  <si>
    <t>Entrepreneurial and Small Business Operations, Other.</t>
  </si>
  <si>
    <t>Any instructional program in enterprise management and entrepreneurship not listed above.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</si>
  <si>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</si>
  <si>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</si>
  <si>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</si>
  <si>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</si>
  <si>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</si>
  <si>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</si>
  <si>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</si>
  <si>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</si>
  <si>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</si>
  <si>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</si>
  <si>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</si>
  <si>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</si>
  <si>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</si>
  <si>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</si>
  <si>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</si>
  <si>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</si>
  <si>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Financial Risk Management.</t>
  </si>
  <si>
    <t>A program that focuses on the strategies used to define and manage acceptable financial risk for companies. Includes instruction in banking and bank regulations, derivative securities, interest rate and credit markets, financial engineering of systematic risk, and equity, bond, futures, and options markets.</t>
  </si>
  <si>
    <t>Finance and Financial Management Services, Other.</t>
  </si>
  <si>
    <t>Any instructional program in financial management and services not listed above.</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</si>
  <si>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</si>
  <si>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</si>
  <si>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</si>
  <si>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</si>
  <si>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</si>
  <si>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</si>
  <si>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</si>
  <si>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</si>
  <si>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</si>
  <si>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</si>
  <si>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</si>
  <si>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</si>
  <si>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</si>
  <si>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t>
  </si>
  <si>
    <t>Casino Management.</t>
  </si>
  <si>
    <t>A program that prepares individuals to manage casinos and gaming establishments. Includes instruction in business and financial management; casino operations; casino security and surveillance; hospitality, facilities, and personnel management; and principles of the gaming industry, ethics, and gaming law.</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</si>
  <si>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</si>
  <si>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</si>
  <si>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Brewery/Brewpub Operations/Management.</t>
  </si>
  <si>
    <t>A program that prepares individuals to plan, manage, and market breweries and brewpubs. Includes instruction in brewing science, food services management, logistics and distribution, business networking, personnel management, business planning and capitalization, brewing industry operations, marketing, alcohol and liquor law and regulations, finance, and ethics.</t>
  </si>
  <si>
    <t>Hospitality Administration/Management, Other.</t>
  </si>
  <si>
    <t>Any instructional program in hospitality service management not listed above.</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</si>
  <si>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</si>
  <si>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</si>
  <si>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</si>
  <si>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</si>
  <si>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</si>
  <si>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</si>
  <si>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</si>
  <si>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</si>
  <si>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</si>
  <si>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</si>
  <si>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</si>
  <si>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</si>
  <si>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Executive/Career Coaching.</t>
  </si>
  <si>
    <t>A program of study that focuses on assisting individuals achieve career goals or assisting business leaders achieve organizational change. Includes instruction in executive coaching, group dynamics, leadership, management, organizational behavior, organizational communication, and team building.</t>
  </si>
  <si>
    <t>Human Resources Management and Services, Other.</t>
  </si>
  <si>
    <t>Any instructional program in human resources management not listed above.</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</si>
  <si>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</si>
  <si>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</si>
  <si>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</si>
  <si>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</si>
  <si>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</si>
  <si>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</si>
  <si>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</si>
  <si>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</si>
  <si>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</si>
  <si>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</si>
  <si>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</si>
  <si>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</si>
  <si>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</si>
  <si>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</si>
  <si>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</si>
  <si>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</si>
  <si>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</si>
  <si>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</si>
  <si>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</si>
  <si>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</si>
  <si>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</si>
  <si>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</si>
  <si>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</si>
  <si>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</si>
  <si>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</si>
  <si>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</si>
  <si>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</si>
  <si>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</si>
  <si>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</si>
  <si>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</si>
  <si>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</si>
  <si>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</si>
  <si>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Digital Marketing.</t>
  </si>
  <si>
    <t>A program that prepares individuals to develop a digital marketing plan and integrate marketing, advertising, sales, and logistics across physical and digital channels. Includes instruction in digital marketing, e-commerce, online consumer psychology, search engine optimization, social media marketing, and web analytics.</t>
  </si>
  <si>
    <t>Marketing, Other.</t>
  </si>
  <si>
    <t>Any instructional program in general marketing and marketing research not listed above.</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</si>
  <si>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</si>
  <si>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</si>
  <si>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</si>
  <si>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</si>
  <si>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</si>
  <si>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</si>
  <si>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</si>
  <si>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</si>
  <si>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</si>
  <si>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</si>
  <si>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</si>
  <si>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</si>
  <si>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</si>
  <si>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</si>
  <si>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</si>
  <si>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</si>
  <si>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</si>
  <si>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</si>
  <si>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</si>
  <si>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</si>
  <si>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</si>
  <si>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</si>
  <si>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</si>
  <si>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</si>
  <si>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</si>
  <si>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</si>
  <si>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</si>
  <si>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</si>
  <si>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</si>
  <si>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</si>
  <si>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</si>
  <si>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</si>
  <si>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</si>
  <si>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</si>
  <si>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</si>
  <si>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</si>
  <si>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</si>
  <si>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</si>
  <si>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</si>
  <si>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</si>
  <si>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</si>
  <si>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</si>
  <si>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</si>
  <si>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</si>
  <si>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t>
  </si>
  <si>
    <t>Construction Management.</t>
  </si>
  <si>
    <t>Instructional content for this group of programs is defined in codes 52.2001 - 52.2099.</t>
  </si>
  <si>
    <t>Construction Management, General.</t>
  </si>
  <si>
    <t>A program that prepares individuals to manage, coordinate, and supervise the construction process. Includes instruction in commercial, residential, mechanical, highway/heavy civil, electrical, environmental, industrial, and specialty construction; facilities management; budgeting and cost control; logistics and materials management; organization and scheduling; personnel management and labor relations; site safety; construction contracting; construction processes and techniques; and applicable codes and regulations.</t>
  </si>
  <si>
    <t>Construction Project Management.</t>
  </si>
  <si>
    <t>A program that prepares individuals to apply project management knowledge, skills, tools, and techniques in the construction and facility management industries. Includes instruction in facilities operations and maintenance, construction estimating, OSHA standards, sustainability, drafting, construction plans, project planning, risk management, cost and time management, contracts and procurement, accounting, statistics, decision making, and human resources.</t>
  </si>
  <si>
    <t>Construction Management, Other.</t>
  </si>
  <si>
    <t>Any program in construction management not listed above.</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</si>
  <si>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</si>
  <si>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</si>
  <si>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</si>
  <si>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</si>
  <si>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</si>
  <si>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</si>
  <si>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</si>
  <si>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Instructional programs that define the prescribed requirements for high school/secondary school graduation. These CIP codes are not valid for IPEDS reporting.</t>
  </si>
  <si>
    <t>High School/Secondary Diploma Programs.</t>
  </si>
  <si>
    <t>Instructional content for this group of programs is defined in codes 53.0101 - 53.0199. These CIP codes are not valid for IPEDS reporting.</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</si>
  <si>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</si>
  <si>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 This CIP code is not valid for IPEDS reporting.</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</si>
  <si>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</si>
  <si>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 This CIP code is not valid for IPEDS reporting.</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</si>
  <si>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</si>
  <si>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 This CIP code is not valid for IPEDS reporting.</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</si>
  <si>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</si>
  <si>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 This CIP code is not valid for IPEDS reporting.</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</si>
  <si>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</si>
  <si>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 This CIP code is not valid for IPEDS reporting.</t>
  </si>
  <si>
    <t>High School/Secondary Diploma Programs, Other.</t>
  </si>
  <si>
    <t>Any high school/secondary diploma program not listed above, such as diplomas awarded to special education students for completion of an individualized education plan (IEP). This CIP code is not valid for IPEDS reporting.</t>
  </si>
  <si>
    <t>High School/Secondary Certificate Programs.</t>
  </si>
  <si>
    <t>Instructional content for this group of programs is defined in codes 53.0201 - 53.0299. These CIP codes are not valid for IPEDS reporting.</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</si>
  <si>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</si>
  <si>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 This CIP code is not valid for IPEDS reporting.</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</si>
  <si>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</si>
  <si>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 This CIP code is not valid for IPEDS reporting.</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</si>
  <si>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</si>
  <si>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 This CIP code is not valid for IPEDS reporting.</t>
  </si>
  <si>
    <t>High School/Secondary Certificates, Other.</t>
  </si>
  <si>
    <t>Any certificate program at the high school/secondary instructional level not listed above. This CIP code is not valid for IPEDS reporting.</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</si>
  <si>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</si>
  <si>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</si>
  <si>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</si>
  <si>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</si>
  <si>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</si>
  <si>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</si>
  <si>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</si>
  <si>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</si>
  <si>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</si>
  <si>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</si>
  <si>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</si>
  <si>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</si>
  <si>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</si>
  <si>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</si>
  <si>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</si>
  <si>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</si>
  <si>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</si>
  <si>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</si>
  <si>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</si>
  <si>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</si>
  <si>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History, Other.</t>
  </si>
  <si>
    <t>Any instructional program in history not listed above.</t>
  </si>
  <si>
    <t>Instructional content is defined in code 55.0101.</t>
  </si>
  <si>
    <t>Instructional content for this group of programs is defined in codes 55.1301 - 55.1399.</t>
  </si>
  <si>
    <t>Instructional content for this group of programs is defined in codes 55.1401 - 55.1499.</t>
  </si>
  <si>
    <t>Instructional content is defined in code 55.9999.</t>
  </si>
  <si>
    <t>HEALTH PROFESSIONS RESIDENCY/FELLOWSHIP PROGRAMS.</t>
  </si>
  <si>
    <t>Programs that prepare dentists (DDS, DMD), nurse practitioners, pharmacists (PharmD), physician assistants, and veterinarians (DVM) for certification as practitioners of recognized specialties in their respective professions. These programs are approved and accredited by designated professional associations. Residency or fellowship programs that also result in the completion of an academic degree (e.g., MS, PhD), should be reported under the appropriate CIP code, rather than in a residency code located in Series 60. These CIP codes are not valid for IPEDS reporting.</t>
  </si>
  <si>
    <t>Dental Residency/Fellowship Programs.</t>
  </si>
  <si>
    <t>Instructional content for this group of programs is defined in codes 60.0101 - 60.0199. These CIP codes are not valid for IPEDS reporting.</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</si>
  <si>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</si>
  <si>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 This CIP code is not valid for IPEDS reporting.</t>
  </si>
  <si>
    <t>Dental Public Health Residency Program.</t>
  </si>
  <si>
    <t>A residency-training program that prepares dentists in the formulation and delivery of public preventive and curative dental health services. This CIP code is not valid for IPEDS reporting.</t>
  </si>
  <si>
    <t>Endodontics Residency Program.</t>
  </si>
  <si>
    <t>A residency training program that prepares dentists in the etiology, diagnosis, prevention, and treatment of conditions that affect the dental and other periodontal tissues, including pulp canal therapy and root canal therapy. This CIP code is not valid for IPEDS reporting.</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</si>
  <si>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</si>
  <si>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 This CIP code is not valid for IPEDS reporting.</t>
  </si>
  <si>
    <t>Orthodontics Residency Program.</t>
  </si>
  <si>
    <t>A residency training program that prepares dentists in the principles and techniques involved in the prevention and correction of dental malocclusions and oral cavity anomalies. This CIP code is not valid for IPEDS reporting.</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</si>
  <si>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</si>
  <si>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 This CIP code is not valid for IPEDS reporting.</t>
  </si>
  <si>
    <t>Periodontology Residency Program.</t>
  </si>
  <si>
    <t>A residency training program that prepares dentists in the prevention, diagnosis, and treatment of diseases affecting the gums and supporting structures of the teeth, and in the placement and maintenance of dental implants. This CIP code is not valid for IPEDS reporting.</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</si>
  <si>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</si>
  <si>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 This CIP code is not valid for IPEDS reporting.</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</si>
  <si>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</si>
  <si>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 This CIP code is not valid for IPEDS reporting.</t>
  </si>
  <si>
    <t>Implantology Fellowship Program.</t>
  </si>
  <si>
    <t>A fellowship training program that prepares dentists in the surgical and restorative aspects of implant dentistry. This CIP code is not valid for IPEDS reporting.</t>
  </si>
  <si>
    <t>Dental Residency/Fellowship Program, Other.</t>
  </si>
  <si>
    <t>Any dental residency or fellowship specialty program not listed above. This CIP code is not valid for IPEDS reporting.</t>
  </si>
  <si>
    <t>Veterinary Residency/Fellowship Programs.</t>
  </si>
  <si>
    <t>Instructional content for this group of programs is defined in codes 60.0301 - 60.0399. These CIP codes are not valid for IPEDS reporting.</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</si>
  <si>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</si>
  <si>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</si>
  <si>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</si>
  <si>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 This CIP code is not valid for IPEDS reporting.</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</si>
  <si>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</si>
  <si>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 This CIP code is not valid for IPEDS reporting.</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</si>
  <si>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</si>
  <si>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 This CIP code is not valid for IPEDS reporting.</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</si>
  <si>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</si>
  <si>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 This CIP code is not valid for IPEDS reporting.</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</si>
  <si>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</si>
  <si>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 This CIP code is not valid for IPEDS reporting.</t>
  </si>
  <si>
    <t>Veterinary Microbiology Residency Program.</t>
  </si>
  <si>
    <t>A residency training program that prepares veterinarians in clinical applications of research on harmful microorganisms, including viruses, and of the disease processes they induce in animals. This CIP code is not valid for IPEDS reporting.</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</si>
  <si>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</si>
  <si>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 This CIP code is not valid for IPEDS reporting.</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</si>
  <si>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</si>
  <si>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 This CIP code is not valid for IPEDS reporting.</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</si>
  <si>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</si>
  <si>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 This CIP code is not valid for IPEDS reporting.</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</si>
  <si>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</si>
  <si>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 This CIP code is not valid for IPEDS reporting.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</si>
  <si>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</si>
  <si>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 This CIP code is not valid for IPEDS reporting.</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</si>
  <si>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</si>
  <si>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 This CIP code is not valid for IPEDS reporting.</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</si>
  <si>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</si>
  <si>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 This CIP code is not valid for IPEDS reporting.</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</si>
  <si>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</si>
  <si>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 This CIP code is not valid for IPEDS reporting.</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</si>
  <si>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</si>
  <si>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 This CIP code is not valid for IPEDS reporting.</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</si>
  <si>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</si>
  <si>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 This CIP code is not valid for IPEDS reporting.</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</si>
  <si>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</si>
  <si>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 This CIP code is not valid for IPEDS reporting.</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</si>
  <si>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</si>
  <si>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 This CIP code is not valid for IPEDS reporting.</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</si>
  <si>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</si>
  <si>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 This CIP code is not valid for IPEDS reporting.</t>
  </si>
  <si>
    <t>Veterinary Residency/Fellowship Program, Other.</t>
  </si>
  <si>
    <t>Any residency or fellowship training program in veterinary medicine not listed above. This CIP code is not valid for IPEDS reporting.</t>
  </si>
  <si>
    <t>Nurse Practitioner Residency/Fellowship Programs.</t>
  </si>
  <si>
    <t>Instructional content for this group of programs is defined in codes 60.0701 - 60.0799. These CIP codes are not valid for IPEDS reporting.</t>
  </si>
  <si>
    <t>Nurse Practitioner Residency/Fellowship Program, General.</t>
  </si>
  <si>
    <t>A residency or fellowship program for licensed nurse practitioners that provides advanced didactic and clinical training in nursing. This CIP Code is not valid for IPEDS reporting.</t>
  </si>
  <si>
    <t>Combined Nurse Practitioner Residency/Fellowship Program.</t>
  </si>
  <si>
    <t>A residency or fellowship program for licensed nurse practitioners that provides advanced didactic and clinical training in two or more nursing specialties. This CIP Code is not valid for IPEDS reporting.</t>
  </si>
  <si>
    <t>Acute Care Nurse Practitioner Residency/Fellowship Program.</t>
  </si>
  <si>
    <t>A residency or fellowship program for licensed nurse practitioners that provides advanced didactic and clinical training in acute care medicine. This CIP Code is not valid for IPEDS reporting.</t>
  </si>
  <si>
    <t>Adult/Gerontology Acute Care Nurse Practitioner Residency/Fellowship Program.</t>
  </si>
  <si>
    <t>A residency or fellowship program for licensed nurse practitioners that provides advanced didactic and clinical training in adult/gerontology acute care medicine. This CIP Code is not valid for IPEDS reporting.</t>
  </si>
  <si>
    <t>Adult/Gerontology Critical Care Nurse Practitioner Residency/Fellowship Program.</t>
  </si>
  <si>
    <t>A residency or fellowship program for licensed nurse practitioners that provides advanced didactic and clinical training in adult/gerontology critical care medicine. This CIP Code is not valid for IPEDS reporting.</t>
  </si>
  <si>
    <t>Cardiology/Cardiovascular Nurse Practitioner Residency/Fellowship Program.</t>
  </si>
  <si>
    <t>A residency or fellowship program for licensed nurse practitioners that provides advanced didactic and clinical training in cardiology and cardiovascular medicine. This CIP Code is not valid for IPEDS reporting.</t>
  </si>
  <si>
    <t>Clinical Informatics Nurse Practitioner Residency/Fellowship Program.</t>
  </si>
  <si>
    <t>A residency or fellowship program for licensed nurse practitioners that provides advanced didactic and clinical training in clinical informatics. This CIP Code is not valid for IPEDS reporting.</t>
  </si>
  <si>
    <t>Dermatology Nurse Practitioner Residency/Fellowship Program.</t>
  </si>
  <si>
    <t>A residency or fellowship program for licensed nurse practitioners that provides advanced didactic and clinical training in dermatology. This CIP Code is not valid for IPEDS reporting.</t>
  </si>
  <si>
    <t>Developmental and Behavioral Pediatrics Nurse Practitioner Residency/Fellowship Program.</t>
  </si>
  <si>
    <t>A residency or fellowship program for licensed nurse practitioners that provides advanced didactic and clinical training in developmental and behavioral pediatrics. This CIP Code is not valid for IPEDS reporting.</t>
  </si>
  <si>
    <t>Diabetes Nurse Practitioner Residency/Fellowship Program.</t>
  </si>
  <si>
    <t>A residency or fellowship program for licensed nurse practitioners that provides advanced didactic and clinical training in diabetology and metabolic disorders. This CIP Code is not valid for IPEDS reporting.</t>
  </si>
  <si>
    <t>Emergency Medicine Nurse Practitioner Residency/Fellowship Program.</t>
  </si>
  <si>
    <t>A residency or fellowship program for licensed nurse practitioners that provides advanced didactic and clinical training in emergency medicine. This CIP Code is not valid for IPEDS reporting.</t>
  </si>
  <si>
    <t>Endocrinology Nurse Practitioner Residency/Fellowship Program.</t>
  </si>
  <si>
    <t>A residency or fellowship program for licensed nurse practitioners that provides advanced didactic and clinical training in endocrinology. This CIP Code is not valid for IPEDS reporting.</t>
  </si>
  <si>
    <t>Family Medicine Nurse Practitioner Residency/Fellowship Program.</t>
  </si>
  <si>
    <t>A residency or fellowship program for licensed nurse practitioners that provides advanced didactic and clinical training in family medicine. This CIP Code is not valid for IPEDS reporting.</t>
  </si>
  <si>
    <t>Gastroenterology and Hepatology Nurse Practitioner Residency/Fellowship Program.</t>
  </si>
  <si>
    <t>A residency or fellowship program for licensed nurse practitioners that provides advanced didactic and clinical training in gastroenterology and hepatology. This CIP Code is not valid for IPEDS reporting.</t>
  </si>
  <si>
    <t>Gastroenterology Nurse Practitioner Residency/Fellowship Program.</t>
  </si>
  <si>
    <t>A residency or fellowship program for licensed nurse practitioners that provides advanced didactic and clinical training in gastroenterology. This CIP Code is not valid for IPEDS reporting.</t>
  </si>
  <si>
    <t>Genetics Nurse Practitioner Residency/Fellowship Program.</t>
  </si>
  <si>
    <t>A residency or fellowship program for licensed nurse practitioners that provides advanced didactic and clinical training in genetic counseling and disorders. This CIP Code is not valid for IPEDS reporting.</t>
  </si>
  <si>
    <t>Gerontology Nurse Practitioner Residency/Fellowship Program.</t>
  </si>
  <si>
    <t>A residency or fellowship program for licensed nurse practitioners that provides advanced didactic and clinical training in gerontology. This CIP Code is not valid for IPEDS reporting.</t>
  </si>
  <si>
    <t>Global Health Nurse Practitioner Residency/Fellowship Program.</t>
  </si>
  <si>
    <t>A residency or fellowship program for licensed nurse practitioners that provides advanced didactic and clinical training in global health. This CIP Code is not valid for IPEDS reporting.</t>
  </si>
  <si>
    <t>Hematology-Oncology Nurse Practitioner Residency/Fellowship Program.</t>
  </si>
  <si>
    <t>A residency or fellowship program for licensed nurse practitioners that provides advanced didactic and clinical training in hematology and oncology. This CIP Code is not valid for IPEDS reporting.</t>
  </si>
  <si>
    <t>Hepatology Nurse Practitioner Residency/Fellowship Program.</t>
  </si>
  <si>
    <t>A residency or fellowship program for licensed nurse practitioners that provides advanced didactic and clinical training in hepatology. This CIP Code is not valid for IPEDS reporting.</t>
  </si>
  <si>
    <t>Home-Based Primary Care Nurse Practitioner Residency/Fellowship Program.</t>
  </si>
  <si>
    <t>A residency or fellowship program for licensed nurse practitioners that provides advanced didactic and clinical training in home-based primary care. This CIP Code is not valid for IPEDS reporting.</t>
  </si>
  <si>
    <t>Hospice and Palliative Medicine Nurse Practitioner Residency/Fellowship Program.</t>
  </si>
  <si>
    <t>A residency or fellowship program for licensed nurse practitioners that provides advanced didactic and clinical training in hospice and palliative medicine. This CIP Code is not valid for IPEDS reporting.</t>
  </si>
  <si>
    <t>Hospital Medicine Nurse Practitioner Residency/Fellowship Program.</t>
  </si>
  <si>
    <t>A residency or fellowship program for licensed nurse practitioners that provides advanced didactic and clinical training in hospital medicine. This CIP Code is not valid for IPEDS reporting.</t>
  </si>
  <si>
    <t>Infectious Diseases Nurse Practitioner Residency/Fellowship Program.</t>
  </si>
  <si>
    <t>A residency or fellowship program for licensed nurse practitioners that provides advanced didactic and clinical training in infectious diseases. This CIP Code is not valid for IPEDS reporting.</t>
  </si>
  <si>
    <t>Neonatal Nurse Practitioner Residency/Fellowship Program.</t>
  </si>
  <si>
    <t>A residency or fellowship program for licensed nurse practitioners that provides advanced didactic and clinical training in neonatology. This CIP Code is not valid for IPEDS reporting.</t>
  </si>
  <si>
    <t>Nephrology Nurse Practitioner Residency/Fellowship Program.</t>
  </si>
  <si>
    <t>A residency or fellowship program for licensed nurse practitioners that provides advanced didactic and clinical training in nephrology. This CIP Code is not valid for IPEDS reporting.</t>
  </si>
  <si>
    <t>Neurology Nurse Practitioner Residency/Fellowship Program.</t>
  </si>
  <si>
    <t>A residency or fellowship program for licensed nurse practitioners that provides advanced didactic and clinical training in neurology. This CIP Code is not valid for IPEDS reporting.</t>
  </si>
  <si>
    <t>Neuroscience Nurse Practitioner Residency/Fellowship Program.</t>
  </si>
  <si>
    <t>A residency or fellowship program for licensed nurse practitioners that provides advanced didactic and clinical training in neuroscience. This CIP Code is not valid for IPEDS reporting.</t>
  </si>
  <si>
    <t>Obstetrics and Gynecology Nurse Practitioner Residency/Fellowship Program.</t>
  </si>
  <si>
    <t>A residency or fellowship program for licensed nurse practitioners that provides advanced didactic and clinical training in obstetrics and gynecology. This CIP Code is not valid for IPEDS reporting.</t>
  </si>
  <si>
    <t>Occupational Health Nurse Practitioner Residency/Fellowship Program.</t>
  </si>
  <si>
    <t>A residency or fellowship program for licensed nurse practitioners that provides advanced didactic and clinical training in occupational health. This CIP Code is not valid for IPEDS reporting.</t>
  </si>
  <si>
    <t>Orthopedic Nurse Practitioner Residency/Fellowship Program.</t>
  </si>
  <si>
    <t>A residency or fellowship program for licensed nurse practitioners that provides advanced didactic and clinical training in orthopedics. This CIP Code is not valid for IPEDS reporting.</t>
  </si>
  <si>
    <t>Orthopedic Surgery Nurse Practitioner Residency/Fellowship Program.</t>
  </si>
  <si>
    <t>A residency or fellowship program for licensed nurse practitioners that provides advanced didactic and clinical training in orthopedic surgery. This CIP Code is not valid for IPEDS reporting.</t>
  </si>
  <si>
    <t>Pain Management Nurse Practitioner Residency/Fellowship Program.</t>
  </si>
  <si>
    <t>A residency or fellowship program for licensed nurse practitioners that provides advanced didactic and clinical training in pain management. This CIP Code is not valid for IPEDS reporting.</t>
  </si>
  <si>
    <t>Palliative Care Nurse Practitioner Residency/Fellowship Program.</t>
  </si>
  <si>
    <t>A residency or fellowship program for licensed nurse practitioners that provides advanced didactic and clinical training in palliative care. This CIP Code is not valid for IPEDS reporting.</t>
  </si>
  <si>
    <t>Pediatric Hematology-Oncology Nurse Practitioner Residency/Fellowship Program.</t>
  </si>
  <si>
    <t>A residency or fellowship program for licensed nurse practitioners that provides advanced didactic and clinical training in pediatric hematology and oncology. This CIP Code is not valid for IPEDS reporting.</t>
  </si>
  <si>
    <t>Pediatric Nurse Practitioner Residency/Fellowship Program.</t>
  </si>
  <si>
    <t>A residency or fellowship program for licensed nurse practitioners that provides advanced didactic and clinical training in pediatrics. This CIP Code is not valid for IPEDS reporting.</t>
  </si>
  <si>
    <t>Pediatric Rehabilitation Nurse Practitioner Residency/Fellowship Program.</t>
  </si>
  <si>
    <t>A residency or fellowship program for licensed nurse practitioners that provides advanced didactic and clinical training in pediatric rehabilitation. This CIP Code is not valid for IPEDS reporting.</t>
  </si>
  <si>
    <t>Psychiatric/Mental Health Nurse Practitioner Residency/Fellowship Program.</t>
  </si>
  <si>
    <t>A residency or fellowship program for licensed nurse practitioners that provides advanced didactic and clinical training in psychiatric and mental health. This CIP Code is not valid for IPEDS reporting.</t>
  </si>
  <si>
    <t>Public/Community Health Nurse Practitioner Residency/Fellowship Program.</t>
  </si>
  <si>
    <t>A residency or fellowship program for licensed nurse practitioners that provides advanced didactic and clinical training in public or community health. This CIP Code is not valid for IPEDS reporting.</t>
  </si>
  <si>
    <t>Pulmonary Nurse Practitioner Residency/Fellowship Program.</t>
  </si>
  <si>
    <t>A residency or fellowship program for licensed nurse practitioners that provides advanced didactic and clinical training in pulmonology. This CIP Code is not valid for IPEDS reporting.</t>
  </si>
  <si>
    <t>Rheumatology Nurse Practitioner Residency/Fellowship Program.</t>
  </si>
  <si>
    <t>A residency or fellowship program for licensed nurse practitioners that provides advanced didactic and clinical training in rheumatology. This CIP Code is not valid for IPEDS reporting.</t>
  </si>
  <si>
    <t>Rural Health Nurse Practitioner Residency/Fellowship Program.</t>
  </si>
  <si>
    <t>A residency or fellowship program for licensed nurse practitioners that provides advanced didactic and clinical training in rural health. This CIP Code is not valid for IPEDS reporting.</t>
  </si>
  <si>
    <t>Sleep Medicine Nurse Practitioner Residency/Fellowship Program.</t>
  </si>
  <si>
    <t>A residency or fellowship program for licensed nurse practitioners that provides advanced didactic and clinical training in sleep medicine. This CIP Code is not valid for IPEDS reporting.</t>
  </si>
  <si>
    <t>Surgical and Critical Care Nurse Practitioner Residency/Fellowship Program.</t>
  </si>
  <si>
    <t>A residency or fellowship program for licensed nurse practitioners that provides advanced didactic and clinical training in surgical and critical care medicine. This CIP Code is not valid for IPEDS reporting.</t>
  </si>
  <si>
    <t>Surgical Wound and Reconstruction Nurse Practitioner Residency/Fellowship Program.</t>
  </si>
  <si>
    <t>A residency or fellowship program for licensed nurse practitioners that provides advanced didactic and clinical training in surgical wound care and reconstruction. This CIP Code is not valid for IPEDS reporting.</t>
  </si>
  <si>
    <t>Transplantation Nurse Practitioner Residency/Fellowship Program.</t>
  </si>
  <si>
    <t>A residency or fellowship program for licensed nurse practitioners that provides advanced didactic and clinical training in transplantology. This CIP Code is not valid for IPEDS reporting.</t>
  </si>
  <si>
    <t>Trauma and Critical Care Nurse Practitioner Residency/Fellowship Program.</t>
  </si>
  <si>
    <t>A residency or fellowship program for licensed nurse practitioners that provides advanced didactic and clinical training in trauma and critical care medicine. This CIP Code is not valid for IPEDS reporting.</t>
  </si>
  <si>
    <t>Urgent Care Nurse Practitioner Residency/Fellowship Program.</t>
  </si>
  <si>
    <t>A residency or fellowship program for licensed nurse practitioners that provides advanced didactic and clinical training in urgent care medicine. This CIP Code is not valid for IPEDS reporting.</t>
  </si>
  <si>
    <t>Urology Nurse Practitioner Residency/Fellowship Program.</t>
  </si>
  <si>
    <t>A residency or fellowship program for licensed nurse practitioners that provides advanced didactic and clinical training in urology. This CIP Code is not valid for IPEDS reporting.</t>
  </si>
  <si>
    <t>Women's Health Nurse Practitioner Residency/Fellowship Program.</t>
  </si>
  <si>
    <t>A residency or fellowship program for licensed nurse practitioners that provides advanced didactic and clinical training in women's health. This CIP Code is not valid for IPEDS reporting.</t>
  </si>
  <si>
    <t>Wound Care Nurse Practitioner Residency/Fellowship Program.</t>
  </si>
  <si>
    <t>A residency or fellowship program for licensed nurse practitioners that provides advanced didactic and clinical training in wound care. This CIP Code is not valid for IPEDS reporting.</t>
  </si>
  <si>
    <t>Nurse Practitioner Residency/Fellowship Program, Other.</t>
  </si>
  <si>
    <t>Any residency or fellowship program for nurse practitioners not listed above. This CIP code is not valid for IPEDS reporting.</t>
  </si>
  <si>
    <t>Pharmacy Residency/Fellowship Programs.</t>
  </si>
  <si>
    <t>Instructional content for this group of programs is defined in codes 60.0801 - 60.0899. These CIP codes are not valid for IPEDS reporting.</t>
  </si>
  <si>
    <t>Pharmacy Residency/Fellowship Program, General.</t>
  </si>
  <si>
    <t>A residency or fellowship program for licensed pharmacists that provides advanced training in pharmacy. This CIP Code is not valid for IPEDS reporting.</t>
  </si>
  <si>
    <t>Combined Pharmacy Residency/Fellowship Program.</t>
  </si>
  <si>
    <t>A residency or fellowship program for licensed pharmacists that provides advanced training in two or more pharmacy specialties. This CIP Code is not valid for IPEDS reporting.</t>
  </si>
  <si>
    <t>Ambulatory Care Pharmacy Residency/Fellowship Program.</t>
  </si>
  <si>
    <t>A residency or fellowship program for licensed pharmacists that provides advanced training in ambulatory care pharmacy. This CIP Code is not valid for IPEDS reporting.</t>
  </si>
  <si>
    <t>Cardiology Pharmacy Residency/Fellowship Program.</t>
  </si>
  <si>
    <t>A residency or fellowship program for licensed pharmacists that provides advanced training in cardiology pharmacy. This CIP Code is not valid for IPEDS reporting.</t>
  </si>
  <si>
    <t>Clinical Pharmacogenomics Pharmacy Residency/Fellowship Program.</t>
  </si>
  <si>
    <t>A residency or fellowship program for licensed pharmacists that provides advanced training in clinical pharmacogenomics. This CIP Code is not valid for IPEDS reporting.</t>
  </si>
  <si>
    <t>Community/Community-Based Pharmacy Residency/Fellowship Program.</t>
  </si>
  <si>
    <t>A residency or fellowship program for licensed pharmacists that provides advanced training in community or community-based pharmacy. This CIP Code is not valid for IPEDS reporting.</t>
  </si>
  <si>
    <t>Corporate Pharmacy Leadership Residency/Fellowship Program.</t>
  </si>
  <si>
    <t>A residency or fellowship program for licensed pharmacists that provides advanced training in corporate pharmacy leadership. This CIP Code is not valid for IPEDS reporting.</t>
  </si>
  <si>
    <t>Critical Care Pharmacy Residency/Fellowship Program.</t>
  </si>
  <si>
    <t>A residency or fellowship program for licensed pharmacists that provides advanced training in critical care pharmacy. This CIP Code is not valid for IPEDS reporting.</t>
  </si>
  <si>
    <t>Drug Information Pharmacy Residency/Fellowship Program</t>
  </si>
  <si>
    <t>A residency or fellowship program for licensed pharmacists that provides advanced training in drug information. This CIP Code is not valid for IPEDS reporting.</t>
  </si>
  <si>
    <t>Emergency Medicine Pharmacy Residency/Fellowship Program.</t>
  </si>
  <si>
    <t>A residency or fellowship program for licensed pharmacists that provides advanced training in emergency medicine pharmacy. This CIP Code is not valid for IPEDS reporting.</t>
  </si>
  <si>
    <t>Family Medicine Pharmacy Residency/Fellowship Program.</t>
  </si>
  <si>
    <t>A residency or fellowship program for licensed pharmacists that provides advanced training in family medicine pharmacy. This CIP Code is not valid for IPEDS reporting.</t>
  </si>
  <si>
    <t>Geriatric Pharmacy Residency/Fellowship Program.</t>
  </si>
  <si>
    <t>A residency or fellowship program for licensed pharmacists that provides advanced training in geriatric pharmacy. This CIP Code is not valid for IPEDS reporting.</t>
  </si>
  <si>
    <t>Health System Medication Management Pharmacy Residency/Fellowship Program.</t>
  </si>
  <si>
    <t>A residency or fellowship program for licensed pharmacists that provides advanced training in health system medication management. This CIP Code is not valid for IPEDS reporting.</t>
  </si>
  <si>
    <t>Health System Pharmacy Administration and Leadership Residency/Fellowship Program.</t>
  </si>
  <si>
    <t>A residency or fellowship program for licensed pharmacists that provides advanced training in health system pharmacy administration and leadership. This CIP Code is not valid for IPEDS reporting.</t>
  </si>
  <si>
    <t>Infectious Diseases Pharmacy Residency/Fellowship Program.</t>
  </si>
  <si>
    <t>A residency or fellowship program for licensed pharmacists that provides advanced training in infectious diseases pharmacy. This CIP Code is not valid for IPEDS reporting.</t>
  </si>
  <si>
    <t>Internal Medicine Pharmacy Residency/Fellowship Program.</t>
  </si>
  <si>
    <t>A residency or fellowship program for licensed pharmacists that provides advanced training in internal medicine pharmacy. This CIP Code is not valid for IPEDS reporting.</t>
  </si>
  <si>
    <t>Investigational Drugs and Research Pharmacy Residency/Fellowship Program.</t>
  </si>
  <si>
    <t>A residency or fellowship program for licensed pharmacists that provides advanced training in investigational drugs and research. This CIP Code is not valid for IPEDS reporting.</t>
  </si>
  <si>
    <t>Managed Care Pharmacy Residency/Fellowship Program.</t>
  </si>
  <si>
    <t>A residency or fellowship program for licensed pharmacists that provides advanced training in managed care pharmacy. This CIP Code is not valid for IPEDS reporting.</t>
  </si>
  <si>
    <t>Medication Systems and Operations Pharmacy Residency/Fellowship Program.</t>
  </si>
  <si>
    <t>A residency or fellowship program for licensed pharmacists that provides advanced training in medication systems and operations. This CIP Code is not valid for IPEDS reporting.</t>
  </si>
  <si>
    <t>Medication-Use Safety Pharmacy Residency/Fellowship Program.</t>
  </si>
  <si>
    <t>A residency or fellowship program for licensed pharmacists that provides advanced training in medication-use safety. This CIP Code is not valid for IPEDS reporting.</t>
  </si>
  <si>
    <t>Neonatal Pharmacy Residency/Fellowship Program.</t>
  </si>
  <si>
    <t>A residency or fellowship program for licensed pharmacists that provides advanced training in neonatal pharmacy. This CIP Code is not valid for IPEDS reporting.</t>
  </si>
  <si>
    <t>Nephrology Pharmacy Residency/Fellowship Program.</t>
  </si>
  <si>
    <t>A residency or fellowship program for licensed pharmacists that provides advanced training in nephrology pharmacy. This CIP Code is not valid for IPEDS reporting.</t>
  </si>
  <si>
    <t>Neurology Pharmacy Residency/Fellowship Program.</t>
  </si>
  <si>
    <t>A residency or fellowship program for licensed pharmacists that provides advanced training in neurology pharmacy. This CIP Code is not valid for IPEDS reporting.</t>
  </si>
  <si>
    <t>Nuclear Pharmacy Residency/Fellowship Program.</t>
  </si>
  <si>
    <t>A residency or fellowship program for licensed pharmacists that provides advanced training in nuclear pharmacy. This CIP Code is not valid for IPEDS reporting.</t>
  </si>
  <si>
    <t>Nutrition Support Pharmacy Residency/Fellowship Program.</t>
  </si>
  <si>
    <t>A residency or fellowship program for licensed pharmacists that provides advanced training in nutrition support. This CIP Code is not valid for IPEDS reporting.</t>
  </si>
  <si>
    <t>Oncology Pharmacy Residency/Fellowship Program.</t>
  </si>
  <si>
    <t>A residency or fellowship program for licensed pharmacists that provides advanced training in oncology pharmacy. This CIP Code is not valid for IPEDS reporting.</t>
  </si>
  <si>
    <t>Palliative Care/Pain Management Pharmacy Residency/Fellowship Program.</t>
  </si>
  <si>
    <t>A residency or fellowship program for licensed pharmacists that provides advanced training in palliative care and pain management. This CIP Code is not valid for IPEDS reporting.</t>
  </si>
  <si>
    <t>Pediatric Pharmacy Residency/Fellowship Program.</t>
  </si>
  <si>
    <t>A residency or fellowship program for licensed pharmacists that provides advanced training in pediatric pharmacy. This CIP Code is not valid for IPEDS reporting.</t>
  </si>
  <si>
    <t>Pharmacotherapy Pharmacy Residency/Fellowship Program.</t>
  </si>
  <si>
    <t>A residency or fellowship program for licensed pharmacists that provides advanced training in pharmacotherapy. This CIP Code is not valid for IPEDS reporting.</t>
  </si>
  <si>
    <t>Pharmacy Informatics Pharmacy Residency/Fellowship Program.</t>
  </si>
  <si>
    <t>A residency or fellowship program for licensed pharmacists that provides advanced training in pharmacy informatics. This CIP Code is not valid for IPEDS reporting.</t>
  </si>
  <si>
    <t>Psychiatric Pharmacy Residency/Fellowship Program.</t>
  </si>
  <si>
    <t>A residency or fellowship program for licensed pharmacists that provides advanced training in psychiatric pharmacy. This CIP Code is not valid for IPEDS reporting.</t>
  </si>
  <si>
    <t>Transplantation Pharmacy Residency/Fellowship Program.</t>
  </si>
  <si>
    <t>A residency or fellowship program for licensed pharmacists that provides advanced training in transplantation pharmacy. This CIP Code is not valid for IPEDS reporting.</t>
  </si>
  <si>
    <t>Pharmacy Residency Programs, Other.</t>
  </si>
  <si>
    <t>Any residency or fellowship program in pharmacy not listed above. This CIP code is not valid for IPEDS reporting.</t>
  </si>
  <si>
    <t>Physician Assistant Residency/Fellowship Programs.</t>
  </si>
  <si>
    <t>Instructional content for this group of programs is defined in codes 60.0901 - 60.0999. These CIP codes are not valid for IPEDS reporting.</t>
  </si>
  <si>
    <t>Physician Assistant Residency/Fellowship Program, General.</t>
  </si>
  <si>
    <t>A residency or fellowship program for licensed physician assistants that provides advanced training in medicine. This CIP Code is not valid for IPEDS reporting.</t>
  </si>
  <si>
    <t>Combined Physician Assistant Residency/Fellowship Program.</t>
  </si>
  <si>
    <t>A residency or fellowship program for licensed physician assistants that provides advanced training in two or more medical or surgical specialties. This CIP Code is not valid for IPEDS reporting.</t>
  </si>
  <si>
    <t>Acute Care Medicine Physician Assistant Residency/Fellowship Program.</t>
  </si>
  <si>
    <t>A residency or fellowship program for licensed physician assistants that provides advanced training in acute care medicine. This CIP Code is not valid for IPEDS reporting.</t>
  </si>
  <si>
    <t>Acute Care Surgery Physician Assistant Residency/Fellowship Program.</t>
  </si>
  <si>
    <t>A residency or fellowship program for licensed physician assistants that provides advanced training in acute care surgery. This CIP Code is not valid for IPEDS reporting.</t>
  </si>
  <si>
    <t>Cardiology Physician Assistant Residency/Fellowship Program.</t>
  </si>
  <si>
    <t>A residency or fellowship program for licensed physician assistants that provides advanced training in cardiology. This CIP Code is not valid for IPEDS reporting.</t>
  </si>
  <si>
    <t>Cardiothoracic Surgery Physician Assistant Residency/Fellowship Program.</t>
  </si>
  <si>
    <t>A residency or fellowship program for licensed physician assistants that provides advanced training in cardiothoracic surgery. This CIP Code is not valid for IPEDS reporting.</t>
  </si>
  <si>
    <t>Critical Care Physician Assistant Residency/Fellowship Program.</t>
  </si>
  <si>
    <t>A residency or fellowship program for licensed physician assistants that provides advanced training in critical care medicine. This CIP Code is not valid for IPEDS reporting.</t>
  </si>
  <si>
    <t>Critical Care and Trauma Surgery Physician Assistant Residency/Fellowship Program.</t>
  </si>
  <si>
    <t>A residency or fellowship program for licensed physician assistants that provides advanced training in critical care and trauma surgery. This CIP Code is not valid for IPEDS reporting.</t>
  </si>
  <si>
    <t>Emergency Medicine Physician Assistant Residency/Fellowship Program.</t>
  </si>
  <si>
    <t>A residency or fellowship program for licensed physician assistants that provides advanced training in emergency medicine. This CIP Code is not valid for IPEDS reporting.</t>
  </si>
  <si>
    <t>ENT Surgery Physician Assistant Residency/Fellowship Program.</t>
  </si>
  <si>
    <t>A residency or fellowship program for licensed physician assistants that provides advanced training in ENT (ears, nose, and throat) surgery. This CIP Code is not valid for IPEDS reporting.</t>
  </si>
  <si>
    <t>Family Medicine Physician Assistant Residency/Fellowship Program.</t>
  </si>
  <si>
    <t>A residency or fellowship program for licensed physician assistants that provides advanced training in family medicine. This CIP Code is not valid for IPEDS reporting.</t>
  </si>
  <si>
    <t>Geriatrics Physician Assistant Residency/Fellowship Program.</t>
  </si>
  <si>
    <t>A residency or fellowship program for licensed physician assistants that provides advanced training in geriatrics. This CIP Code is not valid for IPEDS reporting.</t>
  </si>
  <si>
    <t>Hematology-Oncology Physician Assistant Residency/Fellowship Program.</t>
  </si>
  <si>
    <t>A residency or fellowship program for licensed physician assistants that provides advanced training in hematology and oncology. This CIP Code is not valid for IPEDS reporting.</t>
  </si>
  <si>
    <t>Hepatobiliary Surgery Physician Assistant Residency/Fellowship Program.</t>
  </si>
  <si>
    <t>A residency or fellowship program for licensed physician assistants that provides advanced training in hepatobiliary surgery. This CIP Code is not valid for IPEDS reporting.</t>
  </si>
  <si>
    <t>Hospitalist Physician Assistant Residency/Fellowship Program.</t>
  </si>
  <si>
    <t>A residency or fellowship program for licensed physician assistants that provides advanced training in hospital medicine. This CIP Code is not valid for IPEDS reporting.</t>
  </si>
  <si>
    <t>Neurosurgery Physician Assistant Residency/Fellowship Program.</t>
  </si>
  <si>
    <t>A residency or fellowship program for licensed physician assistants that provides advanced training in neurosurgery. This CIP Code is not valid for IPEDS reporting.</t>
  </si>
  <si>
    <t>Orthopedic Surgery Physician Assistant Residency/Fellowship Program.</t>
  </si>
  <si>
    <t>A residency or fellowship program for licensed physician assistants that provides advanced training in orthopedic surgery. This CIP Code is not valid for IPEDS reporting.</t>
  </si>
  <si>
    <t>Pediatric Surgery Physician Assistant Residency/Fellowship Program.</t>
  </si>
  <si>
    <t>A residency or fellowship program for licensed physician assistants that provides advanced training in pediatric surgery. This CIP Code is not valid for IPEDS reporting.</t>
  </si>
  <si>
    <t>Transplant Surgery Physician Assistant Residency/Fellowship Program.</t>
  </si>
  <si>
    <t>A residency or fellowship program for licensed physician assistants that provides advanced training in transplant surgery. This CIP Code is not valid for IPEDS reporting.</t>
  </si>
  <si>
    <t>Urology Physician Assistant Residency/Fellowship Program.</t>
  </si>
  <si>
    <t>A residency or fellowship program for licensed physician assistants that provides advanced training in urology. This CIP Code is not valid for IPEDS reporting.</t>
  </si>
  <si>
    <t>Physician Assistant Residency/Fellowship Program, Other.</t>
  </si>
  <si>
    <t>Any residency or fellowship program for physician assistants not listed above. This CIP code is not valid for IPEDS reporting.</t>
  </si>
  <si>
    <t>Health Professions Residency/Fellowship Programs, Other.</t>
  </si>
  <si>
    <t>Instructional content is defined in code 60.9999. These CIP codes are not valid for IPEDS reporting.</t>
  </si>
  <si>
    <t>Any health professions residency or fellowship program not listed above. This CIP code is not valid for IPEDS reporting.</t>
  </si>
  <si>
    <t>MEDICAL RESIDENCY/FELLOWSHIP PROGRAMS.</t>
  </si>
  <si>
    <t>Programs that prepare allopathic physicians (MD), osteopathic physicians (DO), and podiatrists (DPM) for certification as practitioners of recognized medical specialties. These programs are approved and accredited by the Accreditation Council for Graduate Medical Education (ACGME) or the Council on Podiatric Medical Education (CPME) and require from one to seven years to complete, depending on the program. Residency programs that also result in the completion of an academic degree (e.g., MS, PhD), should be reported under one of the clinical sciences codes located in Series 26, 51.05, or 51.14, rather than in a residency code located in Series 61. These CIP Codes are not valid for IPEDS reporting.</t>
  </si>
  <si>
    <t>Combined Medical Residency/Fellowship Programs.</t>
  </si>
  <si>
    <t>Instructional content for this group of programs is defined in codes 61.0101 - 61.0199.</t>
  </si>
  <si>
    <t>Combined Medical Residency/Fellowship Program, General.</t>
  </si>
  <si>
    <t>A combined educational program in two or more closely related medical specialty or subspecialty programs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</si>
  <si>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Diagnostic Radiology/Nuclear Medicine Combined Specialty Program.</t>
  </si>
  <si>
    <t>A combined educational program in diagnostic radiology and nuclear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</si>
  <si>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Emergency Medicine/Anesthesiology Combined Specialty Program.</t>
  </si>
  <si>
    <t>A combined educational program in emergency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</si>
  <si>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Medicine/Emergency Medicine Combined Specialty Program.</t>
  </si>
  <si>
    <t>A combined educational program in family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</si>
  <si>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Medicine/Osteopathic Neuromusculoskeletal Medicine Combined Specialty Program.</t>
  </si>
  <si>
    <t>A combined educational program in family medicine and osteopathic neuromusculoskeletal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</si>
  <si>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Medicine/Preventive Medicine Combined Specialty Program.</t>
  </si>
  <si>
    <t>A combined educational program in family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</si>
  <si>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Medicine/Psychiatry Combined Specialty Program.</t>
  </si>
  <si>
    <t>A combined educational program in family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</si>
  <si>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Medicine/Anesthesiology Combined Specialty Program.</t>
  </si>
  <si>
    <t>A combined educational program in internal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</si>
  <si>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Medicine/Dermatology Combined Specialty Program.</t>
  </si>
  <si>
    <t>A combined educational program in internal medicine and dermatology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</si>
  <si>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 Combined Specialty Program.</t>
  </si>
  <si>
    <t>A combined educational program in internal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</si>
  <si>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Medicine/Critical Care Medicine Combined Specialty Program.</t>
  </si>
  <si>
    <t>A combined educational program in internal medicine, emergency medicine, and critical care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</si>
  <si>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Medicine/Family Medicine Combined Specialty Program.</t>
  </si>
  <si>
    <t>A combined educational program in internal medicine and family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</si>
  <si>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Medicine/Medical Genetics and Genomics Combined Specialty Program.</t>
  </si>
  <si>
    <t>A combined educational program in internal medicine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</si>
  <si>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Medicine/Neurology Combined Specialty Program.</t>
  </si>
  <si>
    <t>A combined educational program in internal medicine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</si>
  <si>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Medicine/Pediatrics Combined Specialty Program.</t>
  </si>
  <si>
    <t>A combined educational program in internal medicine and pediatrics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</si>
  <si>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Medicine/Preventive Medicine Combined Specialty Program.</t>
  </si>
  <si>
    <t>A combined educational program in internal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</si>
  <si>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Medicine/Psychiatry Combined Specialty Program.</t>
  </si>
  <si>
    <t>A combined educational program in internal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</si>
  <si>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Medical Genetics and Genomics/Maternal-Fetal Medicine Combined Specialty Program.</t>
  </si>
  <si>
    <t>A combined educational program in medical genetics and genomics and maternal-fetal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</si>
  <si>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Pediatrics/Anesthesiology Combined Specialty Program.</t>
  </si>
  <si>
    <t>A combined educational program in pediatrics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</si>
  <si>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Pediatrics/Emergency Medicine Combined Specialty Program.</t>
  </si>
  <si>
    <t>A combined educational program in pediatrics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</si>
  <si>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Pediatrics/Medical Genetics and Genomics Combined Specialty Program.</t>
  </si>
  <si>
    <t>A combined educational program in pediatrics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</si>
  <si>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Pediatrics/Physical Medicine &amp; Rehabilitation Combined Specialty Program.</t>
  </si>
  <si>
    <t>A combined educational program in pediatrics and physical medicine and rehabilitation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</si>
  <si>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Pediatrics/Psychology/Child-Adolescent Psychology Combined Specialty Program.</t>
  </si>
  <si>
    <t>A combined educational program in pediatrics, psychology, and child-adolescent psychology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</si>
  <si>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Psychiatry/Neurology Combined Specialty Program.</t>
  </si>
  <si>
    <t>A combined educational program in psychiatry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</si>
  <si>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Reproductive Endocrinology and Infertility/Medical Genetics and Genomics Combined Specialty Program.</t>
  </si>
  <si>
    <t>A combined educational program in reproductive endocrinology and infertility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</si>
  <si>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Combined Medical Residency/Fellowship Programs, Other.</t>
  </si>
  <si>
    <t>Any combined medical residency or fellowship program not listed above.</t>
  </si>
  <si>
    <t>Multiple-Pathway Medical Fellowship Programs.</t>
  </si>
  <si>
    <t>Instructional content for this group of programs is defined in codes 61.0202 - 61.0299.</t>
  </si>
  <si>
    <t>Critical Care Medicine Fellowship Program.</t>
  </si>
  <si>
    <t>A fellowship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residency program in anesthesiology, internal medicine, or obstetrics and gynecology. Note: critical care anesthesiology is no longer a medical subspecialty, but anesthesiologists may complete a subspecialty in critical care medicine. This CIP code is not valid for IPEDS reporting.</t>
  </si>
  <si>
    <t>Geriatric Medicine Fellowship Program.</t>
  </si>
  <si>
    <t>A fellowship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residency program in family medicine or internal medicine. This CIP code is not valid for IPEDS reporting.</t>
  </si>
  <si>
    <t>Health Policy Fellowship Program.</t>
  </si>
  <si>
    <t>A fellowship training program that prepares physicians to effect change within the health care system and advocate for the practice of medicine to ultimately shape the future health care landscape on both local and national levels. Requires prior completion of an accredited medical residency program. This CIP code is not valid for IPEDS reporting.</t>
  </si>
  <si>
    <t>Hospice and Palliative Medicine Fellowship Program.</t>
  </si>
  <si>
    <t>A fellowship training program that prepares physicians to prevent and relieve the suffering experienced by patients with life-limiting illnesses and to maximize the quality of life while addressing the physical, psychological, social, and spiritual needs of both patient and family throughout the course of the disease, including through the dying process and subsequent family grieving. Requires prior completion of a residency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</si>
  <si>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Integrative Medicine Fellowship Program.</t>
  </si>
  <si>
    <t>A fellowship training program that prepares physicians to practice medicine in a way that reaffirms the importance of the relationship between practitioner and patient; focuses on the whole person; is informed by evidence; and makes use of all appropriate therapeutic approaches, healthcare professionals, and disciplines to achieve optimal health and healing. Requires prior completion of an accredited medical residency program. This CIP code is not valid for IPEDS reporting.</t>
  </si>
  <si>
    <t>Medical Education Fellowship Program.</t>
  </si>
  <si>
    <t>A fellowship training program that prepares physicians to teach deliver, design, and evaluate courses and curricula for medical students, residents, and faculty. Requires prior completion of an accredited medical residency program. This CIP code is not valid for IPEDS reporting.</t>
  </si>
  <si>
    <t>Medical Toxicology Fellowship Program.</t>
  </si>
  <si>
    <t>A fellowship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residency program in emergency medicine, pediatrics, or preventive medicine. This CIP code is not valid for IPEDS reporting.</t>
  </si>
  <si>
    <t>Neuromuscular Medicine Fellowship Program.</t>
  </si>
  <si>
    <t>A fellowship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residency program in neurology, child neurology, or physical medicine and rehabilitation. This CIP code is not valid for IPEDS reporting.</t>
  </si>
  <si>
    <t>Pain Medicine Fellowship Program.</t>
  </si>
  <si>
    <t>A fellowship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residency program in anesthesiology, neurology, child neurology, physical medicine and rehabilitation, or psychiatry. This CIP code is not valid for IPEDS reporting.</t>
  </si>
  <si>
    <t>Simulation Fellowship Program.</t>
  </si>
  <si>
    <t>A fellowship training program that prepares physicians to develop, implement, manage, and assess healthcare simulation-based activities and programs. Requires prior completion of an accredited medical residency program. This CIP code is not valid for IPEDS reporting.</t>
  </si>
  <si>
    <t>Sleep Medicine Fellowship Program.</t>
  </si>
  <si>
    <t>A fellowship training program that prepares physicians in the diagnosis and management of clinical conditions that occur during sleep, that disturb sleep, or that are affected by disturbances in the wake-sleep cycle; in the analysis and interpretation of comprehensive polysomnography; and in the management of a sleep laboratory. Requires prior completion of a residency program in family medicine, internal medicine, neurology, child neurology, otolaryngology, pediatrics, or psychiatry. This CIP code is not valid for IPEDS reporting.</t>
  </si>
  <si>
    <t>Sports Medicine Fellowship Program.</t>
  </si>
  <si>
    <t>A fellowship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residency program in emergency medicine, family medicine, internal medicine, orthopedic surgery, pediatrics, or physical medicine and rehabilitation. This CIP code is not valid for IPEDS reporting.</t>
  </si>
  <si>
    <t>Surgery of the Hand Fellowship Program.</t>
  </si>
  <si>
    <t>A fellowship training program that prepares physicians in the investigation, preservation, and restoration by medical, surgical or physical methods of all structures of the upper extremity which directly affect the form and function of the limb, wrist, and hand. Requires prior completion of a residency program in orthopedic surgery, plastic surgery, or general surgery. This CIP code is not valid for IPEDS reporting.</t>
  </si>
  <si>
    <t>Telemedicine Fellowship Program.</t>
  </si>
  <si>
    <t>A fellowship training program that prepares physicians to bring together technology and clinical medicine to enhance the overall delivery of medical care. Requires prior completion of an accredited medical residency program. This CIP code is not valid for IPEDS reporting.</t>
  </si>
  <si>
    <t>Undersea and Hyperbaric Medicine Fellowship Program.</t>
  </si>
  <si>
    <t>A fellowship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residency program in emergency medicine or preventive medicine. This CIP code is not valid for IPEDS reporting.</t>
  </si>
  <si>
    <t>Wilderness Medicine Fellowship Program.</t>
  </si>
  <si>
    <t>A fellowship training program that prepares physicians to practice medicine with limited resources in austere environments or to provide healthcare anywhere in which environmental conditions have physiologic insult to a patient. Requires prior completion of a medical residency program. This CIP code is not valid for IPEDS reporting.</t>
  </si>
  <si>
    <t>Women's Health Fellowship Program.</t>
  </si>
  <si>
    <t>A fellowship training program that prepares physicians to provide high-quality and culturally competent reproductive and gynecologic care to women, and to understand the interactions of biological, societal, behavioral, political, and environmental issues on the overall health of women. Requires prior completion of a residency program in emergency medicine, internal medicine, obstetrics-gynecology, or psychiatry. This CIP code is not valid for IPEDS reporting.</t>
  </si>
  <si>
    <t>Multiple-Pathway Medical Fellowship Programs, Other.</t>
  </si>
  <si>
    <t>Any multiple-pathway medical fellowship program not listed above.</t>
  </si>
  <si>
    <t>Allergy and Immunology Residency/Fellowship Programs.</t>
  </si>
  <si>
    <t>Instructional content for this group of programs is defined in codes 61.0301 - 61.0399.</t>
  </si>
  <si>
    <t>Allergy and Immunology Fellowship Program.</t>
  </si>
  <si>
    <t>A fellowship training program that prepares physicians in the delivery of skilled medical care to patients suffering from allergic, asthmatic, and immunologic diseases. Requires completion of a prior residency program in internal medicine or pediatrics. This CIP code is not valid for IPEDS reporting.</t>
  </si>
  <si>
    <t>Allergy and Immunology Residency/Fellowship Programs, Other.</t>
  </si>
  <si>
    <t>Any residency or fellowship in allergy or immunology not listed above.</t>
  </si>
  <si>
    <t>Anesthesiology Residency/Fellowship Programs.</t>
  </si>
  <si>
    <t>Instructional content for this group of programs is defined in codes 61.0401 - 61.0499.</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</si>
  <si>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</si>
  <si>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</si>
  <si>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Anesthesiology Residency/Fellowship Programs, Other.</t>
  </si>
  <si>
    <t>Any residency or fellowship program in anesthesiology not listed above.</t>
  </si>
  <si>
    <t>Dermatology Residency/Fellowship Programs.</t>
  </si>
  <si>
    <t>Instructional content for this group of programs is defined in codes 61.0501 - 61.0599.</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</si>
  <si>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</si>
  <si>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 This CIP code is not valid for IPEDS reporting.</t>
  </si>
  <si>
    <t>Dermatopathology Fellowship Program.</t>
  </si>
  <si>
    <t>A fellowship training program that prepares physicians in the clinical and microscopic diagnosis and analysis of skin diseases and disorders.  Includes instruction in laboratory administration and the supervision and training of support personnel.  Requires prior completion of a residency program in dermatology. This CIP code is not valid for IPEDS reporting.</t>
  </si>
  <si>
    <t>Pediatric Dermatology Fellowship Program.</t>
  </si>
  <si>
    <t>A fellowship training program that prepares physicians in the treatment of specific skin disease categories, with emphasis on those diseases which predominate in infants, children, and adolescents. Requires prior completion of a residency program in dermatology. This CIP code is not valid for IPEDS reporting.</t>
  </si>
  <si>
    <t>Dermatology Residency/Fellowship Programs, Other.</t>
  </si>
  <si>
    <t>Any residency or fellowship program in dermatology not listed above.</t>
  </si>
  <si>
    <t>Emergency Medicine Residency/Fellowship Programs.</t>
  </si>
  <si>
    <t>Instructional content for this group of programs is defined in codes 61.0601 - 61.0699.</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</si>
  <si>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</si>
  <si>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 This CIP code is not valid for IPEDS reporting.</t>
  </si>
  <si>
    <t>Disaster Medicine Fellowship Program.</t>
  </si>
  <si>
    <t>A fellowship training program that prepares physicians to provide care for the victims of natural and man-made disasters with specific consideration given to timeliness and availability of resources. Includes instruction in emergency medicine and its associated acute care specialties, public health, emergency management, humanitarian services, and prehospital emergency medical services (EMS). Requires prior completion of a residency program in emergency medicine. This CIP code is not valid for IPEDS reporting.</t>
  </si>
  <si>
    <t>Emergency Medical Services Fellowship Program.</t>
  </si>
  <si>
    <t>A fellowship training program that prepares physicians in the leadership and medical oversight of pre- and out-of-hospital emergency care systems with advanced competencies in Emergency Medical System (EMS) system design, administration, and clinical care. Includes instruction in clinical aspects of EMS, medical oversight of EMS, mass casualty management,  disaster planning and operations, wilderness EMS systems, and quality management and research. Requires prior completion of a residency program in emergency medicine. This CIP code is not valid for IPEDS reporting.</t>
  </si>
  <si>
    <t>Emergency Medicine Residency/Fellowship Programs, Other.</t>
  </si>
  <si>
    <t>Any residency or fellowship program in emergency medicine not listed above.</t>
  </si>
  <si>
    <t>Family Medicine Residency/Fellowship Programs.</t>
  </si>
  <si>
    <t>Instructional content for this group of programs is defined in codes 61.0701 - 61.0799.</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</si>
  <si>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</si>
  <si>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 This CIP code is not valid for IPEDS reporting.</t>
  </si>
  <si>
    <t>Family Medicine Residency/Fellowship Programs, Other.</t>
  </si>
  <si>
    <t>Any residency or fellowship program in family medicine not listed above.</t>
  </si>
  <si>
    <t>Internal Medicine Residency/Fellowship Programs.</t>
  </si>
  <si>
    <t>Instructional content for this group of programs is defined in codes 61.0801 - 61.0899.</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</si>
  <si>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</si>
  <si>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 This CIP code is not valid for IPEDS reporting.</t>
  </si>
  <si>
    <t>Cardiovascular Disease Fellowship Program.</t>
  </si>
  <si>
    <t>A fellowship training program that prepares physicians to specialize in diseases of the heart and blood vessels and to manage complex cardiac conditions such as heart attacks and life-threatening, abnormal heartbeat rhythms. Requires prior completion of a residency program in internal medicine. This CIP code is not valid for IPEDS reporting.</t>
  </si>
  <si>
    <t>Clinical Cardiac Electrophysiology Fellowship Program.</t>
  </si>
  <si>
    <t>A fellowship training program, within the subspecialty of cardiovascular disease, which prepares physicians in intricate technical procedures to evaluate heart rhythms and determine appropriate treatment. Requires prior completion of a residency program in internal medicine. This CIP code is not valid for IPEDS reporting.</t>
  </si>
  <si>
    <t>Endocrinology, Diabetes, and Metabolism Fellowship Program.</t>
  </si>
  <si>
    <t>A fellowship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residency program in internal medicine. This CIP code is not valid for IPEDS reporting.</t>
  </si>
  <si>
    <t>Gastroenterology Fellowship Program.</t>
  </si>
  <si>
    <t>A fellowship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residency program in internal medicine. This CIP code is not valid for IPEDS reporting.</t>
  </si>
  <si>
    <t>Hematology Fellowship Program.</t>
  </si>
  <si>
    <t>A fellowship training program that prepares physicians in the mechanisms and therapy of diseases of the blood, bone marrow, spleen, and lymph, including patient management, diagnostic tests, biopsies, and other procedures. Requires prior completion of a residency program in internal medicine or pathology. This CIP code is not valid for IPEDS reporting.</t>
  </si>
  <si>
    <t>Hematology-Oncology Fellowship Program.</t>
  </si>
  <si>
    <t>A fellowship training program that prepares physicians in the diagnosis and treatment of cancer, benign and malignant tumors, and diseases of the blood, bone marrow, spleen, and lymph. Requires prior completion of a residency program in internal medicine. This CIP code is not valid for IPEDS reporting.</t>
  </si>
  <si>
    <t>Infectious Disease Fellowship Program.</t>
  </si>
  <si>
    <t>A fellowship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residency program in internal medicine. This CIP code is not valid for IPEDS reporting.</t>
  </si>
  <si>
    <t>Interventional Cardiology Fellowship Program.</t>
  </si>
  <si>
    <t>A fellowship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residency program in internal medicine. This CIP code is not valid for IPEDS reporting.</t>
  </si>
  <si>
    <t>Nephrology Fellowship Program.</t>
  </si>
  <si>
    <t>A fellowship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residency program in internal medicine. This CIP code is not valid for IPEDS reporting.</t>
  </si>
  <si>
    <t>Medical Oncology Fellowship Program.</t>
  </si>
  <si>
    <t>A fellowship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residency program in internal medicine. This CIP code is not valid for IPEDS reporting.</t>
  </si>
  <si>
    <t>Pulmonary Disease Fellowship Program.</t>
  </si>
  <si>
    <t>A fellowship training program that prepares physicians in pulmonary physiology and the treatment of lung diseases, pulmonary malignancies, related vascular diseases, respiratory disorders, diagnostic and therapeutic procedures, and pulmonary pathology. Requires prior completion of a residency program in internal medicine. This CIP code is not valid for IPEDS reporting.</t>
  </si>
  <si>
    <t>Rheumatology Fellowship Program.</t>
  </si>
  <si>
    <t>A fellowship training program that prepares physicians in the diagnosis and treatment of patients with acute and chronic rheumatic diseases, diffuse connective tissue diseases, systemic and metabolic diseases and infections and complications following surgery. Requires prior completion of a residency program in internal medicine. This CIP code is not valid for IPEDS reporting.</t>
  </si>
  <si>
    <t>Transplant Hepatology Fellowship Program.</t>
  </si>
  <si>
    <t>A fellowship training program that prepares physicians with special knowledge and the skill required of a gastroenterologist to care for patients prior to and following hepatic transplantation that spans all phases of liver transplantation. Requires prior completion of a residency program in internal medicine. This CIP code is not valid for IPEDS reporting.</t>
  </si>
  <si>
    <t>Internal Medicine Residency/Fellowship Programs, Other.</t>
  </si>
  <si>
    <t>Any residency or fellowship program in internal medicine not listed above.</t>
  </si>
  <si>
    <t>Medical Genetics and Genomics Residency/Fellowship Programs.</t>
  </si>
  <si>
    <t>Instructional content for this group of programs is defined in codes 61.0901 - 61.0999.</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</si>
  <si>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</si>
  <si>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three general certificates in the area of medical genetics. This CIP code is not valid for IPEDS reporting.</t>
  </si>
  <si>
    <t>Clinical Genetics and Genomics Residency Program.</t>
  </si>
  <si>
    <t>A residency training program that prepares physicians to provide comprehensive diagnostic, management, and counseling services for individuals and families at risk for clinical disorders with a genetic basis. One of three general certificates in the area of medical genetics. This CIP code is not valid for IPEDS reporting.</t>
  </si>
  <si>
    <t>Laboratory Genetics and Genomics Residency Program.</t>
  </si>
  <si>
    <t>A residency training program that prepares physicians to direct and interpret both clinical cytogenetic and molecular genetic analyses relevant to the diagnosis and management of human genetic diseases. One of three general certificates in the area of medical genetics. This CIP code is not valid for IPEDS reporting.</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</si>
  <si>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</si>
  <si>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residency program in medical genetics. This CIP code is not valid for IPEDS reporting.</t>
  </si>
  <si>
    <t>Medical Genetics and Genomics Residency/Fellowship Programs, Other.</t>
  </si>
  <si>
    <t>Any residency or fellowship program in medical genetics and genomics not listed above.</t>
  </si>
  <si>
    <t>Neurological Surgery Residency/Fellowship Programs.</t>
  </si>
  <si>
    <t>Instructional content for this group of programs is defined in codes 61.1001 - 61.1099.</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</si>
  <si>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</si>
  <si>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t>
  </si>
  <si>
    <t>Neurological Surgery Residency/Fellowship Programs, Other.</t>
  </si>
  <si>
    <t>Any residency or fellowship program in neurological surgery not listed above.</t>
  </si>
  <si>
    <t>Neurology Residency/Fellowship Programs.</t>
  </si>
  <si>
    <t>Instructional content for this group of programs is defined in codes 61.1101 - 61.1199.</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</si>
  <si>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</si>
  <si>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 This CIP code is not valid for IPEDS reporting.</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</si>
  <si>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</si>
  <si>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t>
  </si>
  <si>
    <t>Clinical Neurophysiology Fellowship Program.</t>
  </si>
  <si>
    <t>A fellowship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residency program in neurology, child neurology, or psychiatry. This CIP code is not valid for IPEDS reporting.</t>
  </si>
  <si>
    <t>Epilepsy Fellowship Program.</t>
  </si>
  <si>
    <t>A fellowship training program that prepares physicians in the diagnosis and treatment of patients with epileptic seizures or with symptoms and signs whose differential diagnosis includes epileptic seizures. Requires prior completion of a residency program in neurology. This CIP code is not valid for IPEDS reporting.</t>
  </si>
  <si>
    <t>Headache Medicine Fellowship Program.</t>
  </si>
  <si>
    <t>A fellowship training program that prepares physicians in the diagnosis, treatment, and research of headache and related disorders. Requires prior completion of a residency program in neurology. This CIP code is not valid for IPEDS reporting.</t>
  </si>
  <si>
    <t>Neurodevelopmental Disabilities Fellowship Program.</t>
  </si>
  <si>
    <t>A fellowship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residency program in neurology, child neurology, or pediatrics. This CIP code is not valid for IPEDS reporting.</t>
  </si>
  <si>
    <t>Vascular Neurology Fellowship Program.</t>
  </si>
  <si>
    <t>A fellowship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residency program in neurology or child neurology. This CIP code is not valid for IPEDS reporting.</t>
  </si>
  <si>
    <t>Neurology Residency/Fellowship Programs, Other.</t>
  </si>
  <si>
    <t>Any residency or fellowship program in neurology not listed above.</t>
  </si>
  <si>
    <t>Nuclear Medicine Residency/Fellowship Programs.</t>
  </si>
  <si>
    <t>Instructional content for this group of programs is defined in codes 61.1201 - 61.1299.</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</si>
  <si>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</si>
  <si>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 This CIP code is not valid for IPEDS reporting.</t>
  </si>
  <si>
    <t>Nuclear Medicine Residency/Fellowship Programs, Other.</t>
  </si>
  <si>
    <t>Any residency or fellowship program in nuclear medicine not listed above.</t>
  </si>
  <si>
    <t>Obstetrics and Gynecology Residency/Fellowship Programs.</t>
  </si>
  <si>
    <t>Instructional content for this group of programs is defined in codes 61.1301 - 61.1399.</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</si>
  <si>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</si>
  <si>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 This CIP code is not valid for IPEDS reporting.</t>
  </si>
  <si>
    <t>Gynecologic Oncology Fellowship Program.</t>
  </si>
  <si>
    <t>A fellowship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residency program in obstetrics and gynecology. This CIP code is not valid for IPEDS reporting.</t>
  </si>
  <si>
    <t>Maternal and Fetal Medicine Fellowship Program.</t>
  </si>
  <si>
    <t>A fellowship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residency program in obstetrics and gynecology. This CIP code is not valid for IPEDS reporting.</t>
  </si>
  <si>
    <t>Reproductive Endocrinology/Infertility Fellowship Program.</t>
  </si>
  <si>
    <t>A fellowship training program that prepares physicians to manage complex problems relating to reproductive endocrinology and infertility. Requires prior completion of a residency program in obstetrics and gynecology. This CIP code is not valid for IPEDS reporting.</t>
  </si>
  <si>
    <t>Obstetrics and Gynecology Residency/Fellowship Programs, Other.</t>
  </si>
  <si>
    <t>Any residency or fellowship program in obstetrics and gynecology not listed above.</t>
  </si>
  <si>
    <t>Ophthalmology Residency/Fellowship Programs.</t>
  </si>
  <si>
    <t>Instructional content for this group of programs is defined in codes 61.1401 - 61.1499.</t>
  </si>
  <si>
    <t>Ophthalmology Residency Program.</t>
  </si>
  <si>
    <t>A residency training program that prepares physicians in the diagnosis, prevention treatment of ophthalmic diseases and disorders, and ocular pathology procedures.  Includes instruction in eye surgery. This CIP code is not valid for IPEDS reporting.</t>
  </si>
  <si>
    <t>Ophthalmology Residency/Fellowship Programs, Other.</t>
  </si>
  <si>
    <t>Any residency or fellowship program in ophthalmology not listed above.</t>
  </si>
  <si>
    <t>Orthopedic Surgery Residency/Fellowship Programs.</t>
  </si>
  <si>
    <t>Instructional content for this group of programs is defined in codes 61.1501 - 61.1599.</t>
  </si>
  <si>
    <t>Orthopedic Surgery Residency Program.</t>
  </si>
  <si>
    <t>A residency training program that prepares physicians in the investigation, preservation, and restoration of the form and function of the extremities, spine and associated structures by medical, surgical and physical methods. This CIP code is not valid for IPEDS reporting.</t>
  </si>
  <si>
    <t>Musculoskeletal Oncology Fellowship Program.</t>
  </si>
  <si>
    <t>A fellowship training program that prepares physicians in the diagnosis and treatment of musculoskeletal neoplasm, and the application of cancer therapy regimes. This CIP code is not valid for IPEDS reporting.</t>
  </si>
  <si>
    <t>Orthopedic Sports Medicine Fellowship Program.</t>
  </si>
  <si>
    <t>A fellowship training program that prepares physicians to prevent and manage athletic injuries and to provide appropriate care for all structures of the musculoskeletal system directly affected by participation in sporting activity. Requires prior completion of a residency program in orthopedic surgery. This CIP code is not valid for IPEDS reporting.</t>
  </si>
  <si>
    <t>Orthopedic Surgery of the Spine Fellowship Program.</t>
  </si>
  <si>
    <t>A fellowship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</si>
  <si>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Pediatric Orthopedics Fellowship Program.</t>
  </si>
  <si>
    <t>A fellowship training program that prepares physicians in the diagnosis, surgical and non-surgical treatment, and management of musculoskeletal diseases, abnormalities and trauma in infants, children, and adolescents.  Requires prior completion of a residency program in orthopedic surgery. This CIP code is not valid for IPEDS reporting.</t>
  </si>
  <si>
    <t>Orthopedic Surgery Residency/Fellowship Programs, Other.</t>
  </si>
  <si>
    <t>Any residency or fellowship program in orthopedic surgery not listed above.</t>
  </si>
  <si>
    <t>Osteopathic Medicine Residency/Fellowship Programs.</t>
  </si>
  <si>
    <t>Instructional content for this group of programs is defined in codes 61.1601 - 61.1699.</t>
  </si>
  <si>
    <t>Osteopathic Neuromusculoskeletal Medicine Residency Program.</t>
  </si>
  <si>
    <t>A residency training program that prepares osteopathic (DO) physicians to perform osteopathic neuromusculoskeletal diagnosis and perform Osteopathic Manipulative Treatment (OMT). This CIP code is not valid for IPEDS reporting.</t>
  </si>
  <si>
    <t>Osteopathic Medicine Residency/Fellowship Programs, Other.</t>
  </si>
  <si>
    <t>Any residency or fellowship program in osteopathic medicine not listed above.</t>
  </si>
  <si>
    <t>Otolaryngology Residency/Fellowship Programs.</t>
  </si>
  <si>
    <t>Instructional content for this group of programs is defined in codes 61.1701 - 61.1799.</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</si>
  <si>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</si>
  <si>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 This CIP code is not valid for IPEDS reporting.</t>
  </si>
  <si>
    <t>Neurotology Fellowship Program.</t>
  </si>
  <si>
    <t>A fellowship training program that prepares physicians to treat diseases of the ear and temporal bone, including disorders of hearing and balance. Requires prior completion of a residency program in otolaryngology. This CIP code is not valid for IPEDS reporting.</t>
  </si>
  <si>
    <t>Pediatric Otolaryngology Fellowship Program.</t>
  </si>
  <si>
    <t>A fellowship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residency program in otolaryngology. This CIP code is not valid for IPEDS reporting.</t>
  </si>
  <si>
    <t>Otolaryngology Residency/Fellowship Programs, Other.</t>
  </si>
  <si>
    <t>Any residency or fellowship program in otolaryngology not listed above.</t>
  </si>
  <si>
    <t>Pathology Residency/Fellowship Programs.</t>
  </si>
  <si>
    <t>Instructional content for this group of programs is defined in codes 61.1801 - 61.1899.</t>
  </si>
  <si>
    <t>Combined Anatomic and Clinical 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</si>
  <si>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t>
  </si>
  <si>
    <t>Anatomic Pathology Residency Program.</t>
  </si>
  <si>
    <t>A residency training program that prepares physicians in the diagnosis of disease and anatomic abnormalities. Includes instruction in autopsy pathology, cytology, diagnostic surgical pathology, forensic medicine, laboratory management, and quality control. This CIP code is not valid for IPEDS reporting.</t>
  </si>
  <si>
    <t>Clinical Pathology Residency Program.</t>
  </si>
  <si>
    <t>A residency training program that prepares physicians in the clinical laboratory analysis and diagnosis of disease. Includes instruction in performing clinical chemistry, cytogenetics, immunology, laboratory management, microbiology, molecular biology, quality control, serology, toxicology, and virology. This CIP code is not valid for IPEDS reporting.</t>
  </si>
  <si>
    <t>Blood Banking/Transfusion Medicine Fellowship Program.</t>
  </si>
  <si>
    <t>A fellowship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residency program in pathology. This CIP code is not valid for IPEDS reporting.</t>
  </si>
  <si>
    <t>Chemical Pathology Fellowship Program.</t>
  </si>
  <si>
    <t>A fellowship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residency program in medical pathology. This CIP code is not valid for IPEDS reporting.</t>
  </si>
  <si>
    <t>Cytopathology Fellowship Program.</t>
  </si>
  <si>
    <t>A fellowship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residency program in pathology. This CIP code is not valid for IPEDS reporting.</t>
  </si>
  <si>
    <t>Forensic Pathology Fellowship Program.</t>
  </si>
  <si>
    <t>A fellowship training program that prepares physicians in the performance of medical autopsies, the analysis of human remains and crime scenes, and the legal follow-up and responsibilities of public pathologists.  Requires prior completion of a residency program in pathology. This CIP code is not valid for IPEDS reporting.</t>
  </si>
  <si>
    <t>Hematological Pathology Fellowship Program.</t>
  </si>
  <si>
    <t>A fellowship training program that prepares physicians in the laboratory and analytical procedures for studying all facets of hematologic and coagulation disorders.  Includes instruction in the management of hematology laboratories. Requires prior completion of a residency program in pathology. This CIP code is not valid for IPEDS reporting.</t>
  </si>
  <si>
    <t>Immunopathology Fellowship Program.</t>
  </si>
  <si>
    <t>A fellowship training program that prepares physicians in the diagnosis, treatment and laboratory management of immunologic diseases. Includes instruction in diagnostic surgical pathology, management of organ transplantation and immunotherapy.  Requires prior completion of a residency program in pathology. This CIP code is not valid for IPEDS reporting.</t>
  </si>
  <si>
    <t>Laboratory Medicine Fellowship Program.</t>
  </si>
  <si>
    <t>A fellowship training program that prepares physicians in the principles and practices of applied medical research and related techniques, equipment, data systems, and research design. Includes instruction in the management of medical laboratories in research and healthcare facilities. This CIP code is not valid for IPEDS reporting.</t>
  </si>
  <si>
    <t>Medical Microbiology Fellowship Program.</t>
  </si>
  <si>
    <t>A fellowship training program that prepares physicians in the isolation and identification of microbial agents that cause infectious disease, including viruses, bacteria, fungi, and parasites. Requires prior completion of a residency program in pathology. This CIP code is not valid for IPEDS reporting.</t>
  </si>
  <si>
    <t>Molecular Genetic Pathology Fellowship Program.</t>
  </si>
  <si>
    <t>A fellowship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residency program in medical genetics or pathology. This CIP code is not valid for IPEDS reporting.</t>
  </si>
  <si>
    <t>Neuropathology Fellowship Program.</t>
  </si>
  <si>
    <t>A fellowship training program that prepares physicians in the laboratory analysis of nerve tissues and the clinical diagnosis of neurological and neuromuscular diseases.  Includes instruction in nerve biopsies and necropsies.  Requires prior completion of a residency program in pathology. This CIP code is not valid for IPEDS reporting.</t>
  </si>
  <si>
    <t>Pediatric Pathology Fellowship Program.</t>
  </si>
  <si>
    <t>A fellowship training program that prepares physicians in the laboratory diagnosis of diseases that occur during fetal growth, infancy, and child development, based on knowledge of general pathology, normal growth and development, and pediatric medicine. Requires prior completion of a residency program in pathology. This CIP code is not valid for IPEDS reporting.</t>
  </si>
  <si>
    <t>Radioisotopic Pathology Fellowship Program.</t>
  </si>
  <si>
    <t>A fellowship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Requires prior completion of a residency program in pathology. This CIP code is not valid for IPEDS reporting.</t>
  </si>
  <si>
    <t>Pathology Residency/Fellowship Programs, Other.</t>
  </si>
  <si>
    <t>Any residency or fellowship program in pathology not listed above.</t>
  </si>
  <si>
    <t>Pediatrics Residency/Fellowship Programs.</t>
  </si>
  <si>
    <t>Instructional content for this group of programs is defined in codes 61.1901 - 61.1999.</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</si>
  <si>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</si>
  <si>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 This CIP code is not valid for IPEDS reporting.</t>
  </si>
  <si>
    <t>Adolescent Medicine Fellowship Program.</t>
  </si>
  <si>
    <t>A fellowship training program that prepares physicians in the unique physical, psychological, and social characteristics of adolescents and their healthcare problems and needs. Requires prior completion of a residency program in family medicine, internal medicine, or pediatrics. This CIP code is not valid for IPEDS reporting.</t>
  </si>
  <si>
    <t>Child Abuse Pediatrics Fellowship Program.</t>
  </si>
  <si>
    <t>A fellowship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residency program in pediatrics. This CIP code is not valid for IPEDS reporting.</t>
  </si>
  <si>
    <t>Developmental-Behavioral Pediatrics Fellowship Program.</t>
  </si>
  <si>
    <t>A fellowship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residency program in pediatrics. This CIP code is not valid for IPEDS reporting.</t>
  </si>
  <si>
    <t>Neonatal-Perinatal Medicine Fellowship Program.</t>
  </si>
  <si>
    <t>A fellowship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residency program in pediatrics. This CIP code is not valid for IPEDS reporting.</t>
  </si>
  <si>
    <t>Pediatric Cardiology Fellowship Program.</t>
  </si>
  <si>
    <t>A fellowship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residency program in pediatrics. This CIP code is not valid for IPEDS reporting.</t>
  </si>
  <si>
    <t>Pediatric Critical Care Medicine Fellowship Program.</t>
  </si>
  <si>
    <t>A fellowship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residency program in pediatrics. This CIP code is not valid for IPEDS reporting.</t>
  </si>
  <si>
    <t>Pediatric Emergency Medicine Fellowship Program.</t>
  </si>
  <si>
    <t>A fellowship training program that prepares physicians to manage emergencies in infants and children. Requires prior completion of a residency program in emergency medicine or pediatrics. This CIP code is not valid for IPEDS reporting.</t>
  </si>
  <si>
    <t>Pediatric Endocrinology Fellowship Program.</t>
  </si>
  <si>
    <t>A fellowship training program that prepares physicians in the diagnosis and management of endocrine diseases and the regulation of hormone balance in childhood and adolescence.  Requires prior completion of a residency program in pediatrics. This CIP code is not valid for IPEDS reporting.</t>
  </si>
  <si>
    <t>Pediatric Gastroenterology Fellowship Program.</t>
  </si>
  <si>
    <t>A fellowship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residency program in pediatrics. This CIP code is not valid for IPEDS reporting.</t>
  </si>
  <si>
    <t>Pediatric Hematology-Oncology Fellowship Program.</t>
  </si>
  <si>
    <t>A fellowship training program that prepares physicians in the diagnosis and management of hematologic disorders and malignant diseases, including blood and bone marrow function, in infancy, childhood, and adolescence. Requires prior completion of a residency program in pediatrics. This CIP code is not valid for IPEDS reporting.</t>
  </si>
  <si>
    <t>Pediatric Infectious Diseases Fellowship Program.</t>
  </si>
  <si>
    <t>A fellowship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residency program in pediatrics. This CIP code is not valid for IPEDS reporting.</t>
  </si>
  <si>
    <t>Pediatric Nephrology Fellowship Program.</t>
  </si>
  <si>
    <t>A fellowship training program that prepares physicians in the diagnosis and management of infants, children, and adolescents with renal and genito-urinary problems, hypertension and disorders of body fluid physiology.  Requires prior completion of a residency program in pediatrics. This CIP code is not valid for IPEDS reporting.</t>
  </si>
  <si>
    <t>Pediatric Pulmonology Fellowship Program.</t>
  </si>
  <si>
    <t>A fellowship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residency program in pediatrics. This CIP code is not valid for IPEDS reporting.</t>
  </si>
  <si>
    <t>Pediatric Rheumatology Fellowship Program.</t>
  </si>
  <si>
    <t>A fellowship training program that prepares physicians to diagnose and treat diseases of joints, muscle, bones, and tendons in children and young adults, including arthritis, back pain, muscle strains, common athletic injuries, and collagen diseases. Requires prior completion of a residency program in pediatrics. This CIP code is not valid for IPEDS reporting.</t>
  </si>
  <si>
    <t>Pediatric Transplant Hepatology Fellowship Program.</t>
  </si>
  <si>
    <t>A fellowship training program that prepares physicians with special knowledge, skill, and expertise required of pediatric gastroenterologists to care for children and young adults prior to and following hepatic transplantation. Requires prior completion of a residency program in pediatrics. This CIP code is not valid for IPEDS reporting.</t>
  </si>
  <si>
    <t>Pediatrics Residency/Fellowship Programs, Other.</t>
  </si>
  <si>
    <t>Any residency or fellowship program in pediatrics not listed above.</t>
  </si>
  <si>
    <t>Physical Medicine and Rehabilitation Residency/Fellowship Programs.</t>
  </si>
  <si>
    <t>Instructional content for this group of programs is defined in codes 61.2001 - 61.2099.</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</si>
  <si>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</si>
  <si>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t>
  </si>
  <si>
    <t>Spinal Cord Injury Medicine Fellowship Program.</t>
  </si>
  <si>
    <t>A fellowship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residency program in physical medicine and rehabilitation. This CIP code is not valid for IPEDS reporting.</t>
  </si>
  <si>
    <t>Pediatric Rehabilitation Medicine Fellowship Program.</t>
  </si>
  <si>
    <t>A fellowship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residency program in physical medicine and rehabilitation. This CIP code is not valid for IPEDS reporting.</t>
  </si>
  <si>
    <t>Physical Medicine and Rehabilitation Residency/Fellowship Programs, Other.</t>
  </si>
  <si>
    <t>Any residency or fellowship program in physical medicine and rehabilitation not listed above.</t>
  </si>
  <si>
    <t>Plastic Surgery Residency/Fellowship Programs.</t>
  </si>
  <si>
    <t>Instructional content for this group of programs is defined in codes 61.2101 - 61.2199.</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</si>
  <si>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</si>
  <si>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</si>
  <si>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Integrated 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</si>
  <si>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Does NOT require prior completion of a program in general surgery. This CIP code is not valid for IPEDS reporting.</t>
  </si>
  <si>
    <t>Plastic Surgery Within the Head and Neck Fellowship Program.</t>
  </si>
  <si>
    <t>A fellowship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residency program in otolaryngology or plastic surgery. This CIP code is not valid for IPEDS reporting.</t>
  </si>
  <si>
    <t>Plastic Surgery Residency/Fellowship Programs, Other.</t>
  </si>
  <si>
    <t>Any residency or fellowship program in plastic surgery not listed above.</t>
  </si>
  <si>
    <t>Podiatric Medicine Residency/Fellowship Programs.</t>
  </si>
  <si>
    <t>Instructional content for this group of programs is defined in codes 61.2201 - 61.2299.</t>
  </si>
  <si>
    <t>Podiatric Medicine and Surgery Residency Program.</t>
  </si>
  <si>
    <t>A residency training program that prepares podiatrists for primary practice in podiatric healthcare and foot surgery.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</si>
  <si>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Residency/Fellowship Programs, Other.</t>
  </si>
  <si>
    <t>Any residency or fellowship program in podiatric medicine not listed above.</t>
  </si>
  <si>
    <t>Preventive Medicine Residency/Fellowship Programs.</t>
  </si>
  <si>
    <t>Instructional content for this group of programs is defined in codes 61.2301 - 61.2399.</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</si>
  <si>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</si>
  <si>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</si>
  <si>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</si>
  <si>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 This CIP code is not valid for IPEDS reporting.</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</si>
  <si>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</si>
  <si>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 This CIP code is not valid for IPEDS reporting.</t>
  </si>
  <si>
    <t>Preventive Medicine Residency/Fellowship Programs, Other.</t>
  </si>
  <si>
    <t>Any residency or fellowship program in preventive medicine not listed above.</t>
  </si>
  <si>
    <t>Psychiatry Residency/Fellowship Programs.</t>
  </si>
  <si>
    <t>Instructional content for this group of programs is defined in codes 61.2401 - 61.2499.</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</si>
  <si>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</si>
  <si>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</si>
  <si>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Addiction Psychiatry Fellowship Program.</t>
  </si>
  <si>
    <t>A fellowship training program that prepares physicians in the evaluation and treatment of individuals with alcohol, drug, or other substance-related disorders, and of individuals with the dual diagnosis of substance-related and other psychiatric disorders. Requires prior completion of a residency program in psychiatry. This CIP code is not valid for IPEDS reporting.</t>
  </si>
  <si>
    <t>Child and Adolescent Psychiatry Fellowship Program.</t>
  </si>
  <si>
    <t>A fellowship training program that prepares physicians in the diagnosis and treatment of developmental, behavioral, emotional, and mental disorders of childhood and adolescence. Requires prior completion of a residency program in psychiatry. This CIP code is not valid for IPEDS reporting.</t>
  </si>
  <si>
    <t>Consultation-Liaison Psychiatry Fellowship Program.</t>
  </si>
  <si>
    <t>A fellowship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residency program in psychiatry. This CIP code is not valid for IPEDS reporting.</t>
  </si>
  <si>
    <t>Forensic Psychiatry Fellowship Program.</t>
  </si>
  <si>
    <t>A fellowship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residency program in psychiatry. This CIP code is not valid for IPEDS reporting.</t>
  </si>
  <si>
    <t>Geriatric Psychiatry Fellowship Program.</t>
  </si>
  <si>
    <t>A fellowship training program that prepares physicians in the prevention, evaluation, diagnosis, and treatment of mental and emotional disorders in the elderly, and to improve the psychiatric care of the elderly both in health and in disease. Requires prior completion of a residency program in psychiatry. This CIP code is not valid for IPEDS reporting.</t>
  </si>
  <si>
    <t>Psychiatry Residency/Fellowship Programs, Other.</t>
  </si>
  <si>
    <t>Any residency or fellowship program in psychiatry not listed above.</t>
  </si>
  <si>
    <t>Radiation Oncology Residency/Fellowship Programs.</t>
  </si>
  <si>
    <t>Instructional content for this group of programs is defined in codes 61.2501 - 61.2599.</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</si>
  <si>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</si>
  <si>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 This CIP code is not valid for IPEDS reporting.</t>
  </si>
  <si>
    <t>Radiation Oncology Residency/Fellowship Programs, Other.</t>
  </si>
  <si>
    <t>Any residency or fellowship program in radiation oncology not listed above.</t>
  </si>
  <si>
    <t>Radiology Residency/Fellowship Programs.</t>
  </si>
  <si>
    <t>Instructional content for this group of programs is defined in codes 61.2601 - 61.2699.</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</si>
  <si>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</si>
  <si>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 This CIP code is not valid for IPEDS reporting.</t>
  </si>
  <si>
    <t>Integrated Interventional Radiology Residency Program.</t>
  </si>
  <si>
    <t>A fellowship training program that prepares physicians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Does NOT require prior completion of a residency program in diagnostic radiology. This CIP code is not valid for IPEDS reporting.</t>
  </si>
  <si>
    <t>Abdominal Radiology Fellowship Program.</t>
  </si>
  <si>
    <t>A fellowship training program that prepares diagnostic radiologists in the diagnosis and treatment of disorders of the abdomen and pelvis in adults and children. Requires prior completion of a residency program in diagnostic or interventional radiology. This CIP code is not valid for IPEDS reporting.</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</si>
  <si>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</si>
  <si>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 This CIP code is not valid for IPEDS reporting.</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</si>
  <si>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</si>
  <si>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 This CIP code is not valid for IPEDS reporting.</t>
  </si>
  <si>
    <t>Musculoskeletal Radiology Fellowship Program.</t>
  </si>
  <si>
    <t>A fellowship training program that prepares diagnostic radiologists in the diagnosis and treatment of disorders or injuries of the joints, bones, muscles, and spine in adults and children. Requires prior completion of a residency program in diagnostic or interventional radiology. This CIP code is not valid for IPEDS reporting.</t>
  </si>
  <si>
    <t>Neuroradiology Fellowship Program.</t>
  </si>
  <si>
    <t>A fellowship training program that prepares diagnostic radiologists in the diagnosis and treatment of disorders of the brain, spine, spinal cord, peripheral nerves, and head and neck in adults and children. Requires prior completion of a residency program in diagnostic radiology. This CIP code is not valid for IPEDS reporting.</t>
  </si>
  <si>
    <t>Nuclear Radiology Fellowship Program.</t>
  </si>
  <si>
    <t>A fellowship training program that prepares physicians in the imaging by external detection of radionuclides and/or biodistribution by external detection of radionuclides for diagnosis of disease.  Requires prior partial completion of a residency program in diagnostic radiology. This CIP code is not valid for IPEDS reporting.</t>
  </si>
  <si>
    <t>Pediatric Radiology Fellowship Program.</t>
  </si>
  <si>
    <t>A fellowship training program that prepares physicians in all forms of diagnostic imaging as it pertains to the diagnosis and treatment of diseases in the newborn, infant, child, and adolescent. Requires prior completion of a residency program in diagnostic radiology. This CIP code is not valid for IPEDS reporting.</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</si>
  <si>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</si>
  <si>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 This CIP code is not valid for IPEDS reporting.</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</si>
  <si>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</si>
  <si>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 This CIP code is not valid for IPEDS reporting.</t>
  </si>
  <si>
    <t>Vascular and Interventional Radiology Fellowship Program.</t>
  </si>
  <si>
    <t>A fellowship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residency program in diagnostic radiology. This CIP code is not valid for IPEDS reporting.</t>
  </si>
  <si>
    <t>Radiology Residency/Fellowship Programs, Other.</t>
  </si>
  <si>
    <t>Any medical residency or fellowship in radiology not listed above.</t>
  </si>
  <si>
    <t>Surgery Residency/Fellowship Programs.</t>
  </si>
  <si>
    <t>Instructional content for this group of programs is defined in codes 61.2701 - 61.2799.</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</si>
  <si>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</si>
  <si>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t>
  </si>
  <si>
    <t>Colon and Rectal Surgery Residency Program.</t>
  </si>
  <si>
    <t>A residency training program that prepares physicians in the surgical care of patients with anorectal and colonic diseases.  Also includes instruction in diagnostic and therapeutic colonoscopy.  Requires prior or concurrent completion of a residency program in general surgery. This CIP code is not valid for IPEDS reporting.</t>
  </si>
  <si>
    <t>Complex General Surgical Oncology Fellowship Program.</t>
  </si>
  <si>
    <t>A fellowship training program that prepares surgeons in the management of patients with difficult, rare or complex cancer presentations, including clinical evaluation, surgical management, and adjuvant therapy. Requires prior completion of a residency program in general surgery. This CIP code is not valid for IPEDS reporting.</t>
  </si>
  <si>
    <t>Congenital Cardiac Surgery Fellowship Program.</t>
  </si>
  <si>
    <t>A fellowship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residency or fellowship program in thoracic surgery. This CIP code is not valid for IPEDS reporting.</t>
  </si>
  <si>
    <t>Pediatric Surgery Fellowship Program.</t>
  </si>
  <si>
    <t>A fellowship training program that prepares physicians in the diagnosis, evaluation and surgical treatment of diseases, disorders, and trauma in infants and children.  Requires prior completion of a residency program in general surgery. This CIP code is not valid for IPEDS reporting.</t>
  </si>
  <si>
    <t>Surgical Critical Care Fellowship Program.</t>
  </si>
  <si>
    <t>A fellowship training program that prepares surgeons in the diagnosis, treatment, and support of critically ill and injured patients, particularly trauma victims and patients with multiple organ dysfunction. Requires prior completion of a residency program in general surgery. This CIP code is not valid for IPEDS reporting.</t>
  </si>
  <si>
    <t>Thoracic Surgery Fellowship Program.</t>
  </si>
  <si>
    <t>A fellowship training program that prepares physicians in the evaluation and surgical treatment of pulmonary, esophageal, mediastinal, chest wall, diaphragmatic and cardiovascular disorders.  Includes instruction in bronchoscopy and esophagoscopy. Requires prior or concurrent completion of a residency program in general surgery. This CIP code is not valid for IPEDS reporting.</t>
  </si>
  <si>
    <t>Vascular Surgery Fellowship Program.</t>
  </si>
  <si>
    <t>A fellowship training program that prepares physicians in the surgical treatment of diseases and disorders of the arterial, venous and lymphatic circulatory systems and of the heart and thoracic aorta. Requires prior or concurrent completion of a residency program in general surgery. This CIP code is not valid for IPEDS reporting.</t>
  </si>
  <si>
    <t>Surgery Residency/Fellowship Programs, Other.</t>
  </si>
  <si>
    <t>Any residency or fellowship program in surgery not listed above.</t>
  </si>
  <si>
    <t>Urology Residency/Fellowship Programs.</t>
  </si>
  <si>
    <t>Instructional content for this group of programs is defined in codes 61.2801 - 61.2899. These CIP codes are not valid for IPEDS reporting.</t>
  </si>
  <si>
    <t>Urology Residency Program.</t>
  </si>
  <si>
    <t>A residency training program that prepares physicians to manage congenital and acquired conditions of the genitourinary system, the adrenal gland, and other contiguous structures throughout the lifespan and which may be benign or malignant. This specialist is skilled in medical and open surgical therapy of these conditions, as well as endoscopic, percutaneous, and other minimally invasive methods. This CIP code is not valid for IPEDS reporting.</t>
  </si>
  <si>
    <t>Pediatric Urology Fellowship Program.</t>
  </si>
  <si>
    <t>A fellowship training program that prepares individuals in the study, prevention, and management of congenital, childhood-acquired, and overlapping adolescent anomalies of the genitourinary tract, including problems, diseases, tumors, and traumas. Requires prior completion of a residency program in urology. This CIP code is not valid for IPEDS reporting.</t>
  </si>
  <si>
    <t>Urology Residency/Fellowship Programs, Other.</t>
  </si>
  <si>
    <t>Any residency or fellowship program in urology not listed above.</t>
  </si>
  <si>
    <t>Medical Residency/Fellowship Programs, Other.</t>
  </si>
  <si>
    <t>Instructional content is defined in code 61.9999.</t>
  </si>
  <si>
    <t>Any medical residency or fellowship program not listed above. This CIP code is not valid for IPEDS reporting.</t>
  </si>
  <si>
    <t>Multiple</t>
  </si>
  <si>
    <t>&lt;-- Click (+) to Expand</t>
  </si>
  <si>
    <t>0602</t>
  </si>
  <si>
    <t>Boise State University (0602)</t>
  </si>
  <si>
    <t>College/University/Other</t>
  </si>
  <si>
    <t>0607</t>
  </si>
  <si>
    <t>College of Southern Idaho (0607)</t>
  </si>
  <si>
    <t>0608</t>
  </si>
  <si>
    <t>Idaho State University (0608)</t>
  </si>
  <si>
    <t>0610</t>
  </si>
  <si>
    <t>Lewis-Clark State College (0610)</t>
  </si>
  <si>
    <t>0614</t>
  </si>
  <si>
    <t>North Idaho College (0614)</t>
  </si>
  <si>
    <t>0615</t>
  </si>
  <si>
    <t>College of Eastern Idaho (0615)</t>
  </si>
  <si>
    <t>0631</t>
  </si>
  <si>
    <t>University of Idaho (0631)</t>
  </si>
  <si>
    <t>0660</t>
  </si>
  <si>
    <t>College of Western Idaho (0660)</t>
  </si>
  <si>
    <t>0999</t>
  </si>
  <si>
    <t>Other Idaho College or University (0999)</t>
  </si>
  <si>
    <t>2895</t>
  </si>
  <si>
    <t>Northwest Nazarene University (2895)</t>
  </si>
  <si>
    <t>2897</t>
  </si>
  <si>
    <t>BYU - Utah (2897)</t>
  </si>
  <si>
    <t>2898</t>
  </si>
  <si>
    <t>Treasure Valley Community College</t>
  </si>
  <si>
    <t>8845</t>
  </si>
  <si>
    <t>BYU - Idaho (8845)</t>
  </si>
  <si>
    <t>8896</t>
  </si>
  <si>
    <t>College of Idaho (8896)</t>
  </si>
  <si>
    <t>General Category - Out-of-State (9999)</t>
  </si>
  <si>
    <t>Grade 1</t>
  </si>
  <si>
    <t>Content is intended for grade 1</t>
  </si>
  <si>
    <t>Grade 2</t>
  </si>
  <si>
    <t>Content is intended for grade 2</t>
  </si>
  <si>
    <t>Grade 3</t>
  </si>
  <si>
    <t>Content is intended for grade 3</t>
  </si>
  <si>
    <t>Grade 4</t>
  </si>
  <si>
    <t>Content is intended for grade 4</t>
  </si>
  <si>
    <t>Grade 5</t>
  </si>
  <si>
    <t>Content is intended for grade 5</t>
  </si>
  <si>
    <t>Grade 6</t>
  </si>
  <si>
    <t>Content is intended for grade 6</t>
  </si>
  <si>
    <t>Grade 7</t>
  </si>
  <si>
    <t>Content is intended for grade 7</t>
  </si>
  <si>
    <t>Grade 8</t>
  </si>
  <si>
    <t>Content is intended for grade 8</t>
  </si>
  <si>
    <t>Grade 9</t>
  </si>
  <si>
    <t>Content is intended for grade 9</t>
  </si>
  <si>
    <t>Grade 10</t>
  </si>
  <si>
    <t>Content is intended for grade 10</t>
  </si>
  <si>
    <t>Grade 11</t>
  </si>
  <si>
    <t>Content is intended for grade 11</t>
  </si>
  <si>
    <t>Grade 12</t>
  </si>
  <si>
    <t>Content is intended for grade 12</t>
  </si>
  <si>
    <t>KG</t>
  </si>
  <si>
    <t>Content is intended for grade KG</t>
  </si>
  <si>
    <t>MX</t>
  </si>
  <si>
    <t>Mixed Grades</t>
  </si>
  <si>
    <t>Content is intended for grade MX</t>
  </si>
  <si>
    <t>PK</t>
  </si>
  <si>
    <t>Preschool</t>
  </si>
  <si>
    <t>Content is intended for grade PK</t>
  </si>
  <si>
    <t>Contract Number 1</t>
  </si>
  <si>
    <t>Assignment is associated with Contract number 1</t>
  </si>
  <si>
    <t>If reported assignment is to be linked to ContractType1, report 1 for contractNo.</t>
  </si>
  <si>
    <t>Contract Number 2</t>
  </si>
  <si>
    <t>Assignment is associated with Contract number 2</t>
  </si>
  <si>
    <t>If reported assignment is to be linked to ContractType2, report 2 for contractNo.</t>
  </si>
  <si>
    <t>Contract Number 3</t>
  </si>
  <si>
    <t>Assignment is associated with Contract number 3</t>
  </si>
  <si>
    <t>If reported assignment is to be linked to ContractType3, report 3 for contractNo.</t>
  </si>
  <si>
    <t>Category 1 Contracts</t>
  </si>
  <si>
    <t xml:space="preserve">For certificated instructional employees on a limited one-year contract as provided in section 33-514A, Idaho Code. </t>
  </si>
  <si>
    <t>Category 2 Contracts</t>
  </si>
  <si>
    <t xml:space="preserve">For certificated instructional employees in the first and second years of continuous employment with the same school district. </t>
  </si>
  <si>
    <t>Category 3 Contracts</t>
  </si>
  <si>
    <t>For certificated instructional employees during the third year of continuous employment by the same school district.</t>
  </si>
  <si>
    <t>Administrator Contract</t>
  </si>
  <si>
    <t>For certificated administrative employees.</t>
  </si>
  <si>
    <t>AE</t>
  </si>
  <si>
    <t>Approved Alternative Evening School</t>
  </si>
  <si>
    <t>For certificated staff performing duties in an Alternative Evening School program</t>
  </si>
  <si>
    <t>AR</t>
  </si>
  <si>
    <t>Retired Administrator Contract</t>
  </si>
  <si>
    <t>For retired certificated administrative employees who are currently drawing PERSI retirement benefits.</t>
  </si>
  <si>
    <t>AS</t>
  </si>
  <si>
    <t>Approved Alternative Summer School</t>
  </si>
  <si>
    <t>For certificated staff performing duties in an approved Alternative Summer School program</t>
  </si>
  <si>
    <t>C</t>
  </si>
  <si>
    <t>Continuing or Renewable (Tenure) Contract</t>
  </si>
  <si>
    <t>For certificated instructional employees who have attained renewable contract status as provided in Section 33-515, Idaho Code.</t>
  </si>
  <si>
    <t>CH</t>
  </si>
  <si>
    <t>Charter General Contract</t>
  </si>
  <si>
    <t>For charter school teachers on a general contract approved by the charter school’s board. Idaho Code 33-5206</t>
  </si>
  <si>
    <t>NE</t>
  </si>
  <si>
    <t>Non-Employee Contract</t>
  </si>
  <si>
    <t>Limited use:  For certificated non-employee contracts.  LEA’s who render services from non-employee contracts will need to ensure that they hold a current and valid Idaho certificate for the services being rendered.  LEA’s should consult the Department of Labor’s website for guidance on rendering services for non-employee contracts and consult with legal counsel.</t>
  </si>
  <si>
    <t>District is contracting with the YMCA to provide instruction to be delivered by the YMCA employed person. The students are going to the YMCA for PE. The YMCA person is required to hold a valid Idaho Instructional Certificate with a PE endorsement.</t>
  </si>
  <si>
    <t xml:space="preserve">Retired Teacher Contract </t>
  </si>
  <si>
    <t>For retired certificated instructional employees who are currently drawing PERSI retirement benefits.</t>
  </si>
  <si>
    <t>RS</t>
  </si>
  <si>
    <t>Regular Summer School</t>
  </si>
  <si>
    <t>Limited use: For certificated employees performing duties only in a regular summer school program</t>
  </si>
  <si>
    <t>ST</t>
  </si>
  <si>
    <t>For a candidate enrolled in an extensive, substantive, and supervised clinical practice in a Pre-K-12 school to obtain preparation for an instructional certificate.</t>
  </si>
  <si>
    <t>TA</t>
  </si>
  <si>
    <t>For an apprentice enrolled in an Idaho State Board of Education approved registered apprenticeship program for teachers in a public K-12 school to obtain preparation for an instructional certificate.</t>
  </si>
  <si>
    <t>&lt;«&lt;</t>
  </si>
  <si>
    <t>Toggle the (+/-)</t>
  </si>
  <si>
    <t>to SHOW/HIDE this list. ISO-3166 Country Codes</t>
  </si>
  <si>
    <t>AD</t>
  </si>
  <si>
    <t>Andorra</t>
  </si>
  <si>
    <t>United Arab Emirates (the)</t>
  </si>
  <si>
    <t>AF</t>
  </si>
  <si>
    <t>Afghanistan</t>
  </si>
  <si>
    <t>AG</t>
  </si>
  <si>
    <t>Antigua and Barbuda</t>
  </si>
  <si>
    <t>AI</t>
  </si>
  <si>
    <t>Anguilla</t>
  </si>
  <si>
    <t>AL</t>
  </si>
  <si>
    <t>Albania</t>
  </si>
  <si>
    <t>AM</t>
  </si>
  <si>
    <t>Armenia</t>
  </si>
  <si>
    <t>AO</t>
  </si>
  <si>
    <t>Angola</t>
  </si>
  <si>
    <t>AQ</t>
  </si>
  <si>
    <t>Antarctica</t>
  </si>
  <si>
    <t>Argentina</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</si>
  <si>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</si>
  <si>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</si>
  <si>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</si>
  <si>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</si>
  <si>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</si>
  <si>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</si>
  <si>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</si>
  <si>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</si>
  <si>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</si>
  <si>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</si>
  <si>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</si>
  <si>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</si>
  <si>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</si>
  <si>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</si>
  <si>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</si>
  <si>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</si>
  <si>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</si>
  <si>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</si>
  <si>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</si>
  <si>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</si>
  <si>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</si>
  <si>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</si>
  <si>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</si>
  <si>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</si>
  <si>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</si>
  <si>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</si>
  <si>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</si>
  <si>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</si>
  <si>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</si>
  <si>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</si>
  <si>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</si>
  <si>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</si>
  <si>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</si>
  <si>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</si>
  <si>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</si>
  <si>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</si>
  <si>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</si>
  <si>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</si>
  <si>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</si>
  <si>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</si>
  <si>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</si>
  <si>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</si>
  <si>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</si>
  <si>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</si>
  <si>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</si>
  <si>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</si>
  <si>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</si>
  <si>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</si>
  <si>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</si>
  <si>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</si>
  <si>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</si>
  <si>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</si>
  <si>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</si>
  <si>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</si>
  <si>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</si>
  <si>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</si>
  <si>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</si>
  <si>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</si>
  <si>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</si>
  <si>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</si>
  <si>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</si>
  <si>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</si>
  <si>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</si>
  <si>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</si>
  <si>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</si>
  <si>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</si>
  <si>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</si>
  <si>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</si>
  <si>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</si>
  <si>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</si>
  <si>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</si>
  <si>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</si>
  <si>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</si>
  <si>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</si>
  <si>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</si>
  <si>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</si>
  <si>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</si>
  <si>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</si>
  <si>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</si>
  <si>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</si>
  <si>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</si>
  <si>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</si>
  <si>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</si>
  <si>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</si>
  <si>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</si>
  <si>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</si>
  <si>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CY</t>
  </si>
  <si>
    <t>Cyprus</t>
  </si>
  <si>
    <t>CZ</t>
  </si>
  <si>
    <t>Czechia</t>
  </si>
  <si>
    <t>DE</t>
  </si>
  <si>
    <t>Germany</t>
  </si>
  <si>
    <t>DJ</t>
  </si>
  <si>
    <t>Djibouti</t>
  </si>
  <si>
    <t>DK</t>
  </si>
  <si>
    <t>Denmark</t>
  </si>
  <si>
    <t>DM</t>
  </si>
  <si>
    <t>Dominica</t>
  </si>
  <si>
    <t>DO</t>
  </si>
  <si>
    <t>Dominican Republic (the)</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</si>
  <si>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</si>
  <si>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</si>
  <si>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</si>
  <si>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</si>
  <si>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</si>
  <si>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</si>
  <si>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</si>
  <si>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</si>
  <si>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</si>
  <si>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</si>
  <si>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</si>
  <si>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</si>
  <si>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</si>
  <si>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</si>
  <si>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</si>
  <si>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</si>
  <si>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</si>
  <si>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</si>
  <si>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</si>
  <si>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</si>
  <si>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</si>
  <si>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(the) [Malvinas]</t>
  </si>
  <si>
    <t>FM</t>
  </si>
  <si>
    <t>Micronesia (Federated States of)</t>
  </si>
  <si>
    <t>FO</t>
  </si>
  <si>
    <t>Faroe Islands (the)</t>
  </si>
  <si>
    <t>FR</t>
  </si>
  <si>
    <t>France</t>
  </si>
  <si>
    <t>GA</t>
  </si>
  <si>
    <t>Gabon</t>
  </si>
  <si>
    <t>GB</t>
  </si>
  <si>
    <t>United Kingdom of Great Britain and Northern Ireland (the)</t>
  </si>
  <si>
    <t>GD</t>
  </si>
  <si>
    <t>Grenada</t>
  </si>
  <si>
    <t>GE</t>
  </si>
  <si>
    <t>Georgia</t>
  </si>
  <si>
    <t>GF</t>
  </si>
  <si>
    <t>French Guiana</t>
  </si>
  <si>
    <t>GG</t>
  </si>
  <si>
    <t>Guernsey</t>
  </si>
  <si>
    <t>GH</t>
  </si>
  <si>
    <t>Ghana</t>
  </si>
  <si>
    <t>GI</t>
  </si>
  <si>
    <t>Gibraltar</t>
  </si>
  <si>
    <t>GL</t>
  </si>
  <si>
    <t>Greenland</t>
  </si>
  <si>
    <t>GM</t>
  </si>
  <si>
    <t>Gambia (the)</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</si>
  <si>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</si>
  <si>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</si>
  <si>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</si>
  <si>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</si>
  <si>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</si>
  <si>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</si>
  <si>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</si>
  <si>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</si>
  <si>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</si>
  <si>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</si>
  <si>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</si>
  <si>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</si>
  <si>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</si>
  <si>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</si>
  <si>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</si>
  <si>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</si>
  <si>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</si>
  <si>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</si>
  <si>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</si>
  <si>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</si>
  <si>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</si>
  <si>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</si>
  <si>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</si>
  <si>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</si>
  <si>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</si>
  <si>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</si>
  <si>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</si>
  <si>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</si>
  <si>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</si>
  <si>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</si>
  <si>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</si>
  <si>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</si>
  <si>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</si>
  <si>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</si>
  <si>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</si>
  <si>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</si>
  <si>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</si>
  <si>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</si>
  <si>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</si>
  <si>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</si>
  <si>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</si>
  <si>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 (the)</t>
  </si>
  <si>
    <t>IQ</t>
  </si>
  <si>
    <t>Iraq</t>
  </si>
  <si>
    <t>IR</t>
  </si>
  <si>
    <t>Iran (Islamic Republic of)</t>
  </si>
  <si>
    <t>IS</t>
  </si>
  <si>
    <t>Iceland</t>
  </si>
  <si>
    <t>IT</t>
  </si>
  <si>
    <t>Italy</t>
  </si>
  <si>
    <t>JE</t>
  </si>
  <si>
    <t>Jersey</t>
  </si>
  <si>
    <t>JM</t>
  </si>
  <si>
    <t>Jamaica</t>
  </si>
  <si>
    <t>JO</t>
  </si>
  <si>
    <t>Jordan</t>
  </si>
  <si>
    <t>JP</t>
  </si>
  <si>
    <t>Japan</t>
  </si>
  <si>
    <t>KE</t>
  </si>
  <si>
    <t>Kenya</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</si>
  <si>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</si>
  <si>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</si>
  <si>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</si>
  <si>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</si>
  <si>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</si>
  <si>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</si>
  <si>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</si>
  <si>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</si>
  <si>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</si>
  <si>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</si>
  <si>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</si>
  <si>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</si>
  <si>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</si>
  <si>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</si>
  <si>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</si>
  <si>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</si>
  <si>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</si>
  <si>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</si>
  <si>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</si>
  <si>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</si>
  <si>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</si>
  <si>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</si>
  <si>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</si>
  <si>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</si>
  <si>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</si>
  <si>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</si>
  <si>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</si>
  <si>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</si>
  <si>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</si>
  <si>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</si>
  <si>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</si>
  <si>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</si>
  <si>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</si>
  <si>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</si>
  <si>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</si>
  <si>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</si>
  <si>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</si>
  <si>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</si>
  <si>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</si>
  <si>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</si>
  <si>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</si>
  <si>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</si>
  <si>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</si>
  <si>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</si>
  <si>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</si>
  <si>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</si>
  <si>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(the Republic of)</t>
  </si>
  <si>
    <t>ME</t>
  </si>
  <si>
    <t>Montenegro</t>
  </si>
  <si>
    <t>MF</t>
  </si>
  <si>
    <t>Saint Martin (French part)</t>
  </si>
  <si>
    <t>MG</t>
  </si>
  <si>
    <t>Madagascar</t>
  </si>
  <si>
    <t>MH</t>
  </si>
  <si>
    <t>Marshall Islands (the)</t>
  </si>
  <si>
    <t>MK</t>
  </si>
  <si>
    <t>North Macedonia</t>
  </si>
  <si>
    <t>ML</t>
  </si>
  <si>
    <t>Mali</t>
  </si>
  <si>
    <t>MM</t>
  </si>
  <si>
    <t>Myanmar</t>
  </si>
  <si>
    <t>MN</t>
  </si>
  <si>
    <t>Mongolia</t>
  </si>
  <si>
    <t>MO</t>
  </si>
  <si>
    <t>Macao</t>
  </si>
  <si>
    <t>MP</t>
  </si>
  <si>
    <t>Northern Mariana Islands (the)</t>
  </si>
  <si>
    <t>MQ</t>
  </si>
  <si>
    <t>Martinique</t>
  </si>
  <si>
    <t>MR</t>
  </si>
  <si>
    <t>Mauritania</t>
  </si>
  <si>
    <t>MS</t>
  </si>
  <si>
    <t>Montserrat</t>
  </si>
  <si>
    <t>MT</t>
  </si>
  <si>
    <t>Malta</t>
  </si>
  <si>
    <t>MU</t>
  </si>
  <si>
    <t>Mauritius</t>
  </si>
  <si>
    <t>MV</t>
  </si>
  <si>
    <t>Maldives</t>
  </si>
  <si>
    <t>MW</t>
  </si>
  <si>
    <t>Malawi</t>
  </si>
  <si>
    <t>Mexico</t>
  </si>
  <si>
    <t>MY</t>
  </si>
  <si>
    <t>Malaysia</t>
  </si>
  <si>
    <t>MZ</t>
  </si>
  <si>
    <t>Mozambique</t>
  </si>
  <si>
    <t>Namibia</t>
  </si>
  <si>
    <t>NC</t>
  </si>
  <si>
    <t>New Caledonia</t>
  </si>
  <si>
    <t>Niger (the)</t>
  </si>
  <si>
    <t>NF</t>
  </si>
  <si>
    <t>Norfolk Island</t>
  </si>
  <si>
    <t>NG</t>
  </si>
  <si>
    <t>Nigeria</t>
  </si>
  <si>
    <t>NI</t>
  </si>
  <si>
    <t>Nicaragua</t>
  </si>
  <si>
    <t>NL</t>
  </si>
  <si>
    <t>Netherlands (the)</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</si>
  <si>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</si>
  <si>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</si>
  <si>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</si>
  <si>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</si>
  <si>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</si>
  <si>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</si>
  <si>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</si>
  <si>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</si>
  <si>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</si>
  <si>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</si>
  <si>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</si>
  <si>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</si>
  <si>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</si>
  <si>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</si>
  <si>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</si>
  <si>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</si>
  <si>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</si>
  <si>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</si>
  <si>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</si>
  <si>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</si>
  <si>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</si>
  <si>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 (the)</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</si>
  <si>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</si>
  <si>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</si>
  <si>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</si>
  <si>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</si>
  <si>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</si>
  <si>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</si>
  <si>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</si>
  <si>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</si>
  <si>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</si>
  <si>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</si>
  <si>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</si>
  <si>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</si>
  <si>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</si>
  <si>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</si>
  <si>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</si>
  <si>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</si>
  <si>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</si>
  <si>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</si>
  <si>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</si>
  <si>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</si>
  <si>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Réunion</t>
  </si>
  <si>
    <t>RO</t>
  </si>
  <si>
    <t>Romania</t>
  </si>
  <si>
    <t>Serbia</t>
  </si>
  <si>
    <t>RU</t>
  </si>
  <si>
    <t>Russian Federation (the)</t>
  </si>
  <si>
    <t>RW</t>
  </si>
  <si>
    <t>Rwanda</t>
  </si>
  <si>
    <t>Saudi Arabia</t>
  </si>
  <si>
    <t>SB</t>
  </si>
  <si>
    <t>Solomon Islands</t>
  </si>
  <si>
    <t>SC</t>
  </si>
  <si>
    <t>Seychelles</t>
  </si>
  <si>
    <t>SD</t>
  </si>
  <si>
    <t>Sudan (the)</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</si>
  <si>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</si>
  <si>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</si>
  <si>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</si>
  <si>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</si>
  <si>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</si>
  <si>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</si>
  <si>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</si>
  <si>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</si>
  <si>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</si>
  <si>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</si>
  <si>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</si>
  <si>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</si>
  <si>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</si>
  <si>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</si>
  <si>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</si>
  <si>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</si>
  <si>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</si>
  <si>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</si>
  <si>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</si>
  <si>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</si>
  <si>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Suriname</t>
  </si>
  <si>
    <t>SS</t>
  </si>
  <si>
    <t>South Sudan</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</si>
  <si>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</si>
  <si>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</si>
  <si>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</si>
  <si>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</si>
  <si>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</si>
  <si>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</si>
  <si>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</si>
  <si>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</si>
  <si>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</si>
  <si>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</si>
  <si>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</si>
  <si>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</si>
  <si>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</si>
  <si>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</si>
  <si>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</si>
  <si>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</si>
  <si>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</si>
  <si>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</si>
  <si>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</si>
  <si>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</si>
  <si>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</si>
  <si>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</si>
  <si>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</si>
  <si>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</si>
  <si>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</si>
  <si>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</si>
  <si>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</si>
  <si>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</si>
  <si>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</si>
  <si>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</si>
  <si>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</si>
  <si>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</si>
  <si>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</si>
  <si>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</si>
  <si>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</si>
  <si>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</si>
  <si>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</si>
  <si>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</si>
  <si>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</si>
  <si>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</si>
  <si>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</si>
  <si>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</si>
  <si>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</si>
  <si>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</si>
  <si>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</si>
  <si>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</si>
  <si>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</si>
  <si>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</si>
  <si>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</si>
  <si>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</si>
  <si>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</si>
  <si>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</si>
  <si>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</si>
  <si>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</si>
  <si>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</si>
  <si>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</si>
  <si>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</si>
  <si>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</si>
  <si>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</si>
  <si>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</si>
  <si>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</si>
  <si>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</si>
  <si>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</si>
  <si>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</si>
  <si>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</si>
  <si>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</si>
  <si>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</si>
  <si>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</si>
  <si>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</si>
  <si>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</si>
  <si>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</si>
  <si>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</si>
  <si>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</si>
  <si>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</si>
  <si>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</si>
  <si>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</si>
  <si>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</si>
  <si>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</si>
  <si>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ZW</t>
  </si>
  <si>
    <t>Zimbabwe</t>
  </si>
  <si>
    <t>ZZ</t>
  </si>
  <si>
    <t>Unknown/Unspecified</t>
  </si>
  <si>
    <t>See Assignment-Course Codes tab</t>
  </si>
  <si>
    <t>Assignment-Course Codes</t>
  </si>
  <si>
    <t>Completed - Full Credit</t>
  </si>
  <si>
    <t>The student has completed the course content (for regular courses) or exhibits mastery of all course competencies (for Mastery Courses) and full credit has been awarded.</t>
  </si>
  <si>
    <t>Completed - No Credit</t>
  </si>
  <si>
    <t>The student has completed the course content (for regular courses) or has completed the term but not all competencies (for Mastery Courses) and no credit has been awarded.</t>
  </si>
  <si>
    <t>CP</t>
  </si>
  <si>
    <t>Completed - Partial Credit</t>
  </si>
  <si>
    <t>The student has completed the course content (for regular courses) and partial credit has been awarded.</t>
  </si>
  <si>
    <t>Left the School</t>
  </si>
  <si>
    <t>Student course was dropped due to the student disenrolling from the school.</t>
  </si>
  <si>
    <t>Schedule Change</t>
  </si>
  <si>
    <t xml:space="preserve">Student course was dropped to accommodate a change in the students course schedule. </t>
  </si>
  <si>
    <t>Correspondence Course</t>
  </si>
  <si>
    <t>Course material is provided to the student who works at their own pace and schedule.</t>
  </si>
  <si>
    <t xml:space="preserve">I </t>
  </si>
  <si>
    <t>Independent Study</t>
  </si>
  <si>
    <t>Student is studying independently.  A certified staff member of the district is providing some guidance and assessment.  The local district, based on the recommendation of that teacher of record, will grant credit to the student.</t>
  </si>
  <si>
    <t>Offsite</t>
  </si>
  <si>
    <t>Course where students receive direct instruction from an instructor through another provider (or program) and may not be an employee of the district.</t>
  </si>
  <si>
    <t>Regular Class</t>
  </si>
  <si>
    <t>Traditional course structure with a local teacher of record directly managing the learning environment for their students.</t>
  </si>
  <si>
    <t>V</t>
  </si>
  <si>
    <t>IDLA/Virtual/Distance course</t>
  </si>
  <si>
    <t>Course where students receive virtual instruction from an instructor through another provider and may not be an employee of the district.  Typically, a proctor may be assigned to monitor the students.</t>
  </si>
  <si>
    <t>EXP</t>
  </si>
  <si>
    <t>Expulsion</t>
  </si>
  <si>
    <t>An action taken by the LEA removing a child from his/her regular school for disciplinary purposes for the remainder of the school year or longer in accordance with local educational agency policy.  Include removals resulting from violations of the Gun-Free Schools Act that are modified to less than 365 days.  Students are typically considered no longer enrolled for attendance purposes, but are eligible to return at the end of the expulsion period.</t>
  </si>
  <si>
    <t>ISS</t>
  </si>
  <si>
    <t>In School Suspension</t>
  </si>
  <si>
    <t>Temporary removal of a child from his/her regular classroom(s) for disciplinary purposes but where the student remains under the direct supervision of school personnel.  Direct supervision means school personnel are physically in the same location as the students under their supervision.</t>
  </si>
  <si>
    <t>OSS</t>
  </si>
  <si>
    <t>Out of School Suspension</t>
  </si>
  <si>
    <t>Temporary removal of a child from his/her regular classroom(s) for disciplinary purposes to another setting (e.g. home, behavior center).  Includes both removals in which no services are provided -- for Special ed students, less than 10 days, and those in which student receives some services according to an IEP.  Students are considered to still be enrolled.</t>
  </si>
  <si>
    <t>PLT</t>
  </si>
  <si>
    <t>Change of Placement (long-term)</t>
  </si>
  <si>
    <t xml:space="preserve">For children with disabilities and an active IEP, instances in which the IEP team determine a change in placement of the student from his/her current educational placement to a new educational placement is the least restrictive environment. </t>
  </si>
  <si>
    <t>RHO</t>
  </si>
  <si>
    <t>Removal by Hearing Officer</t>
  </si>
  <si>
    <t>For children with disabilities and an active IEP, instances in which an impartial hearing officer orders the removal of the child from his/her current educational placement to an appropriate alternative educational setting for not more than 45 school days based on the hearing officer’s determination that maintaining the child’s current placement is substantially likely to result in injury to the child or others.  The IEP team is responsible for determining the interim alternative educational setting.</t>
  </si>
  <si>
    <t>URI</t>
  </si>
  <si>
    <t>Unilateral Removal</t>
  </si>
  <si>
    <t>For children with disabilities and an active IEP, instances in which school personnel (not the IEP team) order the removal of the child from his/her current educational placement to an appropriate interim alternative educational setting for not more than 45 school days.  The IEP team is responsible for determining the interim alternative educational setting.  Unilateral removals do not include decision by the child’s IEP team to change a student’s placement.</t>
  </si>
  <si>
    <t>Moved</t>
  </si>
  <si>
    <t xml:space="preserve">Child moved out of district during the Early Childhood Transition process - Allowable exception to the Early Childhood Transition timeline. </t>
  </si>
  <si>
    <t>Other</t>
  </si>
  <si>
    <t xml:space="preserve">Other reason for delay - This option requires to provide a clear description of the reason for delay in the Early Childhood Transition timeline but is not an exception to that timeline. </t>
  </si>
  <si>
    <t>Provide additional information in "Notes". (Required)</t>
  </si>
  <si>
    <t>Parental</t>
  </si>
  <si>
    <t>Parent refuses to provide consent or repeatedly fails or refuses to produce the student for an evaluation, causing delays in evaluation or initial services.  Allowable exception to the Early Childhood Transition timeline.</t>
  </si>
  <si>
    <t>D</t>
  </si>
  <si>
    <t>Direct Certified - Free</t>
  </si>
  <si>
    <t>Identified as economically disadvantaged, determined by individual eligibility through Direct Certification as eligible to receive free meals (breakfast and/or lunch) in the National School Lunch Program.</t>
  </si>
  <si>
    <t>DCR</t>
  </si>
  <si>
    <t>Direct Certified - Reduced</t>
  </si>
  <si>
    <t>Identified as economically disadvantaged, determined by individual eligibility through Direct Certification as eligible to receive reduced-price meals (breakfast and/or lunch) in the National School Lunch Program.</t>
  </si>
  <si>
    <t>F</t>
  </si>
  <si>
    <t>Free Lunch Eligible</t>
  </si>
  <si>
    <t>Identified as economically disadvantaged, determined by individual eligibility, other than Direct Certification, to receive free meals (breakfast and/or lunch) in the National School Lunch Program.</t>
  </si>
  <si>
    <t>Reduced Price Lunch eligible</t>
  </si>
  <si>
    <t>Identified as economically disadvantaged, determined by individual eligibility, other than Direct Certification, to receive reduced-price meals (breakfast and/or lunch) in the National School Lunch Program.</t>
  </si>
  <si>
    <t>S</t>
  </si>
  <si>
    <t>Survey - Household Income</t>
  </si>
  <si>
    <t>Identified as economically disadvantaged, determined by a qualified measure outside of the NSLP</t>
  </si>
  <si>
    <t>Not Eligible</t>
  </si>
  <si>
    <t>Not individually identified as economically disadvantaged.</t>
  </si>
  <si>
    <t>Associate</t>
  </si>
  <si>
    <t>B</t>
  </si>
  <si>
    <t>Bachelors</t>
  </si>
  <si>
    <t>Bachelor of Arts</t>
  </si>
  <si>
    <t>Bachelor of Science</t>
  </si>
  <si>
    <t>Doctorate</t>
  </si>
  <si>
    <t>Ed Specialist (Ed.D.)</t>
  </si>
  <si>
    <t>HS</t>
  </si>
  <si>
    <t>High School</t>
  </si>
  <si>
    <t>Masters</t>
  </si>
  <si>
    <t>Masters of Arts</t>
  </si>
  <si>
    <t>Masters of Science</t>
  </si>
  <si>
    <t>OS</t>
  </si>
  <si>
    <t>Occupational Specialist</t>
  </si>
  <si>
    <t>Active</t>
  </si>
  <si>
    <t>Active employee with current assignments.</t>
  </si>
  <si>
    <t>Inactive</t>
  </si>
  <si>
    <t xml:space="preserve">The employee is currently on an active contract within the District, but not currently working or having active assignments. i.e. Does not have any currently active assignments, but is expected to return to active status at some point in the future.  Examples include: sabbatical, maternity leave, etc. </t>
  </si>
  <si>
    <t>T</t>
  </si>
  <si>
    <t>Terminated</t>
  </si>
  <si>
    <t>Employee is no longer employed by the school district.</t>
  </si>
  <si>
    <t>If employee is known to not be returning to the school district in the following school year, exit the employee in the June submission and record a status of "T"</t>
  </si>
  <si>
    <t>1A</t>
  </si>
  <si>
    <t>Returning Student</t>
  </si>
  <si>
    <t xml:space="preserve">A student who had previously entered any class in a school and then continues his or her membership in the same school from one term to the next because of a promotion or demotion, or who transfers from one homeroom or class to another during a regular school session.
</t>
  </si>
  <si>
    <t>Re-entry from the same school with no interruption of schooling</t>
  </si>
  <si>
    <t>1B</t>
  </si>
  <si>
    <t>Transfer from Within District</t>
  </si>
  <si>
    <t xml:space="preserve">A student who transfers from a public school that is located within the administrative boundaries of the same local education agency.
</t>
  </si>
  <si>
    <t>1C</t>
  </si>
  <si>
    <t>Initial Enrollment</t>
  </si>
  <si>
    <t xml:space="preserve">A student already residing in the United States enters a school for the first time in the United States or an outlying area.
</t>
  </si>
  <si>
    <t>2A</t>
  </si>
  <si>
    <t>Transfer From Other Public Idaho District or Charter</t>
  </si>
  <si>
    <t xml:space="preserve">A student who transfers from a public school that is not located within the administrative boundaries of the same local education agency but is in the same state.
</t>
  </si>
  <si>
    <t>2B</t>
  </si>
  <si>
    <t>Transfer in From Non Public Setting</t>
  </si>
  <si>
    <t xml:space="preserve">A student who transfers from a private school (operated by a non-governmental, group or organization) or home school.
</t>
  </si>
  <si>
    <t>2C</t>
  </si>
  <si>
    <t>Transfer In From Out of State</t>
  </si>
  <si>
    <t xml:space="preserve">A student who transfers from a public school that is located in another state or from a United States overseas dependents school.
</t>
  </si>
  <si>
    <t>3A</t>
  </si>
  <si>
    <t>Returning Dropout</t>
  </si>
  <si>
    <t xml:space="preserve">A student who had previously entered any class in a school and then re-enters the same school after he or she has left school due to dropping out during a regular school session.
</t>
  </si>
  <si>
    <t>4A</t>
  </si>
  <si>
    <t>Entering Foreign Exchange student</t>
  </si>
  <si>
    <t xml:space="preserve">A student who has recently moved from a foreign country where he or she had been enrolled in school and enters a school in the United States or an outlying area as a foreign exchange student.
</t>
  </si>
  <si>
    <t>4B</t>
  </si>
  <si>
    <t>Entering Foreign Student</t>
  </si>
  <si>
    <t xml:space="preserve">A student who has recently moved from a foreign country where he or she had been enrolled in school and enters a school in the United States or an outlying area for the first time.
</t>
  </si>
  <si>
    <t>5A</t>
  </si>
  <si>
    <t>Returning Expelled or from Other Temporary Ban</t>
  </si>
  <si>
    <t>Student is returning after having been expelled or after some other temporary status that prevented enrollment.</t>
  </si>
  <si>
    <t>5B</t>
  </si>
  <si>
    <t>Return from Medical Leave</t>
  </si>
  <si>
    <t xml:space="preserve">A student who had previously entered any class in a school and then re-enters the same school after he or she has left school for medical leave during a regular school session.
</t>
  </si>
  <si>
    <t>5E</t>
  </si>
  <si>
    <t>Reenrolling student after temporary parental withdrawal</t>
  </si>
  <si>
    <t>A student who had previously entered any class in a school and then re-enters the same school after he or she has left school for temporary parental withdrawal during a regular school session.</t>
  </si>
  <si>
    <t>6B</t>
  </si>
  <si>
    <t>Repeating 12th Grade</t>
  </si>
  <si>
    <t>A student who is returning after 4 years of high school to fulfill Idaho high school graduation requirements outlined in 08.02.03.105</t>
  </si>
  <si>
    <t>6C</t>
  </si>
  <si>
    <t>Special Ed Community based transition services</t>
  </si>
  <si>
    <t>A student who is returning after 4 years of high school to participate in special education community based transition services</t>
  </si>
  <si>
    <t>01</t>
  </si>
  <si>
    <t>Specific Learning Disability</t>
  </si>
  <si>
    <t>Specific Learning Disability (SLD) means a disorder in one or more of the basic psychological processes involved in understanding or in using language, spoken or written, that may manifest itself in the imperfect ability to listen, think, speak, read, write, spell, or to do mathematical calculations, including conditions such as perceptual disabilities, brain injury, minimal brain dysfunction, dyslexia, and developmental aphasia.</t>
  </si>
  <si>
    <t>02</t>
  </si>
  <si>
    <t>Intellectual Disability</t>
  </si>
  <si>
    <t xml:space="preserve">Intellectual Disability is defined as significantly sub-average intellectual functioning that exists concurrently with deficits in adaptive behavior. These deficits are manifested during the student’s developmental period, and adversely affect the student’s educational performance. </t>
  </si>
  <si>
    <t>04</t>
  </si>
  <si>
    <t>Speech Impairment</t>
  </si>
  <si>
    <t>The term speech impairment includes articulation/phonology disorders, voice disorders, or fluency disorders that adversely impact a child's educational performance.</t>
  </si>
  <si>
    <t>05</t>
  </si>
  <si>
    <t>Language Impairment</t>
  </si>
  <si>
    <t>A language impairment exists when there is a disorder or delay in the development of comprehension and/or the uses of spoken or written language and/or other symbol systems.</t>
  </si>
  <si>
    <t>06</t>
  </si>
  <si>
    <t>Emotional Behavioral Disorder</t>
  </si>
  <si>
    <t>A student with an emotional behavioral disorder exhibits one or more of the following characteristics over a long period of time, and to a marked degree, that adversely affects his or hers educational performance
(a) An inability to learn that is not primarily the result of intellectual disability; hearing, vision, or motor impairment, or other health impairment; 
(b) An inability to build or maintain satisfactory interpersonal relationships with peers and teachers;
(c) Inappropriate types of behavior or feelings under normal circumstances;
(d) A general pervasive mood of unhappiness or depression;
(e) A tendency to develop physical symptoms or fears associated with personal or school problems; or
(f) Schizophrenia.</t>
  </si>
  <si>
    <t>07</t>
  </si>
  <si>
    <t>Other Health Impairment</t>
  </si>
  <si>
    <t>A student classified as having Other Health Impairment exhibits limited strength, vitality, or alertness, including heightened alertness, including heightened alertness to environmental stimuli that results in limited alertness with respect to the educational environment that is due to chronic or acute health problems. These health problems may include, but are not limited to, asthma, attention deficit disorder (ADD), attention deficit hyperactivity disorder (ADHD), cancer, diabetes, epilepsy, Fetal Alcohol Syndrome, a heart condition, hemophilia, lead poisoning, leukemia, nephritis, rheumatic fever, sickle cell anemia, Tourette syndrome, and stroke to such a degree that it adversely affects the student’s educational performance.</t>
  </si>
  <si>
    <t>08</t>
  </si>
  <si>
    <t>Orthopedic Impairment</t>
  </si>
  <si>
    <t xml:space="preserve">Orthopedic impairment means a severe physical limitation that adversely affects a student's educational performance. The term includes impairments caused by congenital anomaly (clubfoot, or absence of an appendage), an impairment caused by disease (poliomyelitis, bone tuberculosis, etc.), or an impairment from other causes (cerebral palsy, amputations, and fractures or burns that cause contracture).
</t>
  </si>
  <si>
    <t>Deaf or Hard of Hearing</t>
  </si>
  <si>
    <t>Deaf or Hard of Hearing means a child with a hearing loss, whether permanent or fluctuating, that impairs the access, comprehension, and/or use of linguistic information through hearing, with or without amplification, and that adversely affects a child’s educational performance.</t>
  </si>
  <si>
    <t>Visual Impairment</t>
  </si>
  <si>
    <t>Visual impairment refers to an impairment in vision that, even with correction, adversely affects a student’s education performance. The term includes both partial sight and blindness. Partial sight refers to the ability to use vision as one channel of learning if educational materials are adapted. Blindness refers to the prohibition of vision as a channel of learning, regardless of the adaptation of materials.</t>
  </si>
  <si>
    <t>Deaf-Blindness</t>
  </si>
  <si>
    <t>A student with deaf-blindness demonstrates both hearing and visual impairments, the combination of which causes such severe communication and other developmental and educational needs that the student cannot be appropriately educated with special education services designed solely for students with deafness or blindness.</t>
  </si>
  <si>
    <t>Multiple Disabilities</t>
  </si>
  <si>
    <t>Multiple disabilities are two or more co-existing severe impairments, one of which usually includes an intellectual disability, such as intellectual disability/blindness, intellectual disability/orthopedic, etc. Students with multiple disabilities exhibit impairments that are likely to be life long, significantly interfere with independent functioning, and may necessitate environmental modifications to enable the student to participate in school and society. The term does not include deaf/blindness.</t>
  </si>
  <si>
    <t>Developmental Delay</t>
  </si>
  <si>
    <t xml:space="preserve">The term developmental delay may be used only for students ages three (3) until their tenth (10th) birthday who are experiencing developmental delays as measured by appropriate diagnostic instruments and procedures in one or more of the following areas. 
(a) cognitive development -- includes skills involving perceptual discrimination, memory, reasoning, academic skills, and conceptual development;
(b) physical development -- includes skills involving coordination of both the large and small muscles of the body (i.e., gross, fine, and perceptual motor skills);
(c) communication development -- includes skills involving expressive and receptive communication abilities, both verbal and nonverbal;
(d) social or emotional development -- includes skills involving meaningful social interactions with adults and other children including self-expression and coping skills; or
(e) adaptive development -- includes daily living skills (e.g., eating, dressing, and toileting) as well as skills involving attention and personal responsibility.
</t>
  </si>
  <si>
    <r>
      <rPr>
        <b/>
        <sz val="10"/>
        <rFont val="Arial"/>
        <family val="2"/>
      </rPr>
      <t>Ages 3-9 only.</t>
    </r>
    <r>
      <rPr>
        <sz val="10"/>
        <rFont val="Arial"/>
        <family val="2"/>
      </rPr>
      <t xml:space="preserve"> A student cannot qualify for special education services under the exceptionality of 14 - Developmental Delay, beyond his or her tenth (10th) birthday (See Chapter 4 of the Idaho Special Education Manual).</t>
    </r>
  </si>
  <si>
    <t>Autism Spectrum Disorder</t>
  </si>
  <si>
    <t xml:space="preserve">Autism Spectrum Disorder is a developmental disability, generally evident in the early developmental period, significantly affecting verbal or nonverbal communication and social interaction, and adversely affecting educational performance.  </t>
  </si>
  <si>
    <t>Traumatic Brain Injury</t>
  </si>
  <si>
    <t>Traumatic brain injury refers to an acquired injury to the brain caused by an external physical force resulting in a total or partial functional disability or psychosocial impairment, or both, that adversely affects educational performance. The term applies to open or closed head injuries resulting in impairments in one or more areas such as cognition, language, memory, attention, reasoning, abstract thinking, judgment, problem solving, sensory, perceptual and motor abilities, psychosocial behavior, physical functions, information processing, and speech. The term does not apply to congenital or degenerative brain injuries or to brain injuries induced by birth trauma.</t>
  </si>
  <si>
    <t>Within District To Same School</t>
  </si>
  <si>
    <t xml:space="preserve">Category 1A identifies students who are ending the current school year and are expected to return to the same school for the following school year. </t>
  </si>
  <si>
    <t>Students who are expecting to return to the same school the following school year; or
Students who have not met Idaho graduation requirements, expected to return to the same school the following school year</t>
  </si>
  <si>
    <t>Within District To Different Public School</t>
  </si>
  <si>
    <t>Category 1B identifies students who are transferring to a different public school within the same district.</t>
  </si>
  <si>
    <t>Students who are expected to enroll in different public school within the same district; or
Students who are making a mid-term grade level change within the same district but different public school; or
Students who are transferring to a detention center within the same district.</t>
  </si>
  <si>
    <t>Within Idaho To Different Public School District</t>
  </si>
  <si>
    <t>Category 2A identifies students who are transferring out of current district into a different Idaho public school district.</t>
  </si>
  <si>
    <t>Students who are transferring to another Idaho Public School District; or
Students who are transferring to Idaho School for Deaf and Blind; or
Students who are transferring to a detention center in a different district.</t>
  </si>
  <si>
    <t>Within Idaho To Private School or Federal/State Setting</t>
  </si>
  <si>
    <t>Category 2B identifies students who are exiting the public school system and entering a private or other non-public/federal or state education setting.</t>
  </si>
  <si>
    <t xml:space="preserve">Students who are transferring to an Idaho Private school; or
Students who are transferring to an education setting governed by a federal agency, in Idaho (i.e. Bureau of Indian Education, Job Corps); or
Students who are transferring to an educational setting governed by an Idaho State Agency (i.e. Department of Correction, Department of Juvenile Corrections).
</t>
  </si>
  <si>
    <t>Transfer Out of Idaho to US Public or Non-Public Setting</t>
  </si>
  <si>
    <t xml:space="preserve">Category 2C identifies students who are moving or transferring out of Idaho and into another U.S. public or non-public education setting. </t>
  </si>
  <si>
    <t>Students who are transferring out of Idaho to another U.S. Public School District; or
Students who are transferring out of Idaho to a private school in the U.S.; or
Students who are transferring out of Idaho to a federal or state education setting in a U.S. state.</t>
  </si>
  <si>
    <t>2D</t>
  </si>
  <si>
    <t>Transfer Out of Country</t>
  </si>
  <si>
    <t>Category 2D identifies students who are moving out of country with no expectations of returning.</t>
  </si>
  <si>
    <t>Students who are permanently transferring/moving out of country.</t>
  </si>
  <si>
    <t>2E</t>
  </si>
  <si>
    <t>Within Idaho To Homeschool</t>
  </si>
  <si>
    <t>Category 2E identifies students who are exiting the public school system and entering homeschool setting within Idaho.</t>
  </si>
  <si>
    <t>Students exiting Idaho Public School to become homeschooled.</t>
  </si>
  <si>
    <t>Confirmed Drop Out</t>
  </si>
  <si>
    <t>Category 3A identifies students who have informed the school that they are dropping out.</t>
  </si>
  <si>
    <t>Students who notify the school that they are dropping out.</t>
  </si>
  <si>
    <t>3B</t>
  </si>
  <si>
    <t>Reached Maximum Age</t>
  </si>
  <si>
    <t>Category 3B identifies students who have reached maximum school age.</t>
  </si>
  <si>
    <t>Students who have reached the maximum school age for 18-21 transitional services.</t>
  </si>
  <si>
    <t>3C</t>
  </si>
  <si>
    <t>Expelled</t>
  </si>
  <si>
    <t>Category 3C identifies students removed from the school system due to expulsion; not expected to return.</t>
  </si>
  <si>
    <t>Students who have been permanently expelled.</t>
  </si>
  <si>
    <t>3D</t>
  </si>
  <si>
    <t>Transfer to Adult Education</t>
  </si>
  <si>
    <t>Category 3D identifies students who are exiting secondary school to enroll in a training program or adult education program that will not lead to an Idaho-approved high school diploma.</t>
  </si>
  <si>
    <t>Students who will be enrolling in another vocational education setting, which will not lead to a regular high school diploma (such as a GED). 
** There is NO cooperative agreement with the vocational education provider and the local district.</t>
  </si>
  <si>
    <t>3E</t>
  </si>
  <si>
    <t>Unknown</t>
  </si>
  <si>
    <t xml:space="preserve">Category 3E identifies students whose status is unknown. </t>
  </si>
  <si>
    <t>Students who are not known to be attending school, but have not informed the district that they have dropped out; or
Students believed to have moved away but for whom the district cannot verify enrollment in school elsewhere; or
Students dropped from attendance rosters after excessive truancy.</t>
  </si>
  <si>
    <t>Graduated – Met State Standards</t>
  </si>
  <si>
    <t>Category 4A identifies students who have graduated with a regular high school diploma and is fully aligned with Idaho State High School Graduation Requirements. 08.02.03.105</t>
  </si>
  <si>
    <t>Graduated by completing all necessary high school credit/content graduation requirements, with or without accommodations, and have met any additional graduation requirements. 08.02.03.105
** Special Ed students who graduate with 4A should be exited from special education and are no longer entitled to Free Appropriate Public Education (FAPE)
** Students who have completed adapted (modified or differentiated) course requirements (as determined by an IEP team) should be coded as 4C.</t>
  </si>
  <si>
    <t>4C</t>
  </si>
  <si>
    <t>Completed - Adapted Requirements</t>
  </si>
  <si>
    <t>Category 4C identifies students that did NOT meet Idaho State High School Graduation Requirements outlined in  08.02.03.105 but whose program of study addressed adapted (modified or differentiated) coursework as outlined in an IEP</t>
  </si>
  <si>
    <t>Students with disabilities who have satisfied an IEP but NOT regular Idaho State High School Graduation Requirements; 
** Student who qualify for special education are entitled to FAPE until the semester in which the student turns 21 - IDAPA 08.02.03.109.07  
** Students with this exit code are counted and reported as non graduates for Adjusted Cohort Graduation Rate.</t>
  </si>
  <si>
    <t>4G</t>
  </si>
  <si>
    <t>Early Graduate 1 Year</t>
  </si>
  <si>
    <t>Category 4G identifies students who have graduated 1 year early and eligible for MAP one Scholarship.
33-4602(5) Any student who successfully completes public school grades 1 through 12 curriculum at least one (1) year early shall be eligible for an advanced opportunities scholarship.</t>
  </si>
  <si>
    <t>Students who have graduated 1 year early and eligible for MAP one Scholarship.
33-4602(5) Any student who successfully completes public school grades 1 through 12 curriculum at least one (1) year early shall be eligible for an advanced opportunities scholarship.</t>
  </si>
  <si>
    <t>4H</t>
  </si>
  <si>
    <t>Early Graduate 2 Year</t>
  </si>
  <si>
    <t>Category 4H identifies students who have graduated 2 years early and eligible for MAP two Scholarship.
33-4602(5) Any student who successfully completes public school grades 1 through 12 curriculum at least one (1) year early shall be eligible for an advanced opportunities scholarship.</t>
  </si>
  <si>
    <t>Students who have graduated 2 years early and eligible for MAP two Scholarship.
33-4602(5) Any student who successfully completes public school grades 1 through 12 curriculum at least one (1) year early shall be eligible for an advanced opportunities scholarship.</t>
  </si>
  <si>
    <t>4I</t>
  </si>
  <si>
    <t>Early Graduate 3 Year</t>
  </si>
  <si>
    <t>Category 4I identifies students who have graduated 3 years early and eligible for MAP three Scholarship.
33-4602(5) Any student who successfully completes public school grades 1 through 12 curriculum at least one (1) year early shall be eligible for an advanced opportunities scholarship.</t>
  </si>
  <si>
    <t>Students who have graduated 3 years early and eligible for MAP three Scholarship.
33-4602(5) Any student who successfully completes public school grades 1 through 12 curriculum at least one (1) year early shall be eligible for an advanced opportunities scholarship.</t>
  </si>
  <si>
    <t>Temporarily Unenrolled</t>
  </si>
  <si>
    <t xml:space="preserve">Category 5A identifies students who are temporarily unenrolled from a district and are expected to return. </t>
  </si>
  <si>
    <t xml:space="preserve">Students from an alternative setting temporarily removed for attendance reasons but expected to reenroll with the next session; or
Students prevented from attending school because they have not presented proper evidence of required immunizations; or
Students temporarily traveling out of state and expected to return; or
Students who are participating in seasonal work; or
Students who are temporarily unenrolled from a district for disciplinary or other eligibility reasons. </t>
  </si>
  <si>
    <t>Medical Leave/Permanent Incapacitation</t>
  </si>
  <si>
    <t xml:space="preserve">Category 5B identifies students who cannot receive education services because of a severe/long-term medical condition or the location of treatment. 
</t>
  </si>
  <si>
    <t xml:space="preserve">Students may be participating in drug treatment or residing in rehabilitative centers. 
Students may be chronically ill, or suffer from an illness of such severity that they cannot receive education services. 
</t>
  </si>
  <si>
    <t>5C</t>
  </si>
  <si>
    <t>US Resident Exiting to Foreign Exchange Program</t>
  </si>
  <si>
    <t xml:space="preserve">Category 5C identifies students who are U.S. citizens and have withdrawn from an Idaho public school system to participate in a foreign exchange program in another country. </t>
  </si>
  <si>
    <t xml:space="preserve">Idaho resident students leaving to participate in a foreign exchange program in another country </t>
  </si>
  <si>
    <t>5F</t>
  </si>
  <si>
    <t>Foreign Exchange Student Exiting District/School</t>
  </si>
  <si>
    <t xml:space="preserve">Category 5F identifies foreign exchange students who are withdrawing from the U.S. school system to switch schools or districts or to return to their home country from participation in their foreign exchange program. </t>
  </si>
  <si>
    <t>Non-U.S. resident exchange visitors/students switching districts, schools or leaving Idaho to return to their home country, from participating in a foreign exchange program.</t>
  </si>
  <si>
    <t>6A</t>
  </si>
  <si>
    <t>Deceased</t>
  </si>
  <si>
    <t>Category 6A identifies students who have passed away.</t>
  </si>
  <si>
    <t>Students who have passed away.</t>
  </si>
  <si>
    <t>Extracurricular activities; e.g. coaching, debate, special music, drama</t>
  </si>
  <si>
    <t>Funded by code 10 - General Fund</t>
  </si>
  <si>
    <t>Driver training</t>
  </si>
  <si>
    <t>Funded by code 09 - Other State/Local</t>
  </si>
  <si>
    <t>Fringe Benefit Cash Amount (Cash from Pool Allotment)</t>
  </si>
  <si>
    <t>Special curriculum assignments and department heads</t>
  </si>
  <si>
    <t>E</t>
  </si>
  <si>
    <t>Extended Summer Contracts (paid from funds other than general maintenance and operation)</t>
  </si>
  <si>
    <t>Stipend or Bonus (paid from general funds)</t>
  </si>
  <si>
    <t>G</t>
  </si>
  <si>
    <t>Extended Summer Contracts (not reimbursed by Professional-Technical)</t>
  </si>
  <si>
    <t>L</t>
  </si>
  <si>
    <t>Leadership Premium (Per I.C. 33-1004J)</t>
  </si>
  <si>
    <t>National Board Certified Benefit</t>
  </si>
  <si>
    <t>Stipend or Bonus (paid from federal funds)</t>
  </si>
  <si>
    <t>Funded by code 08 - Federal Fund</t>
  </si>
  <si>
    <t>Stipend or Bonus (paid from other state funds)</t>
  </si>
  <si>
    <t>512</t>
  </si>
  <si>
    <t>Elementary School Program</t>
  </si>
  <si>
    <t>515</t>
  </si>
  <si>
    <t>Secondary School Program</t>
  </si>
  <si>
    <t>517</t>
  </si>
  <si>
    <t>Alternative School Program</t>
  </si>
  <si>
    <t>519</t>
  </si>
  <si>
    <t>Vocational-Technical Program</t>
  </si>
  <si>
    <t>521</t>
  </si>
  <si>
    <r>
      <t>Special Education Program</t>
    </r>
    <r>
      <rPr>
        <i/>
        <sz val="10"/>
        <rFont val="Arial"/>
        <family val="2"/>
      </rPr>
      <t xml:space="preserve"> (formerly Exceptional Child Program) </t>
    </r>
  </si>
  <si>
    <t>522</t>
  </si>
  <si>
    <r>
      <t>Special Education Preschool Program</t>
    </r>
    <r>
      <rPr>
        <i/>
        <sz val="10"/>
        <rFont val="Arial"/>
        <family val="2"/>
      </rPr>
      <t xml:space="preserve"> (formerly Preschool Exceptional Prog.)</t>
    </r>
  </si>
  <si>
    <t>524</t>
  </si>
  <si>
    <t>Gifted &amp; Talented Program</t>
  </si>
  <si>
    <t>531</t>
  </si>
  <si>
    <t>Interscholastic Program</t>
  </si>
  <si>
    <t>532</t>
  </si>
  <si>
    <t>School Activity Program</t>
  </si>
  <si>
    <t>541</t>
  </si>
  <si>
    <t>Summer School Program</t>
  </si>
  <si>
    <t>542</t>
  </si>
  <si>
    <t>Adult School Program</t>
  </si>
  <si>
    <t>546</t>
  </si>
  <si>
    <t>Detention Center Program</t>
  </si>
  <si>
    <t>611</t>
  </si>
  <si>
    <t>Attendance - Guidance - Health Program</t>
  </si>
  <si>
    <t>616</t>
  </si>
  <si>
    <r>
      <t xml:space="preserve">Special Education Support Services Program </t>
    </r>
    <r>
      <rPr>
        <i/>
        <sz val="10"/>
        <rFont val="Arial"/>
        <family val="2"/>
      </rPr>
      <t>(formerly Spec. Services Prog.)</t>
    </r>
  </si>
  <si>
    <t>621</t>
  </si>
  <si>
    <t>Instruction Improvement Program</t>
  </si>
  <si>
    <t>622</t>
  </si>
  <si>
    <t>Educational Media Program</t>
  </si>
  <si>
    <t>623</t>
  </si>
  <si>
    <t>Instruction-Related Technology Program</t>
  </si>
  <si>
    <t>624</t>
  </si>
  <si>
    <t>Books and Periodicals</t>
  </si>
  <si>
    <t>631</t>
  </si>
  <si>
    <t>Board of Education Program</t>
  </si>
  <si>
    <t>632</t>
  </si>
  <si>
    <t>District Administration Program</t>
  </si>
  <si>
    <t>641</t>
  </si>
  <si>
    <t>School Administration Program</t>
  </si>
  <si>
    <t>651</t>
  </si>
  <si>
    <t>Business Operation Program</t>
  </si>
  <si>
    <t>655</t>
  </si>
  <si>
    <t>Central Service Program</t>
  </si>
  <si>
    <t>656</t>
  </si>
  <si>
    <t>Administrative Technology Service</t>
  </si>
  <si>
    <t>661</t>
  </si>
  <si>
    <t>Buildings - Care Program (Custodial)</t>
  </si>
  <si>
    <t>663</t>
  </si>
  <si>
    <t>Maintenance - Non-Student Occupied</t>
  </si>
  <si>
    <t>664</t>
  </si>
  <si>
    <t>Maintenance - Buildings and Equipment</t>
  </si>
  <si>
    <t>665</t>
  </si>
  <si>
    <t>Maintenance - Grounds</t>
  </si>
  <si>
    <t>667</t>
  </si>
  <si>
    <t>Security Program</t>
  </si>
  <si>
    <t>681</t>
  </si>
  <si>
    <t>Pupil-To-School Transportation. Program</t>
  </si>
  <si>
    <t>682</t>
  </si>
  <si>
    <t>Pupil-Activity Transportation Program</t>
  </si>
  <si>
    <t>683</t>
  </si>
  <si>
    <t>General Transportation Program</t>
  </si>
  <si>
    <t>691</t>
  </si>
  <si>
    <t>Other Support Services Program</t>
  </si>
  <si>
    <t>710</t>
  </si>
  <si>
    <t>Child Nutrition Program</t>
  </si>
  <si>
    <t>720</t>
  </si>
  <si>
    <t>Community Services Program</t>
  </si>
  <si>
    <t>730</t>
  </si>
  <si>
    <t>Enterprise Operations Program</t>
  </si>
  <si>
    <t>810</t>
  </si>
  <si>
    <t>Capital Assets</t>
  </si>
  <si>
    <t>811</t>
  </si>
  <si>
    <t>Capital Assets - Non-Student Occupied (&amp; Student-Occupied Bldg Non-Qualifying Expenditures)</t>
  </si>
  <si>
    <t>911</t>
  </si>
  <si>
    <t>Debt Services Program - Principal</t>
  </si>
  <si>
    <t>912</t>
  </si>
  <si>
    <t>Debt Services Program - Interest</t>
  </si>
  <si>
    <t>913</t>
  </si>
  <si>
    <t>Debt Services Program - Refunded Debt</t>
  </si>
  <si>
    <t>920</t>
  </si>
  <si>
    <t>Fund Transfers - Out</t>
  </si>
  <si>
    <t>General M &amp; O</t>
  </si>
  <si>
    <t>220</t>
  </si>
  <si>
    <t xml:space="preserve">Federal Forest Reserve </t>
  </si>
  <si>
    <t>230</t>
  </si>
  <si>
    <t>Local Special Projects</t>
  </si>
  <si>
    <t>231</t>
  </si>
  <si>
    <t>232</t>
  </si>
  <si>
    <t>233</t>
  </si>
  <si>
    <t>234</t>
  </si>
  <si>
    <t>235</t>
  </si>
  <si>
    <t>236</t>
  </si>
  <si>
    <t>237</t>
  </si>
  <si>
    <t>238</t>
  </si>
  <si>
    <t>239</t>
  </si>
  <si>
    <t>240</t>
  </si>
  <si>
    <t>School Building Maintenance (Student-Occupied)</t>
  </si>
  <si>
    <t>241</t>
  </si>
  <si>
    <t>Driver Education - State</t>
  </si>
  <si>
    <t>242</t>
  </si>
  <si>
    <t>State Special Projects</t>
  </si>
  <si>
    <t>243</t>
  </si>
  <si>
    <t>Professional Technical - State</t>
  </si>
  <si>
    <t>244</t>
  </si>
  <si>
    <t>245</t>
  </si>
  <si>
    <t>Technology - State</t>
  </si>
  <si>
    <t>246</t>
  </si>
  <si>
    <t xml:space="preserve">Substance Abuse - State </t>
  </si>
  <si>
    <t>247</t>
  </si>
  <si>
    <t>248</t>
  </si>
  <si>
    <t>249</t>
  </si>
  <si>
    <t>250</t>
  </si>
  <si>
    <t>ESSER III (ARPA) American Rescue Plan Act</t>
  </si>
  <si>
    <t>251</t>
  </si>
  <si>
    <t>Title I-A ESSA - Improving Basic Programs</t>
  </si>
  <si>
    <t>252</t>
  </si>
  <si>
    <t>ESSER I (CARES) Coronavirus Aid, Relief and Economic Security Act</t>
  </si>
  <si>
    <t>253</t>
  </si>
  <si>
    <t>Title I-C ESSA - Education of Migratory Children</t>
  </si>
  <si>
    <t>254</t>
  </si>
  <si>
    <t>ESSER II (CRRSA) Coronavirus Response and Relief Supplemental Appropriations Act</t>
  </si>
  <si>
    <t>255</t>
  </si>
  <si>
    <t>Title I-D ESSA - Neglected &amp; Delinquent Children</t>
  </si>
  <si>
    <t>256</t>
  </si>
  <si>
    <t>Reserved (formerly Title I-F ESEA - Compr. School Reform)</t>
  </si>
  <si>
    <t>257</t>
  </si>
  <si>
    <t>IDEA Part B (611 School Age 3-21)</t>
  </si>
  <si>
    <t>258</t>
  </si>
  <si>
    <t>IDEA Part B  (619 Pre-School Age 3-5)</t>
  </si>
  <si>
    <t>259</t>
  </si>
  <si>
    <t>IDEA Part B (ARPA) American Rescue Plan Act</t>
  </si>
  <si>
    <t>260</t>
  </si>
  <si>
    <t>School-Based Medicaid</t>
  </si>
  <si>
    <t>Title IV-A ESSA - Student Support and Academic Enrichment</t>
  </si>
  <si>
    <t>262</t>
  </si>
  <si>
    <t>Title V-B ESSA - Rural Education Initiative</t>
  </si>
  <si>
    <t>263</t>
  </si>
  <si>
    <t>Perkins V - CTE</t>
  </si>
  <si>
    <t>265</t>
  </si>
  <si>
    <t>IDEA Mini-Grants</t>
  </si>
  <si>
    <t>267</t>
  </si>
  <si>
    <t>Title VI-A Indian Education</t>
  </si>
  <si>
    <t>269</t>
  </si>
  <si>
    <t xml:space="preserve">Johnson O'Malley </t>
  </si>
  <si>
    <t>270</t>
  </si>
  <si>
    <t>Title III-A ESSA - English Language Acquisition</t>
  </si>
  <si>
    <t>271</t>
  </si>
  <si>
    <t>Title II-A ESEA - Supporting Effective Instruction</t>
  </si>
  <si>
    <t>272</t>
  </si>
  <si>
    <t>Federal Special Projects</t>
  </si>
  <si>
    <t>273</t>
  </si>
  <si>
    <t>Title IV-B ESEA - 21st Century Community Learning Centers</t>
  </si>
  <si>
    <t>274</t>
  </si>
  <si>
    <t>275</t>
  </si>
  <si>
    <t>276</t>
  </si>
  <si>
    <t>277</t>
  </si>
  <si>
    <t>278</t>
  </si>
  <si>
    <t>279</t>
  </si>
  <si>
    <t>280</t>
  </si>
  <si>
    <t>281</t>
  </si>
  <si>
    <t>282</t>
  </si>
  <si>
    <t>Reserved (formerly Title II-D ESEA - Technology)</t>
  </si>
  <si>
    <t>283</t>
  </si>
  <si>
    <t>284</t>
  </si>
  <si>
    <t>285</t>
  </si>
  <si>
    <t>286</t>
  </si>
  <si>
    <t>287</t>
  </si>
  <si>
    <t>288</t>
  </si>
  <si>
    <t>289</t>
  </si>
  <si>
    <t>290</t>
  </si>
  <si>
    <t>Child Nutrition</t>
  </si>
  <si>
    <t>300</t>
  </si>
  <si>
    <t>Debt Service Fund</t>
  </si>
  <si>
    <t>310</t>
  </si>
  <si>
    <t xml:space="preserve">Bond Redemption &amp; Interest </t>
  </si>
  <si>
    <t>400</t>
  </si>
  <si>
    <t>Capital Project Funds</t>
  </si>
  <si>
    <t>410</t>
  </si>
  <si>
    <t>Capital Construction Projects</t>
  </si>
  <si>
    <t>420</t>
  </si>
  <si>
    <t>Plant Facilities</t>
  </si>
  <si>
    <t>424</t>
  </si>
  <si>
    <t>Plant Facilities - Bus Depreciation</t>
  </si>
  <si>
    <t>425</t>
  </si>
  <si>
    <t>Plant Facilities - Lottery</t>
  </si>
  <si>
    <t>427</t>
  </si>
  <si>
    <t>Plant Facilities - Lease Excess</t>
  </si>
  <si>
    <t>430</t>
  </si>
  <si>
    <t>Plant Facilities - School Building Maintenance Student-Occupied</t>
  </si>
  <si>
    <t>435</t>
  </si>
  <si>
    <t>School District Facilities Fund</t>
  </si>
  <si>
    <t>436</t>
  </si>
  <si>
    <t>School District Modernization Facilities Fund</t>
  </si>
  <si>
    <t>490</t>
  </si>
  <si>
    <t>Insurance Adjustment Fund</t>
  </si>
  <si>
    <t>500</t>
  </si>
  <si>
    <t>Enterprise Funds</t>
  </si>
  <si>
    <t>510</t>
  </si>
  <si>
    <t>Enterprise Fund</t>
  </si>
  <si>
    <t>600</t>
  </si>
  <si>
    <t>Internal Service Funds</t>
  </si>
  <si>
    <t>610</t>
  </si>
  <si>
    <t>Internal Service</t>
  </si>
  <si>
    <t>700</t>
  </si>
  <si>
    <t>Fiduciary Funds</t>
  </si>
  <si>
    <t>Expendable Trust Funds</t>
  </si>
  <si>
    <t>711</t>
  </si>
  <si>
    <t>712</t>
  </si>
  <si>
    <t>713</t>
  </si>
  <si>
    <t>714</t>
  </si>
  <si>
    <t>715</t>
  </si>
  <si>
    <t>716</t>
  </si>
  <si>
    <t>717</t>
  </si>
  <si>
    <t>718</t>
  </si>
  <si>
    <t>719</t>
  </si>
  <si>
    <t>Non-Expendable Trust</t>
  </si>
  <si>
    <t>721</t>
  </si>
  <si>
    <t>722</t>
  </si>
  <si>
    <t>723</t>
  </si>
  <si>
    <t>724</t>
  </si>
  <si>
    <t>725</t>
  </si>
  <si>
    <t>726</t>
  </si>
  <si>
    <t>727</t>
  </si>
  <si>
    <t>728</t>
  </si>
  <si>
    <t>729</t>
  </si>
  <si>
    <t>750</t>
  </si>
  <si>
    <t>School Activity Fund (Agency Fund)</t>
  </si>
  <si>
    <t>General Fixed Assets</t>
  </si>
  <si>
    <t>910</t>
  </si>
  <si>
    <t>General Long Term Debt</t>
  </si>
  <si>
    <t>Title I-A</t>
  </si>
  <si>
    <t>Improving Basic Programs</t>
  </si>
  <si>
    <t>Title I-C</t>
  </si>
  <si>
    <t>Migrant Education</t>
  </si>
  <si>
    <t>03</t>
  </si>
  <si>
    <t>Title VI-B</t>
  </si>
  <si>
    <t>Rural &amp; Low-Income Schools/REAP</t>
  </si>
  <si>
    <t>IDEA -- Special Ed</t>
  </si>
  <si>
    <t>IDEA -- Preschool</t>
  </si>
  <si>
    <t>Transportation Program</t>
  </si>
  <si>
    <t>Food Service Program</t>
  </si>
  <si>
    <t>Other Federal</t>
  </si>
  <si>
    <t>09</t>
  </si>
  <si>
    <t>Other State/Local</t>
  </si>
  <si>
    <t>General Fund</t>
  </si>
  <si>
    <t>Includes State LEP Funds</t>
  </si>
  <si>
    <t>Title II-A</t>
  </si>
  <si>
    <t>Teacher &amp; Principal Quality</t>
  </si>
  <si>
    <t>Title X-C</t>
  </si>
  <si>
    <t>McKinney-Vento Homeless Education</t>
  </si>
  <si>
    <t>Title X-C Subgrant</t>
  </si>
  <si>
    <t>McKinney-Vento Homeless Education Subgrant</t>
  </si>
  <si>
    <t>Title III-A</t>
  </si>
  <si>
    <t>Language Instruction for LEP &amp; Immigrant Students</t>
  </si>
  <si>
    <t>Title III-A Subgrant</t>
  </si>
  <si>
    <t>Immigrant Subgrant</t>
  </si>
  <si>
    <t>Title I-D Subpart 1</t>
  </si>
  <si>
    <t>Neglected or Delinquent Subpart 1</t>
  </si>
  <si>
    <t>Title I-D Subpart 2</t>
  </si>
  <si>
    <t>Neglected or Delinquent Subpart 2</t>
  </si>
  <si>
    <t>Female</t>
  </si>
  <si>
    <t xml:space="preserve">The biological trait that distinguishes a persons sex as female. As shown from a legal document. (i.e. Birth Certificate, Court document, Passport, State Issued Identification, etc.) Note: This field is not to be used for “Gender Identity” purposes. </t>
  </si>
  <si>
    <t>Male</t>
  </si>
  <si>
    <t xml:space="preserve">The biological trait that distinguishes a persons sex as male. As shown from a legal document. (i.e. Birth Certificate, Court document, Passport, State Issued Identification, etc.) Note: This field is not to be used for “Gender Identity” purposes. </t>
  </si>
  <si>
    <t>Graduate - Met Regular Requirements</t>
  </si>
  <si>
    <t>Graduated with diploma – met regular requirements: Student exited by meeting comparable academic requirements that are equally as rigorous as regular academic requirements established by the district and received an identical diploma. Also include:
  • Students who continued in secondary education and a GED program and received a GED
  • Students incarcerated in juvenile detention or adult corrections and received a GED</t>
  </si>
  <si>
    <t>Students that did NOT meet Idaho State High School Graduation Requirements outlined in 08.02.03.105 but whose program of study addressed adapted (modified or differentiated) coursework.</t>
  </si>
  <si>
    <t>Reached Maximum Age: Student completed the semester in which he or she turned 21 without receiving a diploma or certificate.</t>
  </si>
  <si>
    <t>Dropped Out</t>
  </si>
  <si>
    <t>Dropped out: Student was on last year’s child count, is not currently enrolled, and does not meet the definition for any other inactive reason. Include:
  • dropouts
  • runaways
  • expelled students (not receiving district services)
  • students whose status is unknown
  • students who left school and then received a GED</t>
  </si>
  <si>
    <t>Transfer to Another Education Environment</t>
  </si>
  <si>
    <t>Transferred to Another Educational setting: Student moved out of the district’s catchment area or otherwise transferred to another district or LEA and is known to be continuing in a general or special education program. Include students receiving education in:
  • residential treatment centers
  • juvenile detention centers
  • correctional facilities
  • private schools
  • Job Corps
  • Virtual Charter Schools
To use this code there must be verification that the student is continuing in some education program in the form of a request for records or a statement from the parents. Hearsay is not adequate verification that the student is known to continue.</t>
  </si>
  <si>
    <t>End of Formal Services</t>
  </si>
  <si>
    <t>Student no longer receives program services.</t>
  </si>
  <si>
    <t>Deceased: Student died since the last count.</t>
  </si>
  <si>
    <t>Summer Break</t>
  </si>
  <si>
    <t xml:space="preserve">Student has active gifted IEP, temporarily exiting program services for Summer break, expected to return in fall - to advance grade level or program. </t>
  </si>
  <si>
    <t>No Grade Level Specified</t>
  </si>
  <si>
    <t xml:space="preserve">Students parentally enrolled in a private school only receive special education and related services at the public expense. </t>
  </si>
  <si>
    <t>Pre-Kindergarten</t>
  </si>
  <si>
    <t>Pre-Kindergarten includes students who are enrolled in programs/groups/classes that are:
(a) supported with public education funds or fees charged by the local education agency;
(b) administered by a public school, local education agency, or SEA; and 
(c) offered to children who are below the kindergarten age requirement, or meet some other criterion that establishes the state or local definition of prekindergarten.</t>
  </si>
  <si>
    <t>000</t>
  </si>
  <si>
    <t>General Category - Out-of-State</t>
  </si>
  <si>
    <t>010</t>
  </si>
  <si>
    <t>Boise State University</t>
  </si>
  <si>
    <t>020</t>
  </si>
  <si>
    <t xml:space="preserve">College of Idaho </t>
  </si>
  <si>
    <t>023</t>
  </si>
  <si>
    <t>College of St Gertrude</t>
  </si>
  <si>
    <t>025</t>
  </si>
  <si>
    <t>College of Western Idaho</t>
  </si>
  <si>
    <t>030</t>
  </si>
  <si>
    <t>Idaho State University</t>
  </si>
  <si>
    <t>035</t>
  </si>
  <si>
    <t>Lewis-Clark State College</t>
  </si>
  <si>
    <t>040</t>
  </si>
  <si>
    <t>North Idaho College</t>
  </si>
  <si>
    <t>045</t>
  </si>
  <si>
    <t>Albion or Southern College of Idaho</t>
  </si>
  <si>
    <t>050</t>
  </si>
  <si>
    <t>Northwest Nazarene University</t>
  </si>
  <si>
    <t>055</t>
  </si>
  <si>
    <t xml:space="preserve">BYU - Utah </t>
  </si>
  <si>
    <t>060</t>
  </si>
  <si>
    <t>BYU - Idaho</t>
  </si>
  <si>
    <t>065</t>
  </si>
  <si>
    <t>Gooding College</t>
  </si>
  <si>
    <t>070</t>
  </si>
  <si>
    <t>University of Idaho</t>
  </si>
  <si>
    <t>075</t>
  </si>
  <si>
    <t>ISU/UI At University Place - Idaho Falls</t>
  </si>
  <si>
    <t>080</t>
  </si>
  <si>
    <t>Magic Valley Christian College</t>
  </si>
  <si>
    <t>082</t>
  </si>
  <si>
    <t>College of Eastern Idaho</t>
  </si>
  <si>
    <t>085</t>
  </si>
  <si>
    <t>College of Southern Idaho</t>
  </si>
  <si>
    <t>090</t>
  </si>
  <si>
    <t>Other Idaho College or University</t>
  </si>
  <si>
    <t>Shelters</t>
  </si>
  <si>
    <t>Supervised public or private facilities that provide temporary living accommodations to individuals without permanent housing</t>
  </si>
  <si>
    <t xml:space="preserve">Includes: missions, domestic violence shelters or homeless shelters </t>
  </si>
  <si>
    <t>Doubled-up</t>
  </si>
  <si>
    <t xml:space="preserve">Doubled-up </t>
  </si>
  <si>
    <t>Includes: living with another family</t>
  </si>
  <si>
    <t>Unsheltered</t>
  </si>
  <si>
    <t>Includes: cars, parks, campgrounds, temporary trailer, or abandoned buildings</t>
  </si>
  <si>
    <t>Hotel/Motel</t>
  </si>
  <si>
    <t>Includes: hotels and motels</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</si>
  <si>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</si>
  <si>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</si>
  <si>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</si>
  <si>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</si>
  <si>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</si>
  <si>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</si>
  <si>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</si>
  <si>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</si>
  <si>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</si>
  <si>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</si>
  <si>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</si>
  <si>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</si>
  <si>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</si>
  <si>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</si>
  <si>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</si>
  <si>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</si>
  <si>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</si>
  <si>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</si>
  <si>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</si>
  <si>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</si>
  <si>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</si>
  <si>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</si>
  <si>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</si>
  <si>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</si>
  <si>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</si>
  <si>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</si>
  <si>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</si>
  <si>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</si>
  <si>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</si>
  <si>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</si>
  <si>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</si>
  <si>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</si>
  <si>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</si>
  <si>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</si>
  <si>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</si>
  <si>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</si>
  <si>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</si>
  <si>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</si>
  <si>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</si>
  <si>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</si>
  <si>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</si>
  <si>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</si>
  <si>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</si>
  <si>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</si>
  <si>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Other County or location outside of Idaho</t>
  </si>
  <si>
    <t>DRG</t>
  </si>
  <si>
    <t>Drugs</t>
  </si>
  <si>
    <t>The use, possession, sale, or solicitation of drugs as identified in 21 U.S.C. Section 812(c).  These offenses do not include the use, possession, sale, or solicitation of alcohol or tobacco.</t>
  </si>
  <si>
    <t>SBI</t>
  </si>
  <si>
    <t>Serious Bodily Injury</t>
  </si>
  <si>
    <t>A bodily injury that involves a substantial risk of death; extreme physical pain; protracted and obvious disfigurement; or protracted loss or impairment of the function of a bodily member, organ or faculty. (18 USC Section 1365(h)(3))</t>
  </si>
  <si>
    <t>WPN</t>
  </si>
  <si>
    <t>Weapons Possession</t>
  </si>
  <si>
    <t>Possession of a weapon, device, instrument, material, or substance, animate or inanimate, that is readily capable of causing death or serious bodily injury; such a term does not include a pocket knife with a blade of less than 2 ½ inches in length. (18 USC section 930(g)(2))</t>
  </si>
  <si>
    <t>WPU</t>
  </si>
  <si>
    <t>Weapons Use</t>
  </si>
  <si>
    <t>Use of a weapon, device, instrument, material, or substance, animate or inanimate, that is used for, or is readily capable of causing death or serious bodily injury; such a term does not include a pocket knife with a blade of less than 2 ½ inches in length. (18 USC section 930(g)(2))</t>
  </si>
  <si>
    <t>CT</t>
  </si>
  <si>
    <t>Co Taught</t>
  </si>
  <si>
    <t>Co-taught is an approach to program delivery where two or more teachers ( generally a general and special education teachers, but not always) share teaching responsibilities within a regular classroom.  Co-teaching is two or more people sharing responsibility for teaching some or all of the students assigned to a classroom. It involves the distribution of responsibility among people for planning, instruction, and evaluation for a classroom of students.</t>
  </si>
  <si>
    <t>DA</t>
  </si>
  <si>
    <t>Distance Learning (All Students)</t>
  </si>
  <si>
    <t>The instructor and all the students in the course are in different locations.  The instruction interaction takes place in real time.  Examples include video conferencing, IEN and WebEx, Live Meeting, etc.</t>
  </si>
  <si>
    <t>DS</t>
  </si>
  <si>
    <t>Distance learning (Some Students)</t>
  </si>
  <si>
    <t>The instructor is in the classroom with some students, while other students are at another location. The instruction interaction is in real time.  Examples include video conferencing, IEN and WebEx, Live Meeting, etc..</t>
  </si>
  <si>
    <t>Sheltered English Class</t>
  </si>
  <si>
    <t>Sheltered Instruction, is a teaching style founded on the concept of providing meaningful instruction in the content areas (social studies, math, science) for transitioning Limited English Proficient (LEP) students towards higher academic achievement while they reach English fluency. Sometimes the children are all in the same grade level, but other times, particularly when there are a limited number of gifted children, the classroom may contain children spanning more than one grade level, grades four through six, for example.</t>
  </si>
  <si>
    <t>Night/Evening Class</t>
  </si>
  <si>
    <t>A course, or section, in which instruction is delivered to students in the evening.</t>
  </si>
  <si>
    <t>RC</t>
  </si>
  <si>
    <t>Regular Classroom</t>
  </si>
  <si>
    <t>“Regular Education Class” refers to the educational environments where children without disabilities receive instruction and participate in activities throughout the school day. It includes instruction that occurs outside of the actual classroom such as within the school or community where interaction occurs with persons without disabilities (example – assemblies, field trips, etc.).</t>
  </si>
  <si>
    <t>RR</t>
  </si>
  <si>
    <t>Resource Room</t>
  </si>
  <si>
    <t>A student is not in this room 100% of the day normally but rather  Resource rooms are classrooms where a special education teacher instructs and assists students identified with a disability. These classrooms are staffed by special education teachers and sometimes paraprofessionals. The number of students in a resource room at a specific time varies, but typically consists of at most five students per instructor. Mainstreaming in education typically includes this service to students with special needs. These students receive special instruction in an individualized or group setting for a portion of the day. Individual needs are supported in resource rooms as defined by the student's Individualized Education Program (IEP).] The student getting this type of support will receive some time in the resource room, which is referred to as a "removal from the regular education environment" portion of the day and sometime in the regular classroom with modifications and/or accommodations which may include specialized instruction with their non-disabled peers. Special education support within the regular education setting is part of the "inclusion model.”</t>
  </si>
  <si>
    <t>Self-Contained Classroom</t>
  </si>
  <si>
    <t>A self-contained classroom is one in which the students share similar academic requirements. For example, all the gifted children in a school or school district will be contained in the same classroom.</t>
  </si>
  <si>
    <t>Virtual</t>
  </si>
  <si>
    <t>Virtual class where the instructor and the student are in different locations and the interaction is not in real time. Examples include on-line, correspondence, computer-based, etc.</t>
  </si>
  <si>
    <t>AM Only - Every Day</t>
  </si>
  <si>
    <t>PM Only Every Day</t>
  </si>
  <si>
    <t>Wk 1 M,W,F and Wk 2 T,Th</t>
  </si>
  <si>
    <t>M, W every other F</t>
  </si>
  <si>
    <t>T, Th every other F</t>
  </si>
  <si>
    <t>AM and PM (full day) every day</t>
  </si>
  <si>
    <t>Other schedule type 7</t>
  </si>
  <si>
    <t>Other schedule type 8</t>
  </si>
  <si>
    <t>Other schedule type 9</t>
  </si>
  <si>
    <t>to SHOW/HIDE this list.</t>
  </si>
  <si>
    <t>aar</t>
  </si>
  <si>
    <t>Afar</t>
  </si>
  <si>
    <t>abk</t>
  </si>
  <si>
    <t>Abkhazian</t>
  </si>
  <si>
    <t>ace</t>
  </si>
  <si>
    <t>Acehnese, Achinese</t>
  </si>
  <si>
    <t>ach</t>
  </si>
  <si>
    <t>Acoli</t>
  </si>
  <si>
    <t>ada</t>
  </si>
  <si>
    <t>Adangme</t>
  </si>
  <si>
    <t>ady</t>
  </si>
  <si>
    <t>Adyghe, Adygei</t>
  </si>
  <si>
    <t>afa</t>
  </si>
  <si>
    <t>Afroasiatic languages</t>
  </si>
  <si>
    <t>afh</t>
  </si>
  <si>
    <t>Afrihili</t>
  </si>
  <si>
    <t>afr</t>
  </si>
  <si>
    <t>Afrikaans</t>
  </si>
  <si>
    <t>ain</t>
  </si>
  <si>
    <t>Ainu (Japan)</t>
  </si>
  <si>
    <t>aka</t>
  </si>
  <si>
    <t>Akan</t>
  </si>
  <si>
    <t>akk</t>
  </si>
  <si>
    <t>Akkadian</t>
  </si>
  <si>
    <t>alb</t>
  </si>
  <si>
    <t>Albanian</t>
  </si>
  <si>
    <t>ale</t>
  </si>
  <si>
    <t>Aleut</t>
  </si>
  <si>
    <t>alg</t>
  </si>
  <si>
    <t>Algonquian languages</t>
  </si>
  <si>
    <t>alt</t>
  </si>
  <si>
    <t>Southern Altai</t>
  </si>
  <si>
    <t>amh</t>
  </si>
  <si>
    <t>Amharic</t>
  </si>
  <si>
    <t>ang</t>
  </si>
  <si>
    <t>English, Old (ca. 450-1100)</t>
  </si>
  <si>
    <t>anp</t>
  </si>
  <si>
    <t>Angika</t>
  </si>
  <si>
    <t>apa</t>
  </si>
  <si>
    <t>Apache languages</t>
  </si>
  <si>
    <t>ara</t>
  </si>
  <si>
    <t>Arabic</t>
  </si>
  <si>
    <t>arc</t>
  </si>
  <si>
    <t>Official Aramaic, Imperial Aramaic (700–300 BC)</t>
  </si>
  <si>
    <t>arg</t>
  </si>
  <si>
    <t>Aragonese</t>
  </si>
  <si>
    <t>arm</t>
  </si>
  <si>
    <t>Armenian</t>
  </si>
  <si>
    <t>arn</t>
  </si>
  <si>
    <t>Mapudungun, Mapuche</t>
  </si>
  <si>
    <t>arp</t>
  </si>
  <si>
    <t>Arapaho</t>
  </si>
  <si>
    <t>art</t>
  </si>
  <si>
    <t>Artificial languages</t>
  </si>
  <si>
    <t>arw</t>
  </si>
  <si>
    <t>Arawak</t>
  </si>
  <si>
    <t>asm</t>
  </si>
  <si>
    <t>Assamese</t>
  </si>
  <si>
    <t>ast</t>
  </si>
  <si>
    <t>Asturian, Bable, Leonese, Asturleonese</t>
  </si>
  <si>
    <t>ath</t>
  </si>
  <si>
    <t>Athabaskan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</si>
  <si>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</si>
  <si>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</si>
  <si>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</si>
  <si>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</si>
  <si>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</si>
  <si>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</si>
  <si>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</si>
  <si>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</si>
  <si>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</si>
  <si>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</si>
  <si>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</si>
  <si>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</si>
  <si>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</si>
  <si>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</si>
  <si>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</si>
  <si>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</si>
  <si>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</si>
  <si>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</si>
  <si>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</si>
  <si>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</si>
  <si>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</si>
  <si>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</si>
  <si>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</si>
  <si>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</si>
  <si>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</si>
  <si>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</si>
  <si>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</si>
  <si>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</si>
  <si>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</si>
  <si>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</si>
  <si>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</si>
  <si>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</si>
  <si>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</si>
  <si>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</si>
  <si>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</si>
  <si>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</si>
  <si>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</si>
  <si>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</si>
  <si>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</si>
  <si>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</si>
  <si>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</si>
  <si>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</si>
  <si>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</si>
  <si>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</si>
  <si>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</si>
  <si>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</si>
  <si>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</si>
  <si>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</si>
  <si>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</si>
  <si>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</si>
  <si>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</si>
  <si>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</si>
  <si>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</si>
  <si>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</si>
  <si>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bos</t>
  </si>
  <si>
    <t>Bosnian</t>
  </si>
  <si>
    <t>bra</t>
  </si>
  <si>
    <t>Braj</t>
  </si>
  <si>
    <t>bre</t>
  </si>
  <si>
    <t>Breton</t>
  </si>
  <si>
    <t>btk</t>
  </si>
  <si>
    <t>Batak languages</t>
  </si>
  <si>
    <t>bua</t>
  </si>
  <si>
    <t>Buriat</t>
  </si>
  <si>
    <t>bug</t>
  </si>
  <si>
    <t>Buginese</t>
  </si>
  <si>
    <t>bul</t>
  </si>
  <si>
    <t>Bulgarian</t>
  </si>
  <si>
    <t>bur</t>
  </si>
  <si>
    <t>Burmese</t>
  </si>
  <si>
    <t>byn</t>
  </si>
  <si>
    <t>Blin, Bilin</t>
  </si>
  <si>
    <t>cad</t>
  </si>
  <si>
    <t>Caddo</t>
  </si>
  <si>
    <t>cai</t>
  </si>
  <si>
    <t>Central American Indian languages</t>
  </si>
  <si>
    <t>car</t>
  </si>
  <si>
    <t>Galibi Carib</t>
  </si>
  <si>
    <t>cat</t>
  </si>
  <si>
    <t>Catalan, Valencian</t>
  </si>
  <si>
    <t>cau</t>
  </si>
  <si>
    <t>Caucasian languages</t>
  </si>
  <si>
    <t>ceb</t>
  </si>
  <si>
    <t>Cebuano</t>
  </si>
  <si>
    <t>cel</t>
  </si>
  <si>
    <t>Celtic languages</t>
  </si>
  <si>
    <t>cha</t>
  </si>
  <si>
    <t>Chamorro</t>
  </si>
  <si>
    <t>chb</t>
  </si>
  <si>
    <t>Chibcha</t>
  </si>
  <si>
    <t>che</t>
  </si>
  <si>
    <t>Chechen</t>
  </si>
  <si>
    <t>chg</t>
  </si>
  <si>
    <t>Chagatai</t>
  </si>
  <si>
    <t>chi</t>
  </si>
  <si>
    <t>Chinese</t>
  </si>
  <si>
    <t>chk</t>
  </si>
  <si>
    <t>Chuukese</t>
  </si>
  <si>
    <t>chm</t>
  </si>
  <si>
    <t>Mari (Russia)</t>
  </si>
  <si>
    <t>chn</t>
  </si>
  <si>
    <t>Chinook Jargon</t>
  </si>
  <si>
    <t>cho</t>
  </si>
  <si>
    <t>Choctaw</t>
  </si>
  <si>
    <t>chp</t>
  </si>
  <si>
    <t>Chipewyan, Dene Suline</t>
  </si>
  <si>
    <t>chr</t>
  </si>
  <si>
    <t>Cherokee</t>
  </si>
  <si>
    <t>chu</t>
  </si>
  <si>
    <t>Church Slavonic, Church Slavic, Old Church Slavonic, Old Slavonic, Old Bulgarian</t>
  </si>
  <si>
    <t>chv</t>
  </si>
  <si>
    <t>Chuvash</t>
  </si>
  <si>
    <t>chy</t>
  </si>
  <si>
    <t>Cheyenne</t>
  </si>
  <si>
    <t>cmc</t>
  </si>
  <si>
    <t>Chamic languages</t>
  </si>
  <si>
    <t>cop</t>
  </si>
  <si>
    <t>Coptic</t>
  </si>
  <si>
    <t>cor</t>
  </si>
  <si>
    <t>Cornish</t>
  </si>
  <si>
    <t>cos</t>
  </si>
  <si>
    <t>Corsican</t>
  </si>
  <si>
    <t>cpe</t>
  </si>
  <si>
    <t>creoles and pidgins, English-based</t>
  </si>
  <si>
    <t>cpf</t>
  </si>
  <si>
    <t>creoles and pidgins, French-based</t>
  </si>
  <si>
    <t>cpp</t>
  </si>
  <si>
    <t>creoles and pidgins, Portuguese-based</t>
  </si>
  <si>
    <t>cre</t>
  </si>
  <si>
    <t>Cree</t>
  </si>
  <si>
    <t>crh</t>
  </si>
  <si>
    <t>Crimean Tatar, Crimean Turkish</t>
  </si>
  <si>
    <t>crp</t>
  </si>
  <si>
    <t>creoles and pidgins</t>
  </si>
  <si>
    <t>csb</t>
  </si>
  <si>
    <t>Kashubian</t>
  </si>
  <si>
    <t>cus</t>
  </si>
  <si>
    <t>Cushitic languages</t>
  </si>
  <si>
    <t>cze</t>
  </si>
  <si>
    <t>Czech</t>
  </si>
  <si>
    <t>dak</t>
  </si>
  <si>
    <t>Dakota</t>
  </si>
  <si>
    <t>dan</t>
  </si>
  <si>
    <t>Danish</t>
  </si>
  <si>
    <t>dar</t>
  </si>
  <si>
    <t>Dargwa</t>
  </si>
  <si>
    <t>day</t>
  </si>
  <si>
    <t>Land Dayak languages</t>
  </si>
  <si>
    <t>del</t>
  </si>
  <si>
    <t>Delaware</t>
  </si>
  <si>
    <t>den</t>
  </si>
  <si>
    <t>Slave (Athapascan)</t>
  </si>
  <si>
    <t>dgr</t>
  </si>
  <si>
    <t>Dogrib</t>
  </si>
  <si>
    <t>din</t>
  </si>
  <si>
    <t>Dinka</t>
  </si>
  <si>
    <t>div</t>
  </si>
  <si>
    <t>Divehi, Dhivehi, Maldivian</t>
  </si>
  <si>
    <t>doi</t>
  </si>
  <si>
    <t>Dogri</t>
  </si>
  <si>
    <t>dra</t>
  </si>
  <si>
    <t>Dravidian languages</t>
  </si>
  <si>
    <t>dsb</t>
  </si>
  <si>
    <t>Lower Sorbian</t>
  </si>
  <si>
    <t>dua</t>
  </si>
  <si>
    <t>Duala</t>
  </si>
  <si>
    <t>dum</t>
  </si>
  <si>
    <t>Dutch, Middle (ca. 1050–1350)</t>
  </si>
  <si>
    <t>dut</t>
  </si>
  <si>
    <t>Dutch, Flemish</t>
  </si>
  <si>
    <t>dyu</t>
  </si>
  <si>
    <t>Dyula</t>
  </si>
  <si>
    <t>dzo</t>
  </si>
  <si>
    <t>Dzongkha</t>
  </si>
  <si>
    <t>efi</t>
  </si>
  <si>
    <t>Efik</t>
  </si>
  <si>
    <t>egy</t>
  </si>
  <si>
    <t>Egyptian (Ancient)</t>
  </si>
  <si>
    <t>eka</t>
  </si>
  <si>
    <t>Ekajuk</t>
  </si>
  <si>
    <t>elx</t>
  </si>
  <si>
    <t>Elamite</t>
  </si>
  <si>
    <t>eng</t>
  </si>
  <si>
    <t>English</t>
  </si>
  <si>
    <t>enm</t>
  </si>
  <si>
    <t>Middle English (1100–1500)</t>
  </si>
  <si>
    <t>epo</t>
  </si>
  <si>
    <t>Esperanto</t>
  </si>
  <si>
    <t>est</t>
  </si>
  <si>
    <t>Estonian</t>
  </si>
  <si>
    <t>ewe</t>
  </si>
  <si>
    <t>Ewe</t>
  </si>
  <si>
    <t>ewo</t>
  </si>
  <si>
    <t>Ewondo</t>
  </si>
  <si>
    <t>fan</t>
  </si>
  <si>
    <t>Fang</t>
  </si>
  <si>
    <t>fao</t>
  </si>
  <si>
    <t>Faroese</t>
  </si>
  <si>
    <t>fat</t>
  </si>
  <si>
    <t>Fanti</t>
  </si>
  <si>
    <t>fij</t>
  </si>
  <si>
    <t>Fijian</t>
  </si>
  <si>
    <t>fil</t>
  </si>
  <si>
    <t>Filipino, Pilipino</t>
  </si>
  <si>
    <t>fin</t>
  </si>
  <si>
    <t>Finnish</t>
  </si>
  <si>
    <t>fiu</t>
  </si>
  <si>
    <t>Finno-Ugric languages</t>
  </si>
  <si>
    <t>fon</t>
  </si>
  <si>
    <t>Fon</t>
  </si>
  <si>
    <t>fre</t>
  </si>
  <si>
    <t>French</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</si>
  <si>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</si>
  <si>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</si>
  <si>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</si>
  <si>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</si>
  <si>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</si>
  <si>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</si>
  <si>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</si>
  <si>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</si>
  <si>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</si>
  <si>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</si>
  <si>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</si>
  <si>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</si>
  <si>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</si>
  <si>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</si>
  <si>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</si>
  <si>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</si>
  <si>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</si>
  <si>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</si>
  <si>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</si>
  <si>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</si>
  <si>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</si>
  <si>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</si>
  <si>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t>
  </si>
  <si>
    <t>Georgian</t>
  </si>
  <si>
    <t>ger</t>
  </si>
  <si>
    <t>German</t>
  </si>
  <si>
    <t>gez</t>
  </si>
  <si>
    <t>Ge'ez</t>
  </si>
  <si>
    <t>gil</t>
  </si>
  <si>
    <t>Gilbertese, Kiribati</t>
  </si>
  <si>
    <t>gla</t>
  </si>
  <si>
    <t>Scottish Gaelic, Gaelic</t>
  </si>
  <si>
    <t>gle</t>
  </si>
  <si>
    <t>Irish</t>
  </si>
  <si>
    <t>glg</t>
  </si>
  <si>
    <t>Galician</t>
  </si>
  <si>
    <t>glv</t>
  </si>
  <si>
    <t>Manx</t>
  </si>
  <si>
    <t>gmh</t>
  </si>
  <si>
    <t>German, Middle High (ca 1050-1500)</t>
  </si>
  <si>
    <t>goh</t>
  </si>
  <si>
    <t>Old High German (ca. 750–1050)</t>
  </si>
  <si>
    <t>gon</t>
  </si>
  <si>
    <t>Gondi</t>
  </si>
  <si>
    <t>gor</t>
  </si>
  <si>
    <t>Gorontalo</t>
  </si>
  <si>
    <t>got</t>
  </si>
  <si>
    <t>Gothic</t>
  </si>
  <si>
    <t>grb</t>
  </si>
  <si>
    <t>Grebo</t>
  </si>
  <si>
    <t>grc</t>
  </si>
  <si>
    <t>Ancient Greek (–1453)</t>
  </si>
  <si>
    <t>gre</t>
  </si>
  <si>
    <t>Modern Greek (1453–)</t>
  </si>
  <si>
    <t>grn</t>
  </si>
  <si>
    <t>Guarani</t>
  </si>
  <si>
    <t>gsw</t>
  </si>
  <si>
    <t>Swiss German, Alemannic</t>
  </si>
  <si>
    <t>guj</t>
  </si>
  <si>
    <t>Gujarati</t>
  </si>
  <si>
    <t>gwi</t>
  </si>
  <si>
    <t>Gwich'in</t>
  </si>
  <si>
    <t>hai</t>
  </si>
  <si>
    <t>Haida</t>
  </si>
  <si>
    <t>hat</t>
  </si>
  <si>
    <t>Haitian Creole, Haitian</t>
  </si>
  <si>
    <t>hau</t>
  </si>
  <si>
    <t>Hausa</t>
  </si>
  <si>
    <t>haw</t>
  </si>
  <si>
    <t>Hawaiian</t>
  </si>
  <si>
    <t>heb</t>
  </si>
  <si>
    <t>Hebrew</t>
  </si>
  <si>
    <t>her</t>
  </si>
  <si>
    <t>Herero</t>
  </si>
  <si>
    <t>hil</t>
  </si>
  <si>
    <t>Hiligaynon</t>
  </si>
  <si>
    <t>him</t>
  </si>
  <si>
    <t>Himachali</t>
  </si>
  <si>
    <t>hin</t>
  </si>
  <si>
    <t>Hindi</t>
  </si>
  <si>
    <t>hit</t>
  </si>
  <si>
    <t>Hittite</t>
  </si>
  <si>
    <t>hmn</t>
  </si>
  <si>
    <t>Hmong</t>
  </si>
  <si>
    <t>hmo</t>
  </si>
  <si>
    <t>Hiri Motu</t>
  </si>
  <si>
    <t>hrv</t>
  </si>
  <si>
    <t>Croatian</t>
  </si>
  <si>
    <t>hsb</t>
  </si>
  <si>
    <t>Upper Sorbian</t>
  </si>
  <si>
    <t>hun</t>
  </si>
  <si>
    <t>Hungarian</t>
  </si>
  <si>
    <t>hup</t>
  </si>
  <si>
    <t>Hupa</t>
  </si>
  <si>
    <t>iba</t>
  </si>
  <si>
    <t>Iban</t>
  </si>
  <si>
    <t>ibo</t>
  </si>
  <si>
    <t>Igbo</t>
  </si>
  <si>
    <t>ice</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</si>
  <si>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</si>
  <si>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</si>
  <si>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</si>
  <si>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</si>
  <si>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</si>
  <si>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</si>
  <si>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</si>
  <si>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</si>
  <si>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</si>
  <si>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</si>
  <si>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</si>
  <si>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</si>
  <si>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</si>
  <si>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</si>
  <si>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</si>
  <si>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</si>
  <si>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</si>
  <si>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</si>
  <si>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</si>
  <si>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</si>
  <si>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</si>
  <si>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</si>
  <si>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</si>
  <si>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</si>
  <si>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</si>
  <si>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</si>
  <si>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</si>
  <si>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</si>
  <si>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</si>
  <si>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ita</t>
  </si>
  <si>
    <t>Italian</t>
  </si>
  <si>
    <t>jav</t>
  </si>
  <si>
    <t>Javanese</t>
  </si>
  <si>
    <t>jbo</t>
  </si>
  <si>
    <t>Lojban</t>
  </si>
  <si>
    <t>jpn</t>
  </si>
  <si>
    <t>Japanese</t>
  </si>
  <si>
    <t>jpr</t>
  </si>
  <si>
    <t>Judæo-Persian</t>
  </si>
  <si>
    <t>jrb</t>
  </si>
  <si>
    <t>Judeo-Arabic</t>
  </si>
  <si>
    <t>kaa</t>
  </si>
  <si>
    <t>Kara-Kalpak</t>
  </si>
  <si>
    <t>kab</t>
  </si>
  <si>
    <t>Kabyle</t>
  </si>
  <si>
    <t>kac</t>
  </si>
  <si>
    <t>Kachin, Jingpho</t>
  </si>
  <si>
    <t>kal</t>
  </si>
  <si>
    <t>Greenlandic, Kalaallisut</t>
  </si>
  <si>
    <t>kam</t>
  </si>
  <si>
    <t>Kamba</t>
  </si>
  <si>
    <t>kan</t>
  </si>
  <si>
    <t>Kannada</t>
  </si>
  <si>
    <t>kar</t>
  </si>
  <si>
    <t>Karen languages</t>
  </si>
  <si>
    <t>kas</t>
  </si>
  <si>
    <t>Kashmiri</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</si>
  <si>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</si>
  <si>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</si>
  <si>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</si>
  <si>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</si>
  <si>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</si>
  <si>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</si>
  <si>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</si>
  <si>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</si>
  <si>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</si>
  <si>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</si>
  <si>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</si>
  <si>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</si>
  <si>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</si>
  <si>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</si>
  <si>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</si>
  <si>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</si>
  <si>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</si>
  <si>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</si>
  <si>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</si>
  <si>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</si>
  <si>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</si>
  <si>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</si>
  <si>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</si>
  <si>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</si>
  <si>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</si>
  <si>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</si>
  <si>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</si>
  <si>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</si>
  <si>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</si>
  <si>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</si>
  <si>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</si>
  <si>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</si>
  <si>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</si>
  <si>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</si>
  <si>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</si>
  <si>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</si>
  <si>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</si>
  <si>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</si>
  <si>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</si>
  <si>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</si>
  <si>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</si>
  <si>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</si>
  <si>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</si>
  <si>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</si>
  <si>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</si>
  <si>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</si>
  <si>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</si>
  <si>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</si>
  <si>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</si>
  <si>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</si>
  <si>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</si>
  <si>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</si>
  <si>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</si>
  <si>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</si>
  <si>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</si>
  <si>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</si>
  <si>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</si>
  <si>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</si>
  <si>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</si>
  <si>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</si>
  <si>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</si>
  <si>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</si>
  <si>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</si>
  <si>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</si>
  <si>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</si>
  <si>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</si>
  <si>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</si>
  <si>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Limburgish, Limburger, Limburgan</t>
  </si>
  <si>
    <t>lin</t>
  </si>
  <si>
    <t>Lingala</t>
  </si>
  <si>
    <t>lit</t>
  </si>
  <si>
    <t>Lithuanian</t>
  </si>
  <si>
    <t>lol</t>
  </si>
  <si>
    <t>Mongo</t>
  </si>
  <si>
    <t>loz</t>
  </si>
  <si>
    <t>Lozi</t>
  </si>
  <si>
    <t>ltz</t>
  </si>
  <si>
    <t>Luxembourgish, Letzeburgesch</t>
  </si>
  <si>
    <t>lua</t>
  </si>
  <si>
    <t>Luba-Lulua</t>
  </si>
  <si>
    <t>lub</t>
  </si>
  <si>
    <t>Luba-Katanga</t>
  </si>
  <si>
    <t>lug</t>
  </si>
  <si>
    <t>Ganda</t>
  </si>
  <si>
    <t>lui</t>
  </si>
  <si>
    <t>Luiseño</t>
  </si>
  <si>
    <t>lun</t>
  </si>
  <si>
    <t>Lunda</t>
  </si>
  <si>
    <t>luo</t>
  </si>
  <si>
    <t>Luo (Kenya and Tanzania)</t>
  </si>
  <si>
    <t>lus</t>
  </si>
  <si>
    <t>Lushai</t>
  </si>
  <si>
    <t>mac</t>
  </si>
  <si>
    <t>Macedonian</t>
  </si>
  <si>
    <t>mad</t>
  </si>
  <si>
    <t>Madurese</t>
  </si>
  <si>
    <t>mag</t>
  </si>
  <si>
    <t>Magahi</t>
  </si>
  <si>
    <t>mah</t>
  </si>
  <si>
    <t>Marshallese</t>
  </si>
  <si>
    <t>mai</t>
  </si>
  <si>
    <t>Maithili</t>
  </si>
  <si>
    <t>mak</t>
  </si>
  <si>
    <t>Makasar</t>
  </si>
  <si>
    <t>mal</t>
  </si>
  <si>
    <t>Malayalam</t>
  </si>
  <si>
    <t>man</t>
  </si>
  <si>
    <t>Mandingo</t>
  </si>
  <si>
    <t>mao</t>
  </si>
  <si>
    <t>Maori</t>
  </si>
  <si>
    <t>map</t>
  </si>
  <si>
    <t>Austronesian languages</t>
  </si>
  <si>
    <t>mar</t>
  </si>
  <si>
    <t>Marathi</t>
  </si>
  <si>
    <t>mas</t>
  </si>
  <si>
    <t>Maasai</t>
  </si>
  <si>
    <t>may</t>
  </si>
  <si>
    <t>Malay</t>
  </si>
  <si>
    <t>mdf</t>
  </si>
  <si>
    <t>Moksha</t>
  </si>
  <si>
    <t>mdr</t>
  </si>
  <si>
    <t>Mandar</t>
  </si>
  <si>
    <t>men</t>
  </si>
  <si>
    <t>Mende</t>
  </si>
  <si>
    <t>mga</t>
  </si>
  <si>
    <t>Middle Irish (900–1200)</t>
  </si>
  <si>
    <t>mic</t>
  </si>
  <si>
    <t>Mi'kmaq, Micmac</t>
  </si>
  <si>
    <t>min</t>
  </si>
  <si>
    <t>Minangkabau</t>
  </si>
  <si>
    <t>mis</t>
  </si>
  <si>
    <t>uncoded languages</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</si>
  <si>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</si>
  <si>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</si>
  <si>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</si>
  <si>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</si>
  <si>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</si>
  <si>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</si>
  <si>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</si>
  <si>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</si>
  <si>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</si>
  <si>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</si>
  <si>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</si>
  <si>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</si>
  <si>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</si>
  <si>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</si>
  <si>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</si>
  <si>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</si>
  <si>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</si>
  <si>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</si>
  <si>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mul</t>
  </si>
  <si>
    <t>Multiple languages</t>
  </si>
  <si>
    <t>mun</t>
  </si>
  <si>
    <t>Munda languages</t>
  </si>
  <si>
    <t>mus</t>
  </si>
  <si>
    <t>Creek</t>
  </si>
  <si>
    <t>mwl</t>
  </si>
  <si>
    <t>Mirandese</t>
  </si>
  <si>
    <t>mwr</t>
  </si>
  <si>
    <t>Marwari</t>
  </si>
  <si>
    <t>myn</t>
  </si>
  <si>
    <t>Mayan languages</t>
  </si>
  <si>
    <t>myv</t>
  </si>
  <si>
    <t>Erzya</t>
  </si>
  <si>
    <t>nah</t>
  </si>
  <si>
    <t>Nahuatl</t>
  </si>
  <si>
    <t>nai</t>
  </si>
  <si>
    <t>North American Indian languages</t>
  </si>
  <si>
    <t>nap</t>
  </si>
  <si>
    <t>Neapolitan</t>
  </si>
  <si>
    <t>nau</t>
  </si>
  <si>
    <t>Nauruan</t>
  </si>
  <si>
    <t>nav</t>
  </si>
  <si>
    <t>Navajo, Navaho</t>
  </si>
  <si>
    <t>nbl</t>
  </si>
  <si>
    <t>Southern Ndebele</t>
  </si>
  <si>
    <t>nde</t>
  </si>
  <si>
    <t>Northern Ndebele</t>
  </si>
  <si>
    <t>ndo</t>
  </si>
  <si>
    <t>Ndonga</t>
  </si>
  <si>
    <t>nds</t>
  </si>
  <si>
    <t>Low German, Low Saxon</t>
  </si>
  <si>
    <t>nep</t>
  </si>
  <si>
    <t>Nepali</t>
  </si>
  <si>
    <t>new</t>
  </si>
  <si>
    <t>Nepal Bhasa, Newari</t>
  </si>
  <si>
    <t>nia</t>
  </si>
  <si>
    <t>Nias</t>
  </si>
  <si>
    <t>nic</t>
  </si>
  <si>
    <t>Niger-Kordofanian languages</t>
  </si>
  <si>
    <t>niu</t>
  </si>
  <si>
    <t>Niuean</t>
  </si>
  <si>
    <t>nno</t>
  </si>
  <si>
    <t>Norwegian Nynorsk</t>
  </si>
  <si>
    <t>nob</t>
  </si>
  <si>
    <t>Norwegian Bokmål</t>
  </si>
  <si>
    <t>nog</t>
  </si>
  <si>
    <t>Nogai</t>
  </si>
  <si>
    <t>non</t>
  </si>
  <si>
    <t>Old Norse</t>
  </si>
  <si>
    <t>nor</t>
  </si>
  <si>
    <t>Norwegian</t>
  </si>
  <si>
    <t>nqo</t>
  </si>
  <si>
    <t>N'Ko</t>
  </si>
  <si>
    <t>nso</t>
  </si>
  <si>
    <t>Northern Sotho, Pedi, Sepedi</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</si>
  <si>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</si>
  <si>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</si>
  <si>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</si>
  <si>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</si>
  <si>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</si>
  <si>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</si>
  <si>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</si>
  <si>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</si>
  <si>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</si>
  <si>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</si>
  <si>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</si>
  <si>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</si>
  <si>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</si>
  <si>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</si>
  <si>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</si>
  <si>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Provençal (1500–)</t>
  </si>
  <si>
    <t>oji</t>
  </si>
  <si>
    <t>Ojibwa</t>
  </si>
  <si>
    <t>ori</t>
  </si>
  <si>
    <t>Oriya</t>
  </si>
  <si>
    <t>orm</t>
  </si>
  <si>
    <t>Oromo</t>
  </si>
  <si>
    <t>osa</t>
  </si>
  <si>
    <t>Osage</t>
  </si>
  <si>
    <t>oss</t>
  </si>
  <si>
    <t>Ossetian, Ossetic</t>
  </si>
  <si>
    <t>ota</t>
  </si>
  <si>
    <t>Turkish, Ottoman (1500–1928)</t>
  </si>
  <si>
    <t>oto</t>
  </si>
  <si>
    <t>Otomian languages</t>
  </si>
  <si>
    <t>paa</t>
  </si>
  <si>
    <t>Papuan languages</t>
  </si>
  <si>
    <t>pag</t>
  </si>
  <si>
    <t>Pangasinan</t>
  </si>
  <si>
    <t>pal</t>
  </si>
  <si>
    <t>Pahlavi, (Middle Persian)</t>
  </si>
  <si>
    <t>pam</t>
  </si>
  <si>
    <t>Pampanga, Kapampangan</t>
  </si>
  <si>
    <t>pan</t>
  </si>
  <si>
    <t>Punjabi, Panjabi</t>
  </si>
  <si>
    <t>pap</t>
  </si>
  <si>
    <t>Papiamento</t>
  </si>
  <si>
    <t>pau</t>
  </si>
  <si>
    <t>Palauan</t>
  </si>
  <si>
    <t>peo</t>
  </si>
  <si>
    <t>Old Persian (ca. 600–400 BC)</t>
  </si>
  <si>
    <t>per</t>
  </si>
  <si>
    <t>Persian</t>
  </si>
  <si>
    <t>phi</t>
  </si>
  <si>
    <t>Philippine languages</t>
  </si>
  <si>
    <t>phn</t>
  </si>
  <si>
    <t>Phoenician</t>
  </si>
  <si>
    <t>pli</t>
  </si>
  <si>
    <t>Pali</t>
  </si>
  <si>
    <t>pol</t>
  </si>
  <si>
    <t>Polish</t>
  </si>
  <si>
    <t>pon</t>
  </si>
  <si>
    <t>Pohnpeian</t>
  </si>
  <si>
    <t>por</t>
  </si>
  <si>
    <t>Portuguese</t>
  </si>
  <si>
    <t>pra</t>
  </si>
  <si>
    <t>Prakrit</t>
  </si>
  <si>
    <t>pro</t>
  </si>
  <si>
    <t>Old Provençal, Old Occitan (–1500)</t>
  </si>
  <si>
    <t>pus</t>
  </si>
  <si>
    <t>Pashto language,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</si>
  <si>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</si>
  <si>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</si>
  <si>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</si>
  <si>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</si>
  <si>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</si>
  <si>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</si>
  <si>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</si>
  <si>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</si>
  <si>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</si>
  <si>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</si>
  <si>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</si>
  <si>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</si>
  <si>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</si>
  <si>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</si>
  <si>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</si>
  <si>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</si>
  <si>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rum</t>
  </si>
  <si>
    <t>Romanian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</si>
  <si>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</si>
  <si>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</si>
  <si>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</si>
  <si>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</si>
  <si>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</si>
  <si>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</si>
  <si>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</si>
  <si>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</si>
  <si>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</si>
  <si>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</si>
  <si>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</si>
  <si>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</si>
  <si>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</si>
  <si>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</si>
  <si>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</si>
  <si>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</si>
  <si>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</si>
  <si>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</si>
  <si>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</si>
  <si>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</si>
  <si>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</si>
  <si>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</si>
  <si>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</si>
  <si>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</si>
  <si>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</si>
  <si>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</si>
  <si>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</si>
  <si>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</si>
  <si>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</si>
  <si>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</si>
  <si>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</si>
  <si>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</si>
  <si>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</si>
  <si>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</si>
  <si>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</si>
  <si>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</si>
  <si>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</si>
  <si>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</si>
  <si>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</si>
  <si>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</si>
  <si>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</si>
  <si>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Sinhalese, Sinhala</t>
  </si>
  <si>
    <t>sio</t>
  </si>
  <si>
    <t>Siouan languages</t>
  </si>
  <si>
    <t>sit</t>
  </si>
  <si>
    <t>Sino-Tibetan languages</t>
  </si>
  <si>
    <t>sla</t>
  </si>
  <si>
    <t>Slavic languages</t>
  </si>
  <si>
    <t>slk</t>
  </si>
  <si>
    <t>Slovak</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</si>
  <si>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</si>
  <si>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</si>
  <si>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</si>
  <si>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</si>
  <si>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</si>
  <si>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</si>
  <si>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</si>
  <si>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</si>
  <si>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</si>
  <si>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</si>
  <si>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</si>
  <si>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</si>
  <si>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</si>
  <si>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</si>
  <si>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</si>
  <si>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</si>
  <si>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</si>
  <si>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</si>
  <si>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</si>
  <si>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</si>
  <si>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</si>
  <si>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</si>
  <si>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</si>
  <si>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</si>
  <si>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</si>
  <si>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</si>
  <si>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</si>
  <si>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Songhay languages</t>
  </si>
  <si>
    <t>sot</t>
  </si>
  <si>
    <t>Southern Sotho</t>
  </si>
  <si>
    <t>spa</t>
  </si>
  <si>
    <t>Spanish</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</si>
  <si>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</si>
  <si>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</si>
  <si>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</si>
  <si>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</si>
  <si>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</si>
  <si>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</si>
  <si>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</si>
  <si>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</si>
  <si>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</si>
  <si>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</si>
  <si>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</si>
  <si>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</si>
  <si>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</si>
  <si>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</si>
  <si>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</si>
  <si>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</si>
  <si>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</si>
  <si>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</si>
  <si>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</si>
  <si>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</si>
  <si>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</si>
  <si>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</si>
  <si>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</si>
  <si>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</si>
  <si>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</si>
  <si>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</si>
  <si>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</si>
  <si>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 (Northeastern Neo-Aramaic)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</si>
  <si>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</si>
  <si>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</si>
  <si>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</si>
  <si>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</si>
  <si>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</si>
  <si>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</si>
  <si>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</si>
  <si>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</si>
  <si>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</si>
  <si>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</si>
  <si>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</si>
  <si>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</si>
  <si>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</si>
  <si>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</si>
  <si>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</si>
  <si>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</si>
  <si>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</si>
  <si>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</si>
  <si>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</si>
  <si>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</si>
  <si>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</si>
  <si>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</si>
  <si>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t>
  </si>
  <si>
    <t>Tibetan</t>
  </si>
  <si>
    <t>tig</t>
  </si>
  <si>
    <t>Tigre</t>
  </si>
  <si>
    <t>tir</t>
  </si>
  <si>
    <t>Tigrinya</t>
  </si>
  <si>
    <t>tiv</t>
  </si>
  <si>
    <t>Tiv</t>
  </si>
  <si>
    <t>tkl</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</si>
  <si>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</si>
  <si>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</si>
  <si>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</si>
  <si>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</si>
  <si>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</si>
  <si>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</si>
  <si>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</si>
  <si>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</si>
  <si>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</si>
  <si>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</si>
  <si>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</si>
  <si>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</si>
  <si>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</si>
  <si>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</si>
  <si>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</si>
  <si>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</si>
  <si>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</si>
  <si>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</si>
  <si>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</si>
  <si>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</si>
  <si>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</si>
  <si>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</si>
  <si>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</si>
  <si>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Tupian languages</t>
  </si>
  <si>
    <t>tur</t>
  </si>
  <si>
    <t>Turkish</t>
  </si>
  <si>
    <t>tut</t>
  </si>
  <si>
    <t>Altaic languages</t>
  </si>
  <si>
    <t>tvl</t>
  </si>
  <si>
    <t>twi</t>
  </si>
  <si>
    <t>Twi</t>
  </si>
  <si>
    <t>tyv</t>
  </si>
  <si>
    <t>Tuvinian</t>
  </si>
  <si>
    <t>udm</t>
  </si>
  <si>
    <t>Udmurt</t>
  </si>
  <si>
    <t>uga</t>
  </si>
  <si>
    <t>Ugaritic</t>
  </si>
  <si>
    <t>uig</t>
  </si>
  <si>
    <t>Uighur, Uyghur</t>
  </si>
  <si>
    <t>ukr</t>
  </si>
  <si>
    <t>Ukrainian</t>
  </si>
  <si>
    <t>umb</t>
  </si>
  <si>
    <t>Umbundu</t>
  </si>
  <si>
    <t>und</t>
  </si>
  <si>
    <t xml:space="preserve">Undetermined </t>
  </si>
  <si>
    <t>urd</t>
  </si>
  <si>
    <t>Urdu</t>
  </si>
  <si>
    <t>uzb</t>
  </si>
  <si>
    <t>Uzbek</t>
  </si>
  <si>
    <t>vai</t>
  </si>
  <si>
    <t>Vai</t>
  </si>
  <si>
    <t>ven</t>
  </si>
  <si>
    <t>Venda</t>
  </si>
  <si>
    <t>vie</t>
  </si>
  <si>
    <t>Vietnamese</t>
  </si>
  <si>
    <t>vol</t>
  </si>
  <si>
    <t>Volapük</t>
  </si>
  <si>
    <t>vot</t>
  </si>
  <si>
    <t>Votic</t>
  </si>
  <si>
    <t>wak</t>
  </si>
  <si>
    <t>Wakashan languages</t>
  </si>
  <si>
    <t>wal</t>
  </si>
  <si>
    <t>Wolaytta, Wolaitta</t>
  </si>
  <si>
    <t>war</t>
  </si>
  <si>
    <t>Waray-Waray</t>
  </si>
  <si>
    <t>was</t>
  </si>
  <si>
    <t>Washo</t>
  </si>
  <si>
    <t>wel</t>
  </si>
  <si>
    <t>Welsh</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</si>
  <si>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</si>
  <si>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</si>
  <si>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</si>
  <si>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</si>
  <si>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</si>
  <si>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</si>
  <si>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</si>
  <si>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</si>
  <si>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</si>
  <si>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</si>
  <si>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</si>
  <si>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</si>
  <si>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</si>
  <si>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</si>
  <si>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</si>
  <si>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</si>
  <si>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</si>
  <si>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</si>
  <si>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</si>
  <si>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</si>
  <si>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</si>
  <si>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</si>
  <si>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</si>
  <si>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</si>
  <si>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</si>
  <si>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</si>
  <si>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</si>
  <si>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</si>
  <si>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</si>
  <si>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</si>
  <si>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znd</t>
  </si>
  <si>
    <t>Zande languages</t>
  </si>
  <si>
    <t>zul</t>
  </si>
  <si>
    <t>Zulu</t>
  </si>
  <si>
    <t>zun</t>
  </si>
  <si>
    <t>Zuni</t>
  </si>
  <si>
    <t>zza</t>
  </si>
  <si>
    <t>Zaza, Dimili, Dimli, Kirdki, Kirmanjki, Zazaki</t>
  </si>
  <si>
    <t>Active-Status Armed Forces</t>
  </si>
  <si>
    <t>It is known that the student is a dependent of an active-status member of the Army, Navy, Air Force, Marine Corps, Space Force or Coast Guard.</t>
  </si>
  <si>
    <t>Not Military Connected</t>
  </si>
  <si>
    <t>It is known that the student is not military-connected.</t>
  </si>
  <si>
    <t>Reserve Active-Status List Air National Guard</t>
  </si>
  <si>
    <t>It is known that the student is a dependent of a reserve active-list member of the National Guard or Active Duty Reserve Forces (Army, Navy, Air Force, Marine Corps, or Coast Guard).</t>
  </si>
  <si>
    <t>Unable to provide</t>
  </si>
  <si>
    <t>It is unknown whether or not the student is military-connected or parent declines to provide information.</t>
  </si>
  <si>
    <t>No Difference</t>
  </si>
  <si>
    <t>Term Modified by District</t>
  </si>
  <si>
    <t>Term Modified by Court Order</t>
  </si>
  <si>
    <t>Term Modified by Mutual Agreement</t>
  </si>
  <si>
    <t>Student Completed Term Requirements Sooner Than Expected</t>
  </si>
  <si>
    <t>Student Incarcerated</t>
  </si>
  <si>
    <t>Term Decreased due to Extenuating Health Related Circumstances</t>
  </si>
  <si>
    <t>Student Withdrew from School</t>
  </si>
  <si>
    <t>School Year Ended</t>
  </si>
  <si>
    <t>Continuation of Previous Year's Disciplinary Action Assignment</t>
  </si>
  <si>
    <t>Term Modified by Placement Program Due to Student Behavior While in the Placement</t>
  </si>
  <si>
    <t>Provide additional explanation in Disciplinary Action 'notes' field.</t>
  </si>
  <si>
    <t>Salaries</t>
  </si>
  <si>
    <t>200</t>
  </si>
  <si>
    <t>Benefits</t>
  </si>
  <si>
    <t>Purchased Services</t>
  </si>
  <si>
    <t>Supplies/Materials</t>
  </si>
  <si>
    <t>Capital Objects</t>
  </si>
  <si>
    <t>Debt Retirement</t>
  </si>
  <si>
    <t>Insurance - Judgment</t>
  </si>
  <si>
    <t>800</t>
  </si>
  <si>
    <t>Transfers</t>
  </si>
  <si>
    <t>General Education</t>
  </si>
  <si>
    <t>Gifted and Talented</t>
  </si>
  <si>
    <t>Regular High School Diploma</t>
  </si>
  <si>
    <t>GED or Equivalent</t>
  </si>
  <si>
    <t>No Diploma or Something Else</t>
  </si>
  <si>
    <t>Not Paraprofessional</t>
  </si>
  <si>
    <t>Regular Paraprofessional</t>
  </si>
  <si>
    <t>Title Paraprofessional</t>
  </si>
  <si>
    <t>H</t>
  </si>
  <si>
    <t>Home Schooled</t>
  </si>
  <si>
    <t>Student receives majority of educational instruction using the curriculum adopted by the parent/guardian.</t>
  </si>
  <si>
    <t>Private Schooled</t>
  </si>
  <si>
    <t>Student receives majority of educational instruction using the curriculum adopted by the private (or non-public) entity.</t>
  </si>
  <si>
    <t>Not PH Schooled</t>
  </si>
  <si>
    <t>Student receives majority of educational instruction using the curriculum adopted by the district or charter school.</t>
  </si>
  <si>
    <t>Administrative Assistant</t>
  </si>
  <si>
    <t>Cell or Mobile</t>
  </si>
  <si>
    <t>Direct Line</t>
  </si>
  <si>
    <t>Home</t>
  </si>
  <si>
    <t>Main Business</t>
  </si>
  <si>
    <t>Title IX - 504 Coordinator</t>
  </si>
  <si>
    <t>Title IX - 504</t>
  </si>
  <si>
    <t>AOC</t>
  </si>
  <si>
    <t>Advanced Opportunity Coordinator</t>
  </si>
  <si>
    <t>Advanced Opportunity Program</t>
  </si>
  <si>
    <t>APC</t>
  </si>
  <si>
    <t>Advanced Placement (AP) Coordinator</t>
  </si>
  <si>
    <t>Advanced Placement (AP) Program</t>
  </si>
  <si>
    <t>APR</t>
  </si>
  <si>
    <t>Assistant Principal</t>
  </si>
  <si>
    <t>BEC</t>
  </si>
  <si>
    <t>Title I-A Improving Basic Programs Coordinator</t>
  </si>
  <si>
    <t>Title I-A Improving Basic Programs</t>
  </si>
  <si>
    <t>BSN</t>
  </si>
  <si>
    <t>Business Manager</t>
  </si>
  <si>
    <t>CEEC</t>
  </si>
  <si>
    <t>College Entrance Exam Coordinator</t>
  </si>
  <si>
    <t>College Entrance Exam</t>
  </si>
  <si>
    <t>CGM</t>
  </si>
  <si>
    <t>Consolidated Grants Manager</t>
  </si>
  <si>
    <t>Consolidated Grants</t>
  </si>
  <si>
    <t>CLC</t>
  </si>
  <si>
    <t>21st Century Community Learning Center Coordinator</t>
  </si>
  <si>
    <t>21st Century Community Learning Program</t>
  </si>
  <si>
    <t>COB</t>
  </si>
  <si>
    <t>Clerk of the Board</t>
  </si>
  <si>
    <t>CSA</t>
  </si>
  <si>
    <t>Charter School Administrator</t>
  </si>
  <si>
    <t>CTC</t>
  </si>
  <si>
    <t>Computer Technology Coordinator</t>
  </si>
  <si>
    <t>Computer Technology</t>
  </si>
  <si>
    <t>CTE</t>
  </si>
  <si>
    <t>Career and Technical Education Coordinator</t>
  </si>
  <si>
    <t xml:space="preserve">Career and Technical Education </t>
  </si>
  <si>
    <t>CUR</t>
  </si>
  <si>
    <t>Curriculum/Instruction Coordinator</t>
  </si>
  <si>
    <t xml:space="preserve">Curriculum/Instruction </t>
  </si>
  <si>
    <t>DEC</t>
  </si>
  <si>
    <t>Drivers Ed Coordinator</t>
  </si>
  <si>
    <t>Drivers Education</t>
  </si>
  <si>
    <t>DTC</t>
  </si>
  <si>
    <t>District Test Coordinator</t>
  </si>
  <si>
    <t>District Testing</t>
  </si>
  <si>
    <t>ERBC</t>
  </si>
  <si>
    <t>E-Rate/Broadband Coordinator</t>
  </si>
  <si>
    <t>FSD</t>
  </si>
  <si>
    <t>Food Service Director</t>
  </si>
  <si>
    <t>GNT</t>
  </si>
  <si>
    <t>Gifted and Talented Coordinator</t>
  </si>
  <si>
    <t>GUP</t>
  </si>
  <si>
    <t>GEARUP Coordinator</t>
  </si>
  <si>
    <t>HED</t>
  </si>
  <si>
    <t>Title IX-A  McKinney-Vento Homeless Education Coordinator</t>
  </si>
  <si>
    <t>Title IX-A  McKinney-Vento Homeless Education</t>
  </si>
  <si>
    <t>Human Resources/Personnel</t>
  </si>
  <si>
    <t>IELA</t>
  </si>
  <si>
    <t>English Language Proficiency Assessment Coordinator</t>
  </si>
  <si>
    <t>English Language Proficiency Assessment</t>
  </si>
  <si>
    <t>IRIC</t>
  </si>
  <si>
    <t>Idaho Reading Indicator</t>
  </si>
  <si>
    <t>ISAT</t>
  </si>
  <si>
    <t>Idaho Standards Achievement Test</t>
  </si>
  <si>
    <t>ISE</t>
  </si>
  <si>
    <t>ISEE Personnel</t>
  </si>
  <si>
    <t>ISEE Data Reporting</t>
  </si>
  <si>
    <t>LEP</t>
  </si>
  <si>
    <t>State EL &amp; Title III Language Instruction for English Learners</t>
  </si>
  <si>
    <t>MAC</t>
  </si>
  <si>
    <t>Mathematics Coordinator</t>
  </si>
  <si>
    <t>MED</t>
  </si>
  <si>
    <t>Title I-C Migrant Education Coordinator</t>
  </si>
  <si>
    <t>Title I-C Migrant Education</t>
  </si>
  <si>
    <t>MEFR</t>
  </si>
  <si>
    <t>Title I-C Migrant Education Family Liaison/Recruiter</t>
  </si>
  <si>
    <t>MEGS</t>
  </si>
  <si>
    <t>Title I-C Migrant Education Graduation Specialist</t>
  </si>
  <si>
    <t>Title I-C Migrant Education Graduation</t>
  </si>
  <si>
    <t>MVL</t>
  </si>
  <si>
    <t>Title IX-A  McKinney-Vento Liaison</t>
  </si>
  <si>
    <t>Title IX-A  McKinney-Vento</t>
  </si>
  <si>
    <t>NAEP</t>
  </si>
  <si>
    <t>National Assessment of Educational Progress Coordinator</t>
  </si>
  <si>
    <t>National Assessment of Educational Progress</t>
  </si>
  <si>
    <t>NDE</t>
  </si>
  <si>
    <t>Title I-D Neglected/Delinquent Education Coordinator</t>
  </si>
  <si>
    <t>Title I-D Neglected/Delinquent Education</t>
  </si>
  <si>
    <t>NSE</t>
  </si>
  <si>
    <t>Title IX Personnel</t>
  </si>
  <si>
    <t>Title IX</t>
  </si>
  <si>
    <t>Operations and Maintenance Supervisor</t>
  </si>
  <si>
    <t>Operations and Maintenance</t>
  </si>
  <si>
    <t>OTH</t>
  </si>
  <si>
    <t>PIR</t>
  </si>
  <si>
    <t>Public Information/Community Relations Coordinator</t>
  </si>
  <si>
    <t>Public Information/Community Relations</t>
  </si>
  <si>
    <t>PRI</t>
  </si>
  <si>
    <t>Principal</t>
  </si>
  <si>
    <t>RLS</t>
  </si>
  <si>
    <t>Title V-B Rural Education Program Coordinator</t>
  </si>
  <si>
    <t>Title V-B Rural Education Program</t>
  </si>
  <si>
    <t>RTI</t>
  </si>
  <si>
    <t>Response to Intervention Coordinator</t>
  </si>
  <si>
    <t>Response to Intervention</t>
  </si>
  <si>
    <t>SCL</t>
  </si>
  <si>
    <t>Scholarship Coordinator</t>
  </si>
  <si>
    <t>Scholarships</t>
  </si>
  <si>
    <t>SCOU</t>
  </si>
  <si>
    <t>School Counselor</t>
  </si>
  <si>
    <t>SED</t>
  </si>
  <si>
    <t>Special Education Director or Designee</t>
  </si>
  <si>
    <t xml:space="preserve">Special Education </t>
  </si>
  <si>
    <t>SFS</t>
  </si>
  <si>
    <t>Safe &amp; Drug Free Schools Coordinator</t>
  </si>
  <si>
    <t>Safe &amp; Drug Free Schools</t>
  </si>
  <si>
    <t>SNUR</t>
  </si>
  <si>
    <t>School Nurse</t>
  </si>
  <si>
    <t>SPDC</t>
  </si>
  <si>
    <t>Staff Professional Development Coordinator</t>
  </si>
  <si>
    <t>Staff Professional Development</t>
  </si>
  <si>
    <t>SSC</t>
  </si>
  <si>
    <t>Title IV-A Student Support and Academic Enrichment Coordinator</t>
  </si>
  <si>
    <t>Title IV-A Student Support and Academic Enrichment</t>
  </si>
  <si>
    <t>SUD</t>
  </si>
  <si>
    <t>Superintendent Deputy (Assistant)</t>
  </si>
  <si>
    <t>SUP</t>
  </si>
  <si>
    <t>Superintendent</t>
  </si>
  <si>
    <t>TEC</t>
  </si>
  <si>
    <t>Technology Director</t>
  </si>
  <si>
    <t>Technology</t>
  </si>
  <si>
    <t>TPQ</t>
  </si>
  <si>
    <t>Title II-A Supporting Effective Instruction Coordinator</t>
  </si>
  <si>
    <t>Title II-A Supporting Effective Instruction</t>
  </si>
  <si>
    <t>TRN</t>
  </si>
  <si>
    <t>Transportation Supervisor</t>
  </si>
  <si>
    <t>Graduated by completing all necessary high school credit/content graduation requirements, with or without accommodations, and have met any additional graduation requirements. 08.02.03.105</t>
  </si>
  <si>
    <t>Students who have graduated with a regular high school diploma which is fully aligned with Idaho State High School Graduation Requirements. 08.02.03.105 
Students who graduate with 4A should be exited from special education and are no longer entitled to Free Appropriate Public Education (FAPE)</t>
  </si>
  <si>
    <t>Students that did NOT meet Idaho State High School Graduation Requirements outlined in 08.02.03.105 but whose program of study addressed adapted (modified or differentiated) coursework as outlined in an IEP.</t>
  </si>
  <si>
    <t xml:space="preserve">Students with disabilities who have satisfied an IEP but NOT regular Idaho State High School Graduation Requirements; 
** Students who qualify for special education are entitled to FAPE until the semester in which the student turns 21 - IDAPA 08.02.03.109.07  
** Students with this exit code are counted and reported as non graduates.
</t>
  </si>
  <si>
    <t>Reached Maximum Age - 21 years of age. Idaho Code 33-201</t>
  </si>
  <si>
    <t>Students who have completed the semester in which they turned 21, without receiving a regular high school diploma which is fully aligned with Idaho State High School Graduation Requirements. 08.02.03.105</t>
  </si>
  <si>
    <t>Dropped out</t>
  </si>
  <si>
    <t>Student exiting current enrollment, and does not meet the definition for any other inactive reason. 
Include:
  • confirmed dropouts
  • runaways
  • expelled students (not receiving district gifted and talented services) Does not include special education services.
  • students whose status is unknown
  • students leaving school and to receive a GED</t>
  </si>
  <si>
    <t>Transferred, Moved Known to be Continuing</t>
  </si>
  <si>
    <t xml:space="preserve">Student transferred to another district or education agency and is known to be continuing in a general or special education program. Include students receiving education in:
  • Residential treatment centers
  • Juvenile detention centers
  • Correctional facilities
  • Private schools
  • Job Corps
  • Virtual Charter Schools
  • Home School
To use this code, there must be verification that the student is continuing in some education program in the form of a request for records. Hearsay is not adequate verification that the student is known to continue. </t>
  </si>
  <si>
    <t>No Longer Eligible for Program</t>
  </si>
  <si>
    <t>No Longer Eligible/Returned to General Education</t>
  </si>
  <si>
    <t xml:space="preserve">Students who are determined no longer eligible to participate in the program through eligibility determination. Students who no longer have an active IEP and are no longer receiving special education services or are no longer participating in a Gifted and Talented program and are now receiving all educational services from a regular education program. </t>
  </si>
  <si>
    <t>Student passed away.</t>
  </si>
  <si>
    <t xml:space="preserve">Students who have passed away during the school year or who have passed away during the summer </t>
  </si>
  <si>
    <t>Revoked Consent</t>
  </si>
  <si>
    <t>Parent/Adult Student Revokes Consent</t>
  </si>
  <si>
    <t>Students for whom parent/adult student revokes consent for special education services.</t>
  </si>
  <si>
    <t>Extended School Year</t>
  </si>
  <si>
    <t>Extended School Year (ESY)</t>
  </si>
  <si>
    <t xml:space="preserve">A program to provide special education and related services to an eligible student with a disability beyond the conventional number of instructional days in a school year and at no cost to the parents. An ESY program must be based on an IEP team decision and meet Idaho standards. </t>
  </si>
  <si>
    <t>Summer break from program services; expected to resume the following school year.</t>
  </si>
  <si>
    <t>Students with active IEP, temporarily exiting from sped services for the summer, expected to resume services in the following school year. 
Students in Gifted/Talented program, temporarily exiting from services for Summer break, expected to resume the program the following school year.</t>
  </si>
  <si>
    <t xml:space="preserve">Active indicates that the student is determined eligible for program services and the student is actively receiving services. </t>
  </si>
  <si>
    <t>Students exiting with program exit reason of Extended School Year (ESY) should be Program Status A-Active</t>
  </si>
  <si>
    <t xml:space="preserve">Inactive indicates that the student was determined eligible for program services and the student is no longer actively receiving services. </t>
  </si>
  <si>
    <t>Students exiting with program exit reason of Extended School Year (ESY) should not be Program Status I-Inactive</t>
  </si>
  <si>
    <t>Tested-Ineligible (SEStatus Only)</t>
  </si>
  <si>
    <t>Tested for initial eligibility and determined not eligible for special education and related services. (Did Not Qualify)</t>
  </si>
  <si>
    <t>Initial eligibility determination that the student did not meet eligibility criteria for special education and related services. (For initial eligibility only)</t>
  </si>
  <si>
    <t>BAL</t>
  </si>
  <si>
    <t>Balance Sheet</t>
  </si>
  <si>
    <t>Expenditures</t>
  </si>
  <si>
    <t>REV</t>
  </si>
  <si>
    <t>Revenues</t>
  </si>
  <si>
    <t>AA</t>
  </si>
  <si>
    <t>Additional Assessment(s) needed</t>
  </si>
  <si>
    <t>The parent or adult student has requested additional internal or external assessments as part of the eligibility determination. Note, the request for additional assessments does not extend the 60-day timeline.</t>
  </si>
  <si>
    <t>Idaho Special Education Manual - Chapter 4</t>
  </si>
  <si>
    <t>Reasonable Efforts - Failure to Produce</t>
  </si>
  <si>
    <t xml:space="preserve">The parent repeatedly fails or refuses to produce the student for an evaluation after the district has made reasonable efforts to schedule an evaluation. Allowable exception to the 60-day timeline. </t>
  </si>
  <si>
    <t>Scheduling Difficulties</t>
  </si>
  <si>
    <t>Inability to coordinate with all concerned (external) stakeholders. Note: Scheduling difficulties does not extend the 60-day timeline.</t>
  </si>
  <si>
    <t>Student moved into district with written extension request</t>
  </si>
  <si>
    <t xml:space="preserve">Student joined district with an initial eligibility in process and an existing extension request is in place. Allowable exception to the 60-day timeline. </t>
  </si>
  <si>
    <t>Staffing Issues</t>
  </si>
  <si>
    <t>Inability to coordinate due to staffing resources. Note: Staffing issues does not extend the 60-day timeline.</t>
  </si>
  <si>
    <t>Eligible</t>
  </si>
  <si>
    <t>Special Education eligibility determination: eligible.</t>
  </si>
  <si>
    <t>Student met Idaho eligibility criteria and was determined eligible for special education and related services.</t>
  </si>
  <si>
    <t>Special Education eligibility determination: not eligible.</t>
  </si>
  <si>
    <t>Student did not meet Idaho eligibility criteria or was exited from special education and related services with one of the following program exit reasons.
  • 01 - Graduated – Met State Standards
  • 04 - Reached Maximum Age
  • 07 - No Longer Eligible for Program
  • 08 - Deceased
  • 09 - Revoked Consent</t>
  </si>
  <si>
    <t>U</t>
  </si>
  <si>
    <t>Undetermined</t>
  </si>
  <si>
    <t xml:space="preserve">For initial eligibilities only. Initial Special Education eligibility was undetermined. - IF UNDETERMINED YOU MUST PROVIDE A REASON THAT ELIGIBILITY WAS UNDETERMINED </t>
  </si>
  <si>
    <t>Student's initial eligibility determination process was interrupted. (For initial eligibility determination only)</t>
  </si>
  <si>
    <t>General ed class 80% or more</t>
  </si>
  <si>
    <t xml:space="preserve">GRADE K - 21-YEAR-OLDS: The student is inside the general education classroom 80% or more of the day. For example, in a 6 hour school day, the student is inside the regular class for at least 4 hours and 48 minutes. </t>
  </si>
  <si>
    <t xml:space="preserve">Kindergarten age-eligible students should be promoted to the kindergarten grade level to ensure access to free appropriate public education (FAPE). See the Idaho Special Education Manual and Attendance and Enrollment Manual pages 6 and 21-22. </t>
  </si>
  <si>
    <t>General ed class 40 - 80%</t>
  </si>
  <si>
    <t>GRADE K - 21-YEAR-OLDS: The student is inside the general education classroom 40% but not more than 79% of the school day. For example, in a 6 hour school day, the student is inside the regular class for at least 2 hours, 25 minutes but not more than 4 hours, 47 minutes.</t>
  </si>
  <si>
    <t>General ed class less than 40%</t>
  </si>
  <si>
    <t>GRADE K - 21-YEAR-OLDS: The student is inside the general education classroom less than 40% of the school day. In a 6 hour school day, the student is inside the regular class for 2 hours, 24 minutes or less.</t>
  </si>
  <si>
    <t>Public separate day school</t>
  </si>
  <si>
    <t>GRADE K - 21-YEAR-OLDS: The student is in a district self-contained classroom in a separate special education school for more than 50% of the school day. For example, more than 3 hours in a 6 hour day.</t>
  </si>
  <si>
    <t>Private separate day school</t>
  </si>
  <si>
    <t>GRADE K - 21-YEAR-OLDS: The student is placed in a private special education day school/facility at public expense for more than 50% of the school day. For example, more than 3 hours in a 6 hour school day.</t>
  </si>
  <si>
    <t>Public residential facility</t>
  </si>
  <si>
    <t>GRADE K - 21-YEAR-OLDS: The student receives education services in a public residential facility for more than 50% of the school day and resides in that facility during the school week.</t>
  </si>
  <si>
    <t>Private residential facility</t>
  </si>
  <si>
    <t>GRADE K - 21-YEAR-OLDS: The student receives education services in a private residential facility at public expense for more than 50% of the school day and resides in that facility during the school week.</t>
  </si>
  <si>
    <t>Homebound/Hospital</t>
  </si>
  <si>
    <t>GRADE K - 21-YEAR-OLDS: The student receives special education services in a hospital or homebound setting (do not include home-schooled students or virtual charter school students.)</t>
  </si>
  <si>
    <t>Correctional facility</t>
  </si>
  <si>
    <t>GRADE K - 21-YEAR-OLDS: The student receives special education services in a detention center or correctional facility.</t>
  </si>
  <si>
    <t>Enrolled private by parents</t>
  </si>
  <si>
    <t xml:space="preserve">GRADE K - 21-YEAR-OLDS: The student is on a service plan and voluntarily enrolled in a private school by parents. The only services provided at public expense are special education and related services. Do not include students enrolled in a public virtual charter school. </t>
  </si>
  <si>
    <t>Separate Class</t>
  </si>
  <si>
    <t>GRADE PK: The student DOES NOT attend a Regular Early Childhood Program but DOES attend a public or private Special Education Program. Separate Class: Student attends a special education program in a class with less than 50% non-disabled children.</t>
  </si>
  <si>
    <t>Separate School</t>
  </si>
  <si>
    <t>GRADE PK: The student DOES NOT attend a Regular Early Childhood Program but DOES attend a public or private Special Education Program. Separate School: Student receives education programs in public or private day schools designed specifically for children with disabilities.</t>
  </si>
  <si>
    <t>Residential Facility</t>
  </si>
  <si>
    <t>GRADE PK: The student DOES NOT attend a Regular Early Childhood Program but DOES attend a public or private Special Education Program. Residential Facility: Student receives all special education and related services in a public or private residential facility.</t>
  </si>
  <si>
    <t>Service Provider Location</t>
  </si>
  <si>
    <t>GRADE PK: The student DOES NOT attend a Regular Early Childhood Program and DOES NOT attend a Special Education Program. Service Provider Location: Student receives all special education and related services from a service provider.</t>
  </si>
  <si>
    <t>Student receives all special education and related services at a service provider location.</t>
  </si>
  <si>
    <t>GRADE PK: The student DOES NOT attend a Regular Early Childhood Program and DOES NOT attend a Special Education Program. Home: Student receives the majority of special education and related services in the principal residence of the child’s family or caregivers. May include students who receive some services in a service provider location but receive the majority of services in the principal residence.</t>
  </si>
  <si>
    <t>For example, a student receives developmental services at home and receives speech-language therapy at the service providers location.</t>
  </si>
  <si>
    <t>&gt;10 hours Regular EC Program provides majority of services</t>
  </si>
  <si>
    <t>GRADE PK: Attends a Regular Early Childhood Program at least 10 hours per week and receives the majority of Special Education and Related Services in the Regular Early Childhood Program.</t>
  </si>
  <si>
    <t xml:space="preserve">A regular early childhood program, is a program that includes a majority (at least 50 percent) of nondisabled children (i.e., children not on IEPs). This category may include, but is not limited to:
• Head Start
• Preschool classes (public or private)
• Group child development center or child care
Kindergarten age-eligible students should be promoted to the kindergarten grade level to ensure appropriate coding and funding. access to free appropriate public education (FAPE). See the Idaho Special Education Manual and Attendance and Enrollment Manual pages 6 and 21-22. </t>
  </si>
  <si>
    <t>&gt;10 hours Regular EC Program; majority of services provided elsewhere</t>
  </si>
  <si>
    <t>GRADE PK: Attends a Regular Early Childhood Program more than 10 hours per week, but the student receives the majority of Special Education and related services in another location.</t>
  </si>
  <si>
    <t>&lt;10 hours Regular EC Program provides majority of services</t>
  </si>
  <si>
    <t>GRADE PK: Attends a Regular Early Childhood program less than 10 hours per week and receives the majority of Special Education and Related Services in the Regular Early Childhood Program.</t>
  </si>
  <si>
    <t>&lt;10 hours Regular EC Program; majority of services provided elsewhere</t>
  </si>
  <si>
    <t>GRADE PK: Attends a Regular Early Childhood Program less than 10 hours per week and receives Special Education and Related Services from another location.</t>
  </si>
  <si>
    <t>To work for another educational institution inside Idaho</t>
  </si>
  <si>
    <t>To work for another educational institution outside Idaho</t>
  </si>
  <si>
    <t>Leaving education profession</t>
  </si>
  <si>
    <t>Returning to school</t>
  </si>
  <si>
    <t>Spouse transferred</t>
  </si>
  <si>
    <t>Retirement</t>
  </si>
  <si>
    <t>Death</t>
  </si>
  <si>
    <t>Reduction in force</t>
  </si>
  <si>
    <t>Personal reasons</t>
  </si>
  <si>
    <t>Involuntary termination</t>
  </si>
  <si>
    <t>Leave of absence</t>
  </si>
  <si>
    <t>Parental/family obligation</t>
  </si>
  <si>
    <t>Service in foreign country</t>
  </si>
  <si>
    <t>Military</t>
  </si>
  <si>
    <t>Non-certified staff no longer on district payroll</t>
  </si>
  <si>
    <t>Early retirement incentive program participant (I.C. 33-1004G only)</t>
  </si>
  <si>
    <t>Certificated to non-certificated</t>
  </si>
  <si>
    <t>The staff member changed from a certificated to a non-certificated position within the district.  Still employed</t>
  </si>
  <si>
    <t>Non-certificated to Certificated</t>
  </si>
  <si>
    <t>The staff member changed from a non-certificated to a certificated position within the district.  Still employed</t>
  </si>
  <si>
    <t>AN</t>
  </si>
  <si>
    <t>Acts of Nature</t>
  </si>
  <si>
    <t>District/Charter closure as a result of fire, flood, snow or other inclement weather, or widespread communicable illness.</t>
  </si>
  <si>
    <t>District/Charter closure for all students of 5 or more consecutive school days as a result of an act of nature. This may also include instances where the district is out of regular session as a result of illness.</t>
  </si>
  <si>
    <t>HB</t>
  </si>
  <si>
    <t>Holiday Break</t>
  </si>
  <si>
    <t>Thanksgiving, Winter Break</t>
  </si>
  <si>
    <t xml:space="preserve">District/Charter closure for all students of 5 or more consecutive school days as a result of a holiday break. </t>
  </si>
  <si>
    <t>OB</t>
  </si>
  <si>
    <t>Other School Break</t>
  </si>
  <si>
    <t>A break such as harvest break, hunting, etc.</t>
  </si>
  <si>
    <t xml:space="preserve">District/Charter closure for all students of 5 or more consecutive school days as a result of a other school break . </t>
  </si>
  <si>
    <t>Spring Break</t>
  </si>
  <si>
    <t>Spring Break period</t>
  </si>
  <si>
    <t xml:space="preserve">District/Charter closure for all students of 5 or more consecutive school days as a result of Spring Break. </t>
  </si>
  <si>
    <t>Summer Break period</t>
  </si>
  <si>
    <t>District/Charter closure for all students of 5 or more consecutive school days as a result of Summer Break</t>
  </si>
  <si>
    <t>AB</t>
  </si>
  <si>
    <t>Alberta</t>
  </si>
  <si>
    <t>AK</t>
  </si>
  <si>
    <t>Alaska</t>
  </si>
  <si>
    <t>Alabama</t>
  </si>
  <si>
    <t>Arkansas</t>
  </si>
  <si>
    <t>Arizona</t>
  </si>
  <si>
    <t>BC</t>
  </si>
  <si>
    <t>British Columbia</t>
  </si>
  <si>
    <t>California</t>
  </si>
  <si>
    <t>Colorado</t>
  </si>
  <si>
    <t>Connecticut</t>
  </si>
  <si>
    <t>DC</t>
  </si>
  <si>
    <t>District of Columbia</t>
  </si>
  <si>
    <t>FL</t>
  </si>
  <si>
    <t>Florida</t>
  </si>
  <si>
    <t>HI</t>
  </si>
  <si>
    <t>Hawaii</t>
  </si>
  <si>
    <t>IA</t>
  </si>
  <si>
    <t>Iowa</t>
  </si>
  <si>
    <t>Illinois</t>
  </si>
  <si>
    <t>Indiana</t>
  </si>
  <si>
    <t>KS</t>
  </si>
  <si>
    <t>Kansas</t>
  </si>
  <si>
    <t>Kentucky</t>
  </si>
  <si>
    <t>Louisiana</t>
  </si>
  <si>
    <t>Massachusetts</t>
  </si>
  <si>
    <t>MB</t>
  </si>
  <si>
    <t>Manitoba</t>
  </si>
  <si>
    <t>Maryland</t>
  </si>
  <si>
    <t>Maine</t>
  </si>
  <si>
    <t>MI</t>
  </si>
  <si>
    <t>Michigan</t>
  </si>
  <si>
    <t>Minnesota</t>
  </si>
  <si>
    <t>Missouri</t>
  </si>
  <si>
    <t>Mississippi</t>
  </si>
  <si>
    <t>Montana</t>
  </si>
  <si>
    <t>NB</t>
  </si>
  <si>
    <t>New Brunswick</t>
  </si>
  <si>
    <t>North Carolina</t>
  </si>
  <si>
    <t>ND</t>
  </si>
  <si>
    <t>North Dakota</t>
  </si>
  <si>
    <t>Nebraska</t>
  </si>
  <si>
    <t>NH</t>
  </si>
  <si>
    <t>New Hampshire</t>
  </si>
  <si>
    <t>NJ</t>
  </si>
  <si>
    <t>New Jersey</t>
  </si>
  <si>
    <t>Newfoundland</t>
  </si>
  <si>
    <t>NM</t>
  </si>
  <si>
    <t>New Mexico</t>
  </si>
  <si>
    <t>NS</t>
  </si>
  <si>
    <t>Nova Scotia</t>
  </si>
  <si>
    <t>NV</t>
  </si>
  <si>
    <t>Nevada</t>
  </si>
  <si>
    <t>NY</t>
  </si>
  <si>
    <t>New York</t>
  </si>
  <si>
    <t>OH</t>
  </si>
  <si>
    <t>Ohio</t>
  </si>
  <si>
    <t>OK</t>
  </si>
  <si>
    <t>Oklahoma</t>
  </si>
  <si>
    <t>ON</t>
  </si>
  <si>
    <t>Ontario</t>
  </si>
  <si>
    <t>OR</t>
  </si>
  <si>
    <t>Oregon</t>
  </si>
  <si>
    <t>OT</t>
  </si>
  <si>
    <t>Pennsylvania</t>
  </si>
  <si>
    <t>Prince Edward Island</t>
  </si>
  <si>
    <t>PQ</t>
  </si>
  <si>
    <t>Quebec</t>
  </si>
  <si>
    <t>RI</t>
  </si>
  <si>
    <t>Rhode Island</t>
  </si>
  <si>
    <t>South Carolina</t>
  </si>
  <si>
    <t>South Dakota</t>
  </si>
  <si>
    <t>Saskatchewan</t>
  </si>
  <si>
    <t>Tennessee</t>
  </si>
  <si>
    <t>TX</t>
  </si>
  <si>
    <t>Texas</t>
  </si>
  <si>
    <t>UT</t>
  </si>
  <si>
    <t>Utah</t>
  </si>
  <si>
    <t>Virginia</t>
  </si>
  <si>
    <t>Virgin Islands</t>
  </si>
  <si>
    <t>VT</t>
  </si>
  <si>
    <t>Vermont</t>
  </si>
  <si>
    <t>WA</t>
  </si>
  <si>
    <t>WI</t>
  </si>
  <si>
    <t>Wisconsin</t>
  </si>
  <si>
    <t>WV</t>
  </si>
  <si>
    <t>West Virginia</t>
  </si>
  <si>
    <t>WY</t>
  </si>
  <si>
    <t>Wyoming</t>
  </si>
  <si>
    <t>Lead Team Teacher</t>
  </si>
  <si>
    <t>A certified (TOR) educator who is the primary teacher of record and works with a non-primary, certified "assisting teacher". 
Note: Teacher of Record (TOR) is defined as the person who is primarily responsible for planning instruction, delivering instruction, assessing students formatively and summatively, and designating the final grade.</t>
  </si>
  <si>
    <t>Both teachers (lead and assisting) must have a record with matching assignment code, period, sectionId and schoolId. Students’ course records must link to those matching assignments records. Requires proper certification and a valid Idaho endorsement for this assignment.</t>
  </si>
  <si>
    <t>Assisting Teacher</t>
  </si>
  <si>
    <r>
      <t xml:space="preserve">A certified instructor assisting a certified "lead team teacher". Both teachers (assisting and lead) must have a record with matching assignment code, period, sectionId and schoolId. Students’ course records must link to those matching assignments records. Requires certification and </t>
    </r>
    <r>
      <rPr>
        <i/>
        <sz val="10"/>
        <rFont val="Arial"/>
        <family val="2"/>
      </rPr>
      <t>any</t>
    </r>
    <r>
      <rPr>
        <sz val="10"/>
        <rFont val="Arial"/>
        <family val="2"/>
      </rPr>
      <t xml:space="preserve"> valid Idaho endorsement. </t>
    </r>
  </si>
  <si>
    <t>Student Teacher</t>
  </si>
  <si>
    <t>Co-Teacher</t>
  </si>
  <si>
    <t>A certified (TOR) instructor who shares an assignment equally with another certified (TOR) instructor.
Note: Teacher of Record (TOR) is defined as the person who is primarily responsible for planning instruction, delivering instruction, assessing students formatively and summatively, and designating the final grade.</t>
  </si>
  <si>
    <t>Both co-teachers have a record with matching assignment code, period, sectionId and schoolId. Students’ course records must link to those matching assignments records. Requires proper certification and a valid Idaho endorsement for this assignment, for both teachers.</t>
  </si>
  <si>
    <t>Long Term Substitute</t>
  </si>
  <si>
    <t xml:space="preserve">A qualified individual who temporarily acts on behalf of a contracted certified (TOR) instructor for 10 or more consecutive days during the school year. </t>
  </si>
  <si>
    <t>There should be another Staff Assignment record with teachingRole T, C, or 1 (with matching assignment code, period, sectionId and schoolId). If there is no T,C, or 1 and the LTS is not properly certificated/endorsed with the applicable authorization/provisional application, the LEA is in violation of Idaho Code 33-1201.</t>
  </si>
  <si>
    <t>Proctor</t>
  </si>
  <si>
    <t xml:space="preserve">An individual who monitors students taking a virtual course. </t>
  </si>
  <si>
    <t>There must be a "provider instructor" identification in the Master Course Schedule. (i.e. for regular classroom setting - virtual course types). Record must match students' course records on courseCode, period, sectionId and schoolId.</t>
  </si>
  <si>
    <t>Teacher of Record</t>
  </si>
  <si>
    <t xml:space="preserve">The Teacher of Record (TOR) is defined as the certified educator who is primarily responsible for planning instruction, delivering instruction, assessing students formatively and summatively, and designating the final grade. </t>
  </si>
  <si>
    <t xml:space="preserve">Record must match students' course records on courseCode, period, sectionId and schoolId. Requires proper certification and a valid Idaho endorsement for this assignment. </t>
  </si>
  <si>
    <t>Short Term Substitute</t>
  </si>
  <si>
    <t xml:space="preserve">An individual who temporarily replaces a contracted certified instructor for less than 10 consecutive days. </t>
  </si>
  <si>
    <t>If reported, there must be another Staff Assignment record with teachingRole T, C, or 1 (with matching schoolId, period, sectionId, and assignment).</t>
  </si>
  <si>
    <t>Moved out of district</t>
  </si>
  <si>
    <t>Student moved out of the district prior to a determination being made</t>
  </si>
  <si>
    <t>Consent Not Received</t>
  </si>
  <si>
    <t>This undetermined reason is only applicable for students referred as potentially eligible for Part B services from the Infant Toddler Program. The date indicated in the consent date field is the date the LEA received a parental denial of consent or made contact with the family and provide notice of procedural safeguards and written information about the Part B and early childhood special education services. See Chapter 5 Section 5 of the Idaho Special Education Manual for additional information on LEA responsibilities.</t>
  </si>
  <si>
    <t>Non-Responsive</t>
  </si>
  <si>
    <t>The parent repeatedly fails or refuses to produce the student for an evaluation after the district has made reasonable efforts to schedule an evaluation.</t>
  </si>
  <si>
    <t>Student is deceased</t>
  </si>
  <si>
    <t>Student died prior to a determination being made</t>
  </si>
  <si>
    <t>WD</t>
  </si>
  <si>
    <t>Withdrawn by Parent</t>
  </si>
  <si>
    <t>Parent withdrew permission</t>
  </si>
  <si>
    <t>ED</t>
  </si>
  <si>
    <t>Explosive Device</t>
  </si>
  <si>
    <t>Destructive device. The term “destructive device” used in part (D) of the definition of “firearm” means 
A.      any explosive, incendiary, or poison gas— 
   i.   bomb, 
   ii.  grenade, 
   iii. rocket having a propellant charge of more than four ounces, 
   iv. missile having an explosive or incendiary charge of more than one-quarter ounce, 
   v.   mine,</t>
  </si>
  <si>
    <t>HG</t>
  </si>
  <si>
    <t>Handgun</t>
  </si>
  <si>
    <t>The term “handgun” means— (A) a firearm which has a short stock and is designed to be held and fired by the use of a single hand; and (B)any combination of parts from which a firearm described in subparagraph (A) can be assembled.
18 USC § 921(a)(29)</t>
  </si>
  <si>
    <t>Knife (blade longer than 2.5 inches)</t>
  </si>
  <si>
    <t>Knife (blade less than 2.5 inches)</t>
  </si>
  <si>
    <t>Multiple Firearms</t>
  </si>
  <si>
    <t>Use of more than one of handguns, rifles/shotguns, or other type of firearms.</t>
  </si>
  <si>
    <t>None</t>
  </si>
  <si>
    <t>OF</t>
  </si>
  <si>
    <t>Other Type of Firearm</t>
  </si>
  <si>
    <t>A firearm is defined in Title 18 USC §921 as follows:
   A. any weapon (including a starter gun) which will or is designed to or may readily be converted to expel a projectile by the action of an explosive; 
   B. the frame or receiver of any such weapon; 
   C. any firearm muffler or firearm silencer; or 
   D. any destructive device. Such term does not include an antique firearm.</t>
  </si>
  <si>
    <t>Any firearm that is not a handgun, a rifle, or a shotgun.</t>
  </si>
  <si>
    <t>OO</t>
  </si>
  <si>
    <t>Other Object</t>
  </si>
  <si>
    <t>Shotgun/Rifle</t>
  </si>
  <si>
    <t>The term “shotgun” means a weapon designed or redesigned, made or remade, and intended to be fired from the shoulder and designed or redesigned and made or remade to use the energy of an explosive to fire through a smooth bore either a number of ball shot or a single projectile for each single pull of the trigger. 18 USC § 921(a)(5)
The term “short-barreled shotgun” means a shotgun having one or more barrels less than eighteen inches in length and any weapon made from a shotgun (whether by alteration, modification or otherwise) if such a weapon as modified has an overall length of less than twenty-six inches.
The term “rifle” means a weapon designed or redesigned, made or remade, and intended to be fired from the shoulder and designed or redesigned and made or remade to use the energy of an explosive to fire only a single projectile through a rifled bore for each single pull of the trigger. 18 USC § 921(a)(7)
The term “short-barreled rifle” means a rifle having one or more barrels less than sixteen inches in length and any weapon made from a rifle (whether by alteration, modification, or otherwise) if such weapon, as modified, has an overall length of less than twenty-six inches.</t>
  </si>
  <si>
    <t>Shotgun, short-barreled shotgun, rifle, or short-barreled rifle.</t>
  </si>
  <si>
    <t>Other Sharp Object</t>
  </si>
  <si>
    <t>SW</t>
  </si>
  <si>
    <t>Substance Used as a Weapon</t>
  </si>
  <si>
    <t>UN</t>
  </si>
  <si>
    <t>Unknown Weapon</t>
  </si>
  <si>
    <t>No</t>
  </si>
  <si>
    <t>Yes</t>
  </si>
  <si>
    <t>Not Applicable</t>
  </si>
  <si>
    <t>Agency</t>
  </si>
  <si>
    <t>Type</t>
  </si>
  <si>
    <t>CODE</t>
  </si>
  <si>
    <t>ASSIGNMENT TITLE</t>
  </si>
  <si>
    <t>Assignment Grade</t>
  </si>
  <si>
    <t>isCOURSE</t>
  </si>
  <si>
    <t>isCAPSTONE</t>
  </si>
  <si>
    <t>ENDORSEMENT/INDICATOR</t>
  </si>
  <si>
    <t>ENDORSEMENT/INDICATOR TITLE</t>
  </si>
  <si>
    <t>ENDORSEMENT/INDICATOR Grade</t>
  </si>
  <si>
    <t>ContentGrade</t>
  </si>
  <si>
    <t>SDE</t>
  </si>
  <si>
    <t>Instructional</t>
  </si>
  <si>
    <t>00005</t>
  </si>
  <si>
    <t>Elementary - Miscellaneous/Exploratory (K-8) (Restricted)</t>
  </si>
  <si>
    <t>K-8</t>
  </si>
  <si>
    <t>7010</t>
  </si>
  <si>
    <t>All Subjects (K-8)</t>
  </si>
  <si>
    <t>7014</t>
  </si>
  <si>
    <t>Blended Elementary Education/Elementary Special Education (4-6)</t>
  </si>
  <si>
    <t>4-6</t>
  </si>
  <si>
    <t>7083</t>
  </si>
  <si>
    <t>Blended Early Childhood/Early Childhood Special Education (Birth-Grade 3)</t>
  </si>
  <si>
    <t>PK-3</t>
  </si>
  <si>
    <t>K-3</t>
  </si>
  <si>
    <t>7999</t>
  </si>
  <si>
    <t>Public Charter School Teacher</t>
  </si>
  <si>
    <t>K-12</t>
  </si>
  <si>
    <t>00018</t>
  </si>
  <si>
    <t>Literacy (K-12)</t>
  </si>
  <si>
    <t>7139</t>
  </si>
  <si>
    <t>00019</t>
  </si>
  <si>
    <t>Early Literacy (K-3)</t>
  </si>
  <si>
    <t>7140</t>
  </si>
  <si>
    <t>00027</t>
  </si>
  <si>
    <t>American Indian Language (K-12)</t>
  </si>
  <si>
    <t>7770</t>
  </si>
  <si>
    <t>American Indian Language</t>
  </si>
  <si>
    <t>00029</t>
  </si>
  <si>
    <t>World Language (K-12)</t>
  </si>
  <si>
    <t>7701</t>
  </si>
  <si>
    <t>World Language - American Sign Language (K-12)</t>
  </si>
  <si>
    <t>7710</t>
  </si>
  <si>
    <t>7711</t>
  </si>
  <si>
    <t>World Language - Spanish (K-12)</t>
  </si>
  <si>
    <t>7712</t>
  </si>
  <si>
    <t>World Language - French (K-12)</t>
  </si>
  <si>
    <t>7713</t>
  </si>
  <si>
    <t>World Language - German (K-12)</t>
  </si>
  <si>
    <t>7714</t>
  </si>
  <si>
    <t>World Language - Russian (K-12)</t>
  </si>
  <si>
    <t>7715</t>
  </si>
  <si>
    <t>World Language - Chinese (K-12)</t>
  </si>
  <si>
    <t>7750</t>
  </si>
  <si>
    <t>World Language - Latin (K-12)</t>
  </si>
  <si>
    <t>7780</t>
  </si>
  <si>
    <t>World Language - Greek (K-12)</t>
  </si>
  <si>
    <t>7782</t>
  </si>
  <si>
    <t>World Language - Arabic (K-12)</t>
  </si>
  <si>
    <t>7790</t>
  </si>
  <si>
    <t>World Language - Persian (K-12)</t>
  </si>
  <si>
    <t>7791</t>
  </si>
  <si>
    <t>World Language - Portuguese (K-12)</t>
  </si>
  <si>
    <t>7792</t>
  </si>
  <si>
    <t>World Language - Japanese (K-12)</t>
  </si>
  <si>
    <t>7793</t>
  </si>
  <si>
    <t>World Language - Italian (K-12)</t>
  </si>
  <si>
    <t>7794</t>
  </si>
  <si>
    <t>World Language - Hebrew (K-12)</t>
  </si>
  <si>
    <t>7795</t>
  </si>
  <si>
    <t>World Language - Korean (K-12)</t>
  </si>
  <si>
    <t>7797</t>
  </si>
  <si>
    <t>World Language - Slovak (K-12)</t>
  </si>
  <si>
    <t>7798</t>
  </si>
  <si>
    <t>World Language - Czech (K-12)</t>
  </si>
  <si>
    <t>00031</t>
  </si>
  <si>
    <t>Music (K-12)</t>
  </si>
  <si>
    <t>7810</t>
  </si>
  <si>
    <t>00035</t>
  </si>
  <si>
    <t>Visual Arts (K-12)</t>
  </si>
  <si>
    <t>7851</t>
  </si>
  <si>
    <t>00051</t>
  </si>
  <si>
    <t>Physical Education (K-12)</t>
  </si>
  <si>
    <t>7511</t>
  </si>
  <si>
    <t>Physical Education (PE) (K-12)</t>
  </si>
  <si>
    <t>00052</t>
  </si>
  <si>
    <t>Health Education (K-12)</t>
  </si>
  <si>
    <t>7521</t>
  </si>
  <si>
    <t>Health (K-12)</t>
  </si>
  <si>
    <t>00070</t>
  </si>
  <si>
    <t>K-6</t>
  </si>
  <si>
    <t>00074</t>
  </si>
  <si>
    <t>7028</t>
  </si>
  <si>
    <t>Gifted and Talented (K-12)</t>
  </si>
  <si>
    <t>00080</t>
  </si>
  <si>
    <t>Special Education (K-8)</t>
  </si>
  <si>
    <t>7029</t>
  </si>
  <si>
    <t>Exceptional Child Education (K-12)</t>
  </si>
  <si>
    <t>7036</t>
  </si>
  <si>
    <t>Exceptional Child Education (K-8)</t>
  </si>
  <si>
    <t>00082</t>
  </si>
  <si>
    <t>Special Education (4-6)</t>
  </si>
  <si>
    <t>00083</t>
  </si>
  <si>
    <t>Early Childhood - Special Education (Pre-K)</t>
  </si>
  <si>
    <t>7019</t>
  </si>
  <si>
    <t>Early Childhood Special Education (Pre-K-3)</t>
  </si>
  <si>
    <t>00084</t>
  </si>
  <si>
    <t>Early Childhood - Special Education (K-3)</t>
  </si>
  <si>
    <t>00150</t>
  </si>
  <si>
    <r>
      <t>Juvenile Detention Instruction (K-8)</t>
    </r>
    <r>
      <rPr>
        <sz val="10"/>
        <color indexed="8"/>
        <rFont val="Arial"/>
        <family val="2"/>
      </rPr>
      <t xml:space="preserve"> </t>
    </r>
    <r>
      <rPr>
        <sz val="10"/>
        <color indexed="10"/>
        <rFont val="Arial"/>
        <family val="2"/>
      </rPr>
      <t>(Restricted)</t>
    </r>
  </si>
  <si>
    <t>01001</t>
  </si>
  <si>
    <t xml:space="preserve">English/Language Arts I (9th grade content level) </t>
  </si>
  <si>
    <t>7120</t>
  </si>
  <si>
    <t>English (6-12)</t>
  </si>
  <si>
    <t>6-12</t>
  </si>
  <si>
    <t>8120</t>
  </si>
  <si>
    <t>English (5-9)</t>
  </si>
  <si>
    <t>5-9</t>
  </si>
  <si>
    <t>01002</t>
  </si>
  <si>
    <t xml:space="preserve">English/Language Arts II (10th grade content level) </t>
  </si>
  <si>
    <t>01003</t>
  </si>
  <si>
    <t>English/Language Arts III (11th grade content level)</t>
  </si>
  <si>
    <t>01004</t>
  </si>
  <si>
    <t>English/Language Arts IV (12th grade content level)</t>
  </si>
  <si>
    <t>01005</t>
  </si>
  <si>
    <t>11-12</t>
  </si>
  <si>
    <t>01006</t>
  </si>
  <si>
    <t>01007</t>
  </si>
  <si>
    <t>01008</t>
  </si>
  <si>
    <t>English as a Second Language (K-12)</t>
  </si>
  <si>
    <t>7038</t>
  </si>
  <si>
    <t>Bilingual Education (K-12)</t>
  </si>
  <si>
    <t>7126</t>
  </si>
  <si>
    <t>English as a Second Language (ESL) (K-12)</t>
  </si>
  <si>
    <t>01009</t>
  </si>
  <si>
    <t>English as a Second Language - Support (K-12)</t>
  </si>
  <si>
    <t>01019</t>
  </si>
  <si>
    <t>01020</t>
  </si>
  <si>
    <t>Bilingual Education - Support (K-12)</t>
  </si>
  <si>
    <t>01053</t>
  </si>
  <si>
    <t>Literature (5-12)</t>
  </si>
  <si>
    <t>5-12</t>
  </si>
  <si>
    <t>01103</t>
  </si>
  <si>
    <t>Composition/Writing (5-12)</t>
  </si>
  <si>
    <t>01151</t>
  </si>
  <si>
    <t>Public Speaking/Speech/Communications (5-12)</t>
  </si>
  <si>
    <t>7134</t>
  </si>
  <si>
    <t>Journalism (6-12)</t>
  </si>
  <si>
    <t>7144</t>
  </si>
  <si>
    <t>Communication (6-12)</t>
  </si>
  <si>
    <t>8134</t>
  </si>
  <si>
    <t>Journalism (5-9)</t>
  </si>
  <si>
    <t>8144</t>
  </si>
  <si>
    <t>Communication (5-9)</t>
  </si>
  <si>
    <t>01153</t>
  </si>
  <si>
    <t>Debate (5-12)</t>
  </si>
  <si>
    <t>02002</t>
  </si>
  <si>
    <t>General Mathematics (5-8 Content)</t>
  </si>
  <si>
    <t>5-8</t>
  </si>
  <si>
    <t>7300</t>
  </si>
  <si>
    <t>Mathematics (6-12)</t>
  </si>
  <si>
    <t>8320</t>
  </si>
  <si>
    <t>Mathematics - Middle Level (5-9)</t>
  </si>
  <si>
    <t>02006</t>
  </si>
  <si>
    <t xml:space="preserve">Mathematics (6th grade content level) </t>
  </si>
  <si>
    <t>02007</t>
  </si>
  <si>
    <t xml:space="preserve">Mathematics (7th grade content level) </t>
  </si>
  <si>
    <t>02008</t>
  </si>
  <si>
    <t xml:space="preserve">Mathematics (8th grade content level) </t>
  </si>
  <si>
    <t>02052</t>
  </si>
  <si>
    <t>9-12</t>
  </si>
  <si>
    <t>02056</t>
  </si>
  <si>
    <t>02062</t>
  </si>
  <si>
    <t>02063</t>
  </si>
  <si>
    <t>02064</t>
  </si>
  <si>
    <t>02072</t>
  </si>
  <si>
    <t>02102</t>
  </si>
  <si>
    <t>02103</t>
  </si>
  <si>
    <t>02110</t>
  </si>
  <si>
    <t>10-12</t>
  </si>
  <si>
    <t>02114</t>
  </si>
  <si>
    <t>02121</t>
  </si>
  <si>
    <t>02124</t>
  </si>
  <si>
    <t>02125</t>
  </si>
  <si>
    <t>02135</t>
  </si>
  <si>
    <t>02136</t>
  </si>
  <si>
    <t>02151</t>
  </si>
  <si>
    <t>Applied Mathematics (9-12)</t>
  </si>
  <si>
    <t>02157</t>
  </si>
  <si>
    <t>02201</t>
  </si>
  <si>
    <t>02203</t>
  </si>
  <si>
    <t>02204</t>
  </si>
  <si>
    <t>AP/Dual Credit Computer Science - Mathematics (11-12 grade content)</t>
  </si>
  <si>
    <t>7400</t>
  </si>
  <si>
    <t>Computer Science (6-12)</t>
  </si>
  <si>
    <t>02205</t>
  </si>
  <si>
    <t>7990</t>
  </si>
  <si>
    <t>Engineering (6-12)</t>
  </si>
  <si>
    <t>03002</t>
  </si>
  <si>
    <t>Geology (5-12)</t>
  </si>
  <si>
    <t>7420</t>
  </si>
  <si>
    <t>Natural Science (6-12)</t>
  </si>
  <si>
    <t>7451</t>
  </si>
  <si>
    <t>Earth and Space Science (6-12)</t>
  </si>
  <si>
    <t>7452</t>
  </si>
  <si>
    <t>Geology (6-12)</t>
  </si>
  <si>
    <t>8451</t>
  </si>
  <si>
    <t>Earth and Space Science (5-9)</t>
  </si>
  <si>
    <t>8452</t>
  </si>
  <si>
    <t>Geology (5-9)</t>
  </si>
  <si>
    <t>8453</t>
  </si>
  <si>
    <t>Science - Middle Level (5-9)</t>
  </si>
  <si>
    <t>03008</t>
  </si>
  <si>
    <t>Earth and Space Science (5-12)</t>
  </si>
  <si>
    <t>03046</t>
  </si>
  <si>
    <t>Applied Science (5-12)</t>
  </si>
  <si>
    <t>7430</t>
  </si>
  <si>
    <t>Physical Science (6-12)</t>
  </si>
  <si>
    <t>7440</t>
  </si>
  <si>
    <t>Chemistry (6-12)</t>
  </si>
  <si>
    <t>7450</t>
  </si>
  <si>
    <t>Physics (6-12)</t>
  </si>
  <si>
    <t>8430</t>
  </si>
  <si>
    <t>Physical Science (5-9)</t>
  </si>
  <si>
    <t>8440</t>
  </si>
  <si>
    <t>Chemistry (5-9)</t>
  </si>
  <si>
    <t>8450</t>
  </si>
  <si>
    <t>Physics (5-9)</t>
  </si>
  <si>
    <t>03051</t>
  </si>
  <si>
    <t>Biology (5-12)</t>
  </si>
  <si>
    <t>7421</t>
  </si>
  <si>
    <t>Biological Science (6-12)</t>
  </si>
  <si>
    <t>8421</t>
  </si>
  <si>
    <t>Biological Science (5-9)</t>
  </si>
  <si>
    <t>03056</t>
  </si>
  <si>
    <t>03057</t>
  </si>
  <si>
    <t>03101</t>
  </si>
  <si>
    <t>Chemistry (5-12)</t>
  </si>
  <si>
    <t>03106</t>
  </si>
  <si>
    <t>03107</t>
  </si>
  <si>
    <t>03151</t>
  </si>
  <si>
    <t>Physics (5-12)</t>
  </si>
  <si>
    <t>03157</t>
  </si>
  <si>
    <t>03158</t>
  </si>
  <si>
    <t>03159</t>
  </si>
  <si>
    <t>Physical Science (5-12)</t>
  </si>
  <si>
    <t>03165</t>
  </si>
  <si>
    <t>03166</t>
  </si>
  <si>
    <t>03206</t>
  </si>
  <si>
    <t>03207</t>
  </si>
  <si>
    <t>03208</t>
  </si>
  <si>
    <t>AP/Dual Credit Computer Science - Science (11th-12th grade content)</t>
  </si>
  <si>
    <t>03209</t>
  </si>
  <si>
    <t>AP/Dual Credit Engineering - Science (11th-12th grade content)</t>
  </si>
  <si>
    <t>04001</t>
  </si>
  <si>
    <t>Geography (5-12)</t>
  </si>
  <si>
    <t>7200</t>
  </si>
  <si>
    <t>Social Studies (6-12)</t>
  </si>
  <si>
    <t>7226</t>
  </si>
  <si>
    <t>Geography (6-12)</t>
  </si>
  <si>
    <t>8220</t>
  </si>
  <si>
    <t>Social Studies - Middle Level (5-9)</t>
  </si>
  <si>
    <t>8226</t>
  </si>
  <si>
    <t>Geography (5-9)</t>
  </si>
  <si>
    <t>04003</t>
  </si>
  <si>
    <t>04004</t>
  </si>
  <si>
    <t>04051</t>
  </si>
  <si>
    <t>World History (5-12)</t>
  </si>
  <si>
    <t>7221</t>
  </si>
  <si>
    <t>History (6-12)</t>
  </si>
  <si>
    <t>8221</t>
  </si>
  <si>
    <t>History (5-9)</t>
  </si>
  <si>
    <t>04054</t>
  </si>
  <si>
    <t>04057</t>
  </si>
  <si>
    <t>04101</t>
  </si>
  <si>
    <t>U.S. History (5-12)</t>
  </si>
  <si>
    <t>04104</t>
  </si>
  <si>
    <t>04151</t>
  </si>
  <si>
    <t>American Government/Political Science (5-12)</t>
  </si>
  <si>
    <t>7222</t>
  </si>
  <si>
    <t>American Government/Political Science (6-12)</t>
  </si>
  <si>
    <t>8222</t>
  </si>
  <si>
    <t>American Government/Political Science (5-9)</t>
  </si>
  <si>
    <t>04157</t>
  </si>
  <si>
    <t>04159</t>
  </si>
  <si>
    <t>04196</t>
  </si>
  <si>
    <t>Valid Idaho Standard Instructional Certificate</t>
  </si>
  <si>
    <t>K12</t>
  </si>
  <si>
    <t>04200</t>
  </si>
  <si>
    <t>7228</t>
  </si>
  <si>
    <t>Economics (6-12)</t>
  </si>
  <si>
    <t>8228</t>
  </si>
  <si>
    <t>Economics (5-9)</t>
  </si>
  <si>
    <t>04201</t>
  </si>
  <si>
    <t>Economics (5-12)</t>
  </si>
  <si>
    <t>04203</t>
  </si>
  <si>
    <t>04204</t>
  </si>
  <si>
    <t>04205</t>
  </si>
  <si>
    <t>04206</t>
  </si>
  <si>
    <t>04251</t>
  </si>
  <si>
    <t>Anthropology (5-12)</t>
  </si>
  <si>
    <t>7236</t>
  </si>
  <si>
    <t>Sociology/Anthropology (6-12)</t>
  </si>
  <si>
    <t>8236</t>
  </si>
  <si>
    <t>Sociology/Anthropology (5-9)</t>
  </si>
  <si>
    <t>04253</t>
  </si>
  <si>
    <t>04254</t>
  </si>
  <si>
    <t>Psychology (5-12)</t>
  </si>
  <si>
    <t>7231</t>
  </si>
  <si>
    <t>Psychology (6-12)</t>
  </si>
  <si>
    <t>8231</t>
  </si>
  <si>
    <t>Psychology (5-9)</t>
  </si>
  <si>
    <t>04256</t>
  </si>
  <si>
    <t>04257</t>
  </si>
  <si>
    <t>04258</t>
  </si>
  <si>
    <t>Sociology (5-12)</t>
  </si>
  <si>
    <t>7229</t>
  </si>
  <si>
    <t>Sociology (6-12)</t>
  </si>
  <si>
    <t>8229</t>
  </si>
  <si>
    <t>Sociology (5-9)</t>
  </si>
  <si>
    <t>04302</t>
  </si>
  <si>
    <t>Interdisciplinary Humanities (5-12)</t>
  </si>
  <si>
    <t>7133</t>
  </si>
  <si>
    <t>Humanities (6-12)</t>
  </si>
  <si>
    <t>7700</t>
  </si>
  <si>
    <t>World Language (6-12)</t>
  </si>
  <si>
    <t>7702</t>
  </si>
  <si>
    <t>World Language - American Sign Language (6-12)</t>
  </si>
  <si>
    <t>7720</t>
  </si>
  <si>
    <t>World Language - Spanish (6-12)</t>
  </si>
  <si>
    <t>7730</t>
  </si>
  <si>
    <t>World Language - French (6-12)</t>
  </si>
  <si>
    <t>7740</t>
  </si>
  <si>
    <t>World Language - German (6-12)</t>
  </si>
  <si>
    <t>7760</t>
  </si>
  <si>
    <t>World Language - Russian (6-12)</t>
  </si>
  <si>
    <t>7779</t>
  </si>
  <si>
    <t>World Language - Greek (6-12)</t>
  </si>
  <si>
    <t>7781</t>
  </si>
  <si>
    <t>World Language - Arabic (6-12)</t>
  </si>
  <si>
    <t>7789</t>
  </si>
  <si>
    <t>World Language - Persian (6-12)</t>
  </si>
  <si>
    <t>7796</t>
  </si>
  <si>
    <t>World Language - Chinese (6-12)</t>
  </si>
  <si>
    <t>7820</t>
  </si>
  <si>
    <t>Music (6-12)</t>
  </si>
  <si>
    <t>7852</t>
  </si>
  <si>
    <t>Visual Arts (6-12)</t>
  </si>
  <si>
    <t>05052</t>
  </si>
  <si>
    <t>Theater Arts (5-12)</t>
  </si>
  <si>
    <t>7137</t>
  </si>
  <si>
    <t>Theater Arts (6-12)</t>
  </si>
  <si>
    <t>8137</t>
  </si>
  <si>
    <t>Theater Arts (5-9)</t>
  </si>
  <si>
    <t>05114</t>
  </si>
  <si>
    <t>05115</t>
  </si>
  <si>
    <t>05149</t>
  </si>
  <si>
    <t>Music (5-12)</t>
  </si>
  <si>
    <t>8820</t>
  </si>
  <si>
    <t>Music (5-9)</t>
  </si>
  <si>
    <t>05153</t>
  </si>
  <si>
    <t>05173</t>
  </si>
  <si>
    <t>05199</t>
  </si>
  <si>
    <t>Visual Arts (5-12)</t>
  </si>
  <si>
    <t>8852</t>
  </si>
  <si>
    <t>Visual Arts (5-9)</t>
  </si>
  <si>
    <t>08001</t>
  </si>
  <si>
    <t>Physical Education (5-12)</t>
  </si>
  <si>
    <t>7512</t>
  </si>
  <si>
    <t>Physical Education (PE) (6-12)</t>
  </si>
  <si>
    <t>8510</t>
  </si>
  <si>
    <t>Physical Education (PE) (5-9)</t>
  </si>
  <si>
    <t>08051</t>
  </si>
  <si>
    <t>Health Education (5-12)</t>
  </si>
  <si>
    <t>7520</t>
  </si>
  <si>
    <t>Health (6-12)</t>
  </si>
  <si>
    <t>8520</t>
  </si>
  <si>
    <t>Health (5-9)</t>
  </si>
  <si>
    <t>09002</t>
  </si>
  <si>
    <t>Military Jr. ROTC</t>
  </si>
  <si>
    <t>7080</t>
  </si>
  <si>
    <t>Junior ROTC</t>
  </si>
  <si>
    <t>10001</t>
  </si>
  <si>
    <t>Introduction to Computer Technology (5-12)</t>
  </si>
  <si>
    <t>10049</t>
  </si>
  <si>
    <t>Computer Science and Information Technology (5-12)</t>
  </si>
  <si>
    <t>8400</t>
  </si>
  <si>
    <t>Computer Science (5-9)</t>
  </si>
  <si>
    <t>10157</t>
  </si>
  <si>
    <t>11101</t>
  </si>
  <si>
    <t>Journalism (5-12)</t>
  </si>
  <si>
    <t>12005</t>
  </si>
  <si>
    <t>Keyboarding (K-12)</t>
  </si>
  <si>
    <t>20005</t>
  </si>
  <si>
    <t>21005</t>
  </si>
  <si>
    <t>Engineering (5-12)</t>
  </si>
  <si>
    <t>8990</t>
  </si>
  <si>
    <t>Engineering (5-9)</t>
  </si>
  <si>
    <t>22001</t>
  </si>
  <si>
    <t>National Standardized Test Preparation</t>
  </si>
  <si>
    <t>22002</t>
  </si>
  <si>
    <t xml:space="preserve">Idaho State Test Preparation </t>
  </si>
  <si>
    <t>22050</t>
  </si>
  <si>
    <t>Work Training/Career Training Opportunity</t>
  </si>
  <si>
    <t>Valid Idaho Pupil Services Staff Certificate</t>
  </si>
  <si>
    <t>Valid Idaho Administrator Certificate</t>
  </si>
  <si>
    <t>22051</t>
  </si>
  <si>
    <t>Office/Library/Classroom Aide</t>
  </si>
  <si>
    <t>22150</t>
  </si>
  <si>
    <r>
      <t xml:space="preserve">Juvenile Detention Instruction </t>
    </r>
    <r>
      <rPr>
        <sz val="10"/>
        <color indexed="10"/>
        <rFont val="Arial"/>
        <family val="2"/>
      </rPr>
      <t>(Restricted)</t>
    </r>
  </si>
  <si>
    <t>23001</t>
  </si>
  <si>
    <r>
      <t xml:space="preserve">Pre-kindergarten - Title I-A </t>
    </r>
    <r>
      <rPr>
        <sz val="10"/>
        <color rgb="FFFF0000"/>
        <rFont val="Arial"/>
        <family val="2"/>
      </rPr>
      <t>(Pre-school Only)</t>
    </r>
  </si>
  <si>
    <t>23002</t>
  </si>
  <si>
    <r>
      <t xml:space="preserve">Pre-kindergarten - Title I-C </t>
    </r>
    <r>
      <rPr>
        <sz val="10"/>
        <color rgb="FFFF0000"/>
        <rFont val="Arial"/>
        <family val="2"/>
      </rPr>
      <t>(Migrant Only)</t>
    </r>
  </si>
  <si>
    <t>23003</t>
  </si>
  <si>
    <t>23004</t>
  </si>
  <si>
    <t>23005</t>
  </si>
  <si>
    <t>23006</t>
  </si>
  <si>
    <t>23007</t>
  </si>
  <si>
    <t>23008</t>
  </si>
  <si>
    <t>23009</t>
  </si>
  <si>
    <t>24052</t>
  </si>
  <si>
    <t>Spanish (K-12)</t>
  </si>
  <si>
    <t>24053</t>
  </si>
  <si>
    <t>Spanish (5-12)</t>
  </si>
  <si>
    <t>8700</t>
  </si>
  <si>
    <t>World Language (5-9)</t>
  </si>
  <si>
    <t>8720</t>
  </si>
  <si>
    <t>World Language - Spanish (5-9)</t>
  </si>
  <si>
    <t>24062</t>
  </si>
  <si>
    <t>24063</t>
  </si>
  <si>
    <t>24064</t>
  </si>
  <si>
    <t>24102</t>
  </si>
  <si>
    <t>French (K-12)</t>
  </si>
  <si>
    <t>24103</t>
  </si>
  <si>
    <t>French (5-12)</t>
  </si>
  <si>
    <t>8830</t>
  </si>
  <si>
    <t>World Language - French (5-9)</t>
  </si>
  <si>
    <t>24112</t>
  </si>
  <si>
    <t>24113</t>
  </si>
  <si>
    <t>24114</t>
  </si>
  <si>
    <t>24252</t>
  </si>
  <si>
    <t>German (K-12)</t>
  </si>
  <si>
    <t>24253</t>
  </si>
  <si>
    <t>German (5-12)</t>
  </si>
  <si>
    <t>8740</t>
  </si>
  <si>
    <t>World Language - German (5-9)</t>
  </si>
  <si>
    <t>24264</t>
  </si>
  <si>
    <t>24342</t>
  </si>
  <si>
    <t>Latin (K-12)</t>
  </si>
  <si>
    <t>24343</t>
  </si>
  <si>
    <t>Latin (5-12)</t>
  </si>
  <si>
    <t>24852</t>
  </si>
  <si>
    <t>American Sign Language (K-12)</t>
  </si>
  <si>
    <t>7030</t>
  </si>
  <si>
    <t>Deaf/Hard of Hearing (Pre-K-12)</t>
  </si>
  <si>
    <t>Pre-K-12</t>
  </si>
  <si>
    <t>24853</t>
  </si>
  <si>
    <t>American Sign Language (5-12)</t>
  </si>
  <si>
    <t>8702</t>
  </si>
  <si>
    <t>World Language - American Sign Language (5-9)</t>
  </si>
  <si>
    <t>24989</t>
  </si>
  <si>
    <t>World Language (5-12)</t>
  </si>
  <si>
    <t>8760</t>
  </si>
  <si>
    <t>World Language - Russian (5-9)</t>
  </si>
  <si>
    <t>8781</t>
  </si>
  <si>
    <t>World Language - Arabic (5-9)</t>
  </si>
  <si>
    <t>8790</t>
  </si>
  <si>
    <t>World Language - Persian (5-9)</t>
  </si>
  <si>
    <t>8796</t>
  </si>
  <si>
    <t>World Language - Chinese (5-9)</t>
  </si>
  <si>
    <t>31000</t>
  </si>
  <si>
    <t>College and Career Ready Advisor</t>
  </si>
  <si>
    <t>7022</t>
  </si>
  <si>
    <t>School Counselor (K-12)</t>
  </si>
  <si>
    <t>7023</t>
  </si>
  <si>
    <t>School Counselor - Basic (K-12)</t>
  </si>
  <si>
    <t>7026</t>
  </si>
  <si>
    <t>School Social Worker</t>
  </si>
  <si>
    <t>31049</t>
  </si>
  <si>
    <t>Athletic Facilitator</t>
  </si>
  <si>
    <t>31300</t>
  </si>
  <si>
    <t>31430</t>
  </si>
  <si>
    <t>Technology Assistance Specialist</t>
  </si>
  <si>
    <t>31460</t>
  </si>
  <si>
    <t>Mentor Specialist</t>
  </si>
  <si>
    <t>31540</t>
  </si>
  <si>
    <t>Gifted/Talented Specialist</t>
  </si>
  <si>
    <t>31610</t>
  </si>
  <si>
    <t>Teacher Leader - Special Education</t>
  </si>
  <si>
    <t>7045</t>
  </si>
  <si>
    <t>31611</t>
  </si>
  <si>
    <t>Teacher Leader - Mathematics</t>
  </si>
  <si>
    <t>7299</t>
  </si>
  <si>
    <t>Teacher Leader Mathematics</t>
  </si>
  <si>
    <t>31612</t>
  </si>
  <si>
    <t>Teacher Leader - Instructional Specialist</t>
  </si>
  <si>
    <t>7297</t>
  </si>
  <si>
    <t>31613</t>
  </si>
  <si>
    <t>Teacher Leader - Literacy</t>
  </si>
  <si>
    <t>7298</t>
  </si>
  <si>
    <t>31614</t>
  </si>
  <si>
    <t>Teacher Leader - Instructional Technology</t>
  </si>
  <si>
    <t>7296</t>
  </si>
  <si>
    <t>31990</t>
  </si>
  <si>
    <r>
      <t>Homeless Liaison/Prevention Specialist</t>
    </r>
    <r>
      <rPr>
        <b/>
        <sz val="10"/>
        <rFont val="Arial"/>
        <family val="2"/>
      </rPr>
      <t xml:space="preserve"> </t>
    </r>
    <r>
      <rPr>
        <sz val="10"/>
        <color rgb="FFFF0000"/>
        <rFont val="Arial"/>
        <family val="2"/>
      </rPr>
      <t>(Restricted)</t>
    </r>
  </si>
  <si>
    <t>Pupil Services</t>
  </si>
  <si>
    <t>32010</t>
  </si>
  <si>
    <t>Audiologist</t>
  </si>
  <si>
    <t>7018</t>
  </si>
  <si>
    <t>Audiology</t>
  </si>
  <si>
    <t>32050</t>
  </si>
  <si>
    <t>Speech-Language Pathologist</t>
  </si>
  <si>
    <t>7025</t>
  </si>
  <si>
    <t>32070</t>
  </si>
  <si>
    <t>7027</t>
  </si>
  <si>
    <t>32080</t>
  </si>
  <si>
    <t>School Psychologist</t>
  </si>
  <si>
    <t>7024</t>
  </si>
  <si>
    <t>32090</t>
  </si>
  <si>
    <t>32110</t>
  </si>
  <si>
    <t>32120</t>
  </si>
  <si>
    <t>Occupational Therapist</t>
  </si>
  <si>
    <t>7000</t>
  </si>
  <si>
    <t>32130</t>
  </si>
  <si>
    <t>Physical Therapist</t>
  </si>
  <si>
    <t>7001</t>
  </si>
  <si>
    <t>32150</t>
  </si>
  <si>
    <r>
      <t>Community Resource Worker</t>
    </r>
    <r>
      <rPr>
        <b/>
        <sz val="10"/>
        <rFont val="Arial"/>
        <family val="2"/>
      </rPr>
      <t xml:space="preserve"> </t>
    </r>
    <r>
      <rPr>
        <sz val="10"/>
        <color rgb="FFFF0000"/>
        <rFont val="Arial"/>
        <family val="2"/>
      </rPr>
      <t>(Restricted)</t>
    </r>
  </si>
  <si>
    <t>33001</t>
  </si>
  <si>
    <t>Teacher Librarian (K-12)</t>
  </si>
  <si>
    <t>7020</t>
  </si>
  <si>
    <t>Administrative</t>
  </si>
  <si>
    <t>41010</t>
  </si>
  <si>
    <t>7050</t>
  </si>
  <si>
    <t>Superintendent (Pre-K-12)</t>
  </si>
  <si>
    <t>PK-12</t>
  </si>
  <si>
    <t>41020</t>
  </si>
  <si>
    <t>Assistant Superintendent</t>
  </si>
  <si>
    <t>41050</t>
  </si>
  <si>
    <t>Public Charter School Administrator</t>
  </si>
  <si>
    <t>7053</t>
  </si>
  <si>
    <t>School Principal (Pre-K-12)</t>
  </si>
  <si>
    <t>7054</t>
  </si>
  <si>
    <t>42100</t>
  </si>
  <si>
    <t>42110</t>
  </si>
  <si>
    <t>42300</t>
  </si>
  <si>
    <r>
      <t xml:space="preserve">Head Teacher - </t>
    </r>
    <r>
      <rPr>
        <sz val="10"/>
        <color rgb="FFFF0000"/>
        <rFont val="Arial"/>
        <family val="2"/>
      </rPr>
      <t>(Restricted - Elementary ONLY)</t>
    </r>
  </si>
  <si>
    <t>43040</t>
  </si>
  <si>
    <t>Special Education Director</t>
  </si>
  <si>
    <t>7046</t>
  </si>
  <si>
    <t>Director of Special Education (Pre-K-12)</t>
  </si>
  <si>
    <t>46020</t>
  </si>
  <si>
    <r>
      <t>Administrator - Other</t>
    </r>
    <r>
      <rPr>
        <b/>
        <sz val="10"/>
        <color indexed="10"/>
        <rFont val="Arial"/>
        <family val="2"/>
      </rPr>
      <t xml:space="preserve"> </t>
    </r>
    <r>
      <rPr>
        <sz val="10"/>
        <color rgb="FFFF0000"/>
        <rFont val="Arial"/>
        <family val="2"/>
      </rPr>
      <t>(Restricted)</t>
    </r>
  </si>
  <si>
    <t>51001</t>
  </si>
  <si>
    <t>General English/Language Arts (5-8 Content)</t>
  </si>
  <si>
    <t>53000</t>
  </si>
  <si>
    <t xml:space="preserve">General Science (5-8 content) </t>
  </si>
  <si>
    <t>6-8</t>
  </si>
  <si>
    <t>54305</t>
  </si>
  <si>
    <t>General Social Studies (5-8 content)</t>
  </si>
  <si>
    <t>73006</t>
  </si>
  <si>
    <t>Special Education -Support (5-12)</t>
  </si>
  <si>
    <t>7037</t>
  </si>
  <si>
    <t>Exceptional Child Education (6-12)</t>
  </si>
  <si>
    <t>73007</t>
  </si>
  <si>
    <t>Special Education - Content Teacher/Self-Contained (5-12)</t>
  </si>
  <si>
    <t>73008</t>
  </si>
  <si>
    <t>7035</t>
  </si>
  <si>
    <t>Blind and Low Vision (Pre-K-12)</t>
  </si>
  <si>
    <t>73009</t>
  </si>
  <si>
    <t>86000</t>
  </si>
  <si>
    <t>Early graduation after 1st semester</t>
  </si>
  <si>
    <t>Valid Idaho Certificate</t>
  </si>
  <si>
    <t>Classified</t>
  </si>
  <si>
    <t>97101</t>
  </si>
  <si>
    <t xml:space="preserve">Business Manager/District Clerk </t>
  </si>
  <si>
    <t>N/A</t>
  </si>
  <si>
    <t>97105</t>
  </si>
  <si>
    <t xml:space="preserve">Clerk - Board Of Trustees  </t>
  </si>
  <si>
    <t>97110</t>
  </si>
  <si>
    <t>Office Support Personnel - District</t>
  </si>
  <si>
    <t>97112</t>
  </si>
  <si>
    <t>Purchasing/Warehouse Personnel</t>
  </si>
  <si>
    <t>97115</t>
  </si>
  <si>
    <t>Office Support Personnel - Building</t>
  </si>
  <si>
    <t>97125</t>
  </si>
  <si>
    <t>Human Resources</t>
  </si>
  <si>
    <t>97130</t>
  </si>
  <si>
    <t>Public Information</t>
  </si>
  <si>
    <t>97201</t>
  </si>
  <si>
    <t>Custodian Supervisor</t>
  </si>
  <si>
    <t>97205</t>
  </si>
  <si>
    <t xml:space="preserve">Custodial Personnel </t>
  </si>
  <si>
    <t>97301</t>
  </si>
  <si>
    <t xml:space="preserve">Child Nutrition - Supervisor   </t>
  </si>
  <si>
    <t>97305</t>
  </si>
  <si>
    <t>Child Nutrition - Manager</t>
  </si>
  <si>
    <t>97310</t>
  </si>
  <si>
    <t xml:space="preserve">Child Nutrition - Food Preparation and Service </t>
  </si>
  <si>
    <t>97315</t>
  </si>
  <si>
    <t xml:space="preserve">Child Nutrition - Other   </t>
  </si>
  <si>
    <t>97401</t>
  </si>
  <si>
    <t>Building/Grounds Maintenance Supervisor</t>
  </si>
  <si>
    <t>97405</t>
  </si>
  <si>
    <t xml:space="preserve">Building/Grounds Maintenance Personnel </t>
  </si>
  <si>
    <t>97500</t>
  </si>
  <si>
    <t xml:space="preserve">Classroom Assistant </t>
  </si>
  <si>
    <t>97501</t>
  </si>
  <si>
    <t>Paraprofessional - General Education</t>
  </si>
  <si>
    <t>Meets paraprofessional requirements</t>
  </si>
  <si>
    <t>97502</t>
  </si>
  <si>
    <t>Paraprofessional - Special Education</t>
  </si>
  <si>
    <t>97503</t>
  </si>
  <si>
    <t>Paraprofessional - PK Special Education</t>
  </si>
  <si>
    <t>97504</t>
  </si>
  <si>
    <t>Paraprofessional - PK General Education</t>
  </si>
  <si>
    <t>97506</t>
  </si>
  <si>
    <t>Paraprofessional - Title I</t>
  </si>
  <si>
    <t>97507</t>
  </si>
  <si>
    <t>Paraprofessional - ESL/LEP</t>
  </si>
  <si>
    <t>97508</t>
  </si>
  <si>
    <t>Paraprofessional - Technology</t>
  </si>
  <si>
    <t>97509</t>
  </si>
  <si>
    <t xml:space="preserve">Paraprofessional - Migrant </t>
  </si>
  <si>
    <t>97520</t>
  </si>
  <si>
    <t>Related Services Assistant - Special Education</t>
  </si>
  <si>
    <t>97521</t>
  </si>
  <si>
    <t>Interpreter - Hearing Impaired</t>
  </si>
  <si>
    <t>97522</t>
  </si>
  <si>
    <t>Personal Care Assistant</t>
  </si>
  <si>
    <t>97524</t>
  </si>
  <si>
    <t>Student Teacher/Apprentice Teacher</t>
  </si>
  <si>
    <t>97530</t>
  </si>
  <si>
    <t>Library Assistant</t>
  </si>
  <si>
    <t>97601</t>
  </si>
  <si>
    <t xml:space="preserve">Pupil Transportation Supervisor </t>
  </si>
  <si>
    <t>97602</t>
  </si>
  <si>
    <t>Pupil Transportation Dispatcher/Secretary</t>
  </si>
  <si>
    <t>97603</t>
  </si>
  <si>
    <t>Pupil Transportation - School Bus Mechanic</t>
  </si>
  <si>
    <t>97604</t>
  </si>
  <si>
    <t xml:space="preserve">Pupil Transportation - School Bus Assistant </t>
  </si>
  <si>
    <t>97605</t>
  </si>
  <si>
    <t xml:space="preserve">Pupil Transportation - School Bus Drivers </t>
  </si>
  <si>
    <t>97606</t>
  </si>
  <si>
    <t>Pupil Transportation - School Bus Monitors</t>
  </si>
  <si>
    <t>97607</t>
  </si>
  <si>
    <t>Pupil Transportation - School Bus Driver Trainer</t>
  </si>
  <si>
    <t>97701</t>
  </si>
  <si>
    <t>Safe Environment - Other Security Personnel</t>
  </si>
  <si>
    <t>97702</t>
  </si>
  <si>
    <t>Safe Environment - Crossing Guard Personnel</t>
  </si>
  <si>
    <t>97703</t>
  </si>
  <si>
    <t xml:space="preserve">Safe Environment - Playground/Noon Duty/Hall Personnel </t>
  </si>
  <si>
    <t>97704</t>
  </si>
  <si>
    <t>Safe Environment - Before/After School Programs Personnel</t>
  </si>
  <si>
    <t>97705</t>
  </si>
  <si>
    <t>Safe Environment - Community Education</t>
  </si>
  <si>
    <t>97706</t>
  </si>
  <si>
    <t>Safe Environment - Resource/Attendance Officers</t>
  </si>
  <si>
    <t>97710</t>
  </si>
  <si>
    <t xml:space="preserve">Athletic/Physical Education/Coaching Assistant </t>
  </si>
  <si>
    <t>97711</t>
  </si>
  <si>
    <t>Health Care Assistant</t>
  </si>
  <si>
    <t>97712</t>
  </si>
  <si>
    <t>Idaho Bureau of Occupational Therapist License</t>
  </si>
  <si>
    <t>97713</t>
  </si>
  <si>
    <t>Idaho Bureau of Physical Therapist License</t>
  </si>
  <si>
    <t>97714</t>
  </si>
  <si>
    <t>Community Resource Worker</t>
  </si>
  <si>
    <t>97715</t>
  </si>
  <si>
    <r>
      <t xml:space="preserve">Special Project Personnel </t>
    </r>
    <r>
      <rPr>
        <sz val="10"/>
        <color rgb="FFFF0000"/>
        <rFont val="Arial"/>
        <family val="2"/>
      </rPr>
      <t>(Restricted)</t>
    </r>
  </si>
  <si>
    <t>97716</t>
  </si>
  <si>
    <t>Grant Writer - Special Project Personnel</t>
  </si>
  <si>
    <t>97724</t>
  </si>
  <si>
    <t>Drivers’ Education</t>
  </si>
  <si>
    <t>State Department of Education Driver's Education Certificate</t>
  </si>
  <si>
    <t>97725</t>
  </si>
  <si>
    <r>
      <t xml:space="preserve">Other Non-Certified, Specify </t>
    </r>
    <r>
      <rPr>
        <sz val="10"/>
        <color rgb="FFFF0000"/>
        <rFont val="Arial"/>
        <family val="2"/>
      </rPr>
      <t>(Restricted)</t>
    </r>
  </si>
  <si>
    <t>97727</t>
  </si>
  <si>
    <t xml:space="preserve">IT (Technology)/Data Analysis Services </t>
  </si>
  <si>
    <t>97730</t>
  </si>
  <si>
    <t>Computer Technology Technician</t>
  </si>
  <si>
    <t>97735</t>
  </si>
  <si>
    <t>97740</t>
  </si>
  <si>
    <t>Migrant Family Liaison</t>
  </si>
  <si>
    <t>State Department of Education Family Liaison ID&amp;R Certificate</t>
  </si>
  <si>
    <t>97745</t>
  </si>
  <si>
    <t>Migrant Graduation Specialist</t>
  </si>
  <si>
    <t>97750</t>
  </si>
  <si>
    <t>Valid Certificate of Clinical Competence in Audiology offered through the American Speech-Language-Hearing Association and/or a current and valid audiologist license issued by the appropriate Idaho state licensing board.</t>
  </si>
  <si>
    <t>97755</t>
  </si>
  <si>
    <t>Speech/Language Pathologist</t>
  </si>
  <si>
    <t>Valid Certificate of Clinical Competence in Speech-Language Pathology offered through the American Speech-Language-Hearing Association and/or a current and valid speech-language
pathologist license issued by the appropriate Idaho state licensing board.</t>
  </si>
  <si>
    <t>100010</t>
  </si>
  <si>
    <t>Computer Technology I</t>
  </si>
  <si>
    <t>4015</t>
  </si>
  <si>
    <t>CTE OS - Business Management/Finance (6-12)</t>
  </si>
  <si>
    <t>4024</t>
  </si>
  <si>
    <t>CTE OS - Information/Communication Tech (6-12)</t>
  </si>
  <si>
    <t>9093</t>
  </si>
  <si>
    <t>CTE - Business Technology Education (6-12)</t>
  </si>
  <si>
    <t>100011</t>
  </si>
  <si>
    <t>Computer Technology II</t>
  </si>
  <si>
    <t>100030</t>
  </si>
  <si>
    <t>Fundamentals of Information Systems Technology</t>
  </si>
  <si>
    <t>6151</t>
  </si>
  <si>
    <t>CTE OS - Programming &amp; Web Technologies  (6-12)</t>
  </si>
  <si>
    <t>6153</t>
  </si>
  <si>
    <t>CTE OS - Network &amp; Computer Support (6-12)</t>
  </si>
  <si>
    <t>6154</t>
  </si>
  <si>
    <t>CTE OS - Networking Support (6-12)</t>
  </si>
  <si>
    <t>6156</t>
  </si>
  <si>
    <t>CTE OS - Computer Support (6-12)</t>
  </si>
  <si>
    <t>6158</t>
  </si>
  <si>
    <t>CTE OS - Programming &amp; Software Development (6-12)</t>
  </si>
  <si>
    <t>6159</t>
  </si>
  <si>
    <t>CTE OS - Web Design and Development (6-12)</t>
  </si>
  <si>
    <t>9400</t>
  </si>
  <si>
    <t>CTE - Computer Science (6-12)</t>
  </si>
  <si>
    <t>100050</t>
  </si>
  <si>
    <t>Business Computer Applications I</t>
  </si>
  <si>
    <t>1087</t>
  </si>
  <si>
    <t>CTE OS - Hospitality Management (6-12)</t>
  </si>
  <si>
    <t>4012</t>
  </si>
  <si>
    <t>CTE OS - Administrative Services (6-12)</t>
  </si>
  <si>
    <t>4017</t>
  </si>
  <si>
    <t>CTE OS - Business Management (6-12)</t>
  </si>
  <si>
    <t>4020</t>
  </si>
  <si>
    <t>CTE OS - Microcomputer Applications (6-12)</t>
  </si>
  <si>
    <t>4022</t>
  </si>
  <si>
    <t>CTE OS - Business Digital Communications (6-12)</t>
  </si>
  <si>
    <t>4077</t>
  </si>
  <si>
    <t>CTE OS - Applied Accounting (6-12)</t>
  </si>
  <si>
    <t>9092</t>
  </si>
  <si>
    <t>CTE - Marketing Technology Education (6-12)</t>
  </si>
  <si>
    <t>100051</t>
  </si>
  <si>
    <t>Business Computer Applications II</t>
  </si>
  <si>
    <t>100052</t>
  </si>
  <si>
    <t>Business Computer Applications III</t>
  </si>
  <si>
    <t>100130</t>
  </si>
  <si>
    <t>PLTW Computer Science Essentials</t>
  </si>
  <si>
    <t>100140</t>
  </si>
  <si>
    <t>PLTW Computer Science A</t>
  </si>
  <si>
    <t>100150</t>
  </si>
  <si>
    <t>PLTW Computer Science Principles</t>
  </si>
  <si>
    <t>100160</t>
  </si>
  <si>
    <t>PLTW Cybersecurity</t>
  </si>
  <si>
    <t>100190</t>
  </si>
  <si>
    <t>6155</t>
  </si>
  <si>
    <t>CTE OS - Computer Science/Information Technology (6-12)</t>
  </si>
  <si>
    <t>100191</t>
  </si>
  <si>
    <t>Computer Science II</t>
  </si>
  <si>
    <t>100192</t>
  </si>
  <si>
    <t>Computer Science III</t>
  </si>
  <si>
    <t>100210</t>
  </si>
  <si>
    <t>Cloud Computing I</t>
  </si>
  <si>
    <t>100211</t>
  </si>
  <si>
    <t>Cloud Computing II</t>
  </si>
  <si>
    <t>100470</t>
  </si>
  <si>
    <t>Computer Science Advanced Studies</t>
  </si>
  <si>
    <t>100480</t>
  </si>
  <si>
    <t>Work-Based Learning - Computer Support</t>
  </si>
  <si>
    <t>0099</t>
  </si>
  <si>
    <t>CTE OS - Work-Based Learning Coordinator (6-12)</t>
  </si>
  <si>
    <t>7016</t>
  </si>
  <si>
    <t>CTE - Career Counselor (6-12)</t>
  </si>
  <si>
    <t>100510</t>
  </si>
  <si>
    <t>Information Technology</t>
  </si>
  <si>
    <t>100520</t>
  </si>
  <si>
    <t>Computer Science-Database Design and Programming</t>
  </si>
  <si>
    <t>101010</t>
  </si>
  <si>
    <t>Networking Support I</t>
  </si>
  <si>
    <t>101030</t>
  </si>
  <si>
    <t>Networking Support II</t>
  </si>
  <si>
    <t>101480</t>
  </si>
  <si>
    <t>Advanced Networking</t>
  </si>
  <si>
    <t>101481</t>
  </si>
  <si>
    <t>Work-Based Learning - Network Support</t>
  </si>
  <si>
    <t>101520</t>
  </si>
  <si>
    <t>Computer Programming and Software Development I</t>
  </si>
  <si>
    <t>101521</t>
  </si>
  <si>
    <t>Computer Programming and Software Development II</t>
  </si>
  <si>
    <t>101522</t>
  </si>
  <si>
    <t>Programming and Software Development I</t>
  </si>
  <si>
    <t>101523</t>
  </si>
  <si>
    <t>Programming and Software Development II</t>
  </si>
  <si>
    <t>101524</t>
  </si>
  <si>
    <t>Programming and Software Development III</t>
  </si>
  <si>
    <t>101980</t>
  </si>
  <si>
    <t>Work-Based Learning - Programming and Software Development</t>
  </si>
  <si>
    <t>102010</t>
  </si>
  <si>
    <t>Web Design I - Introduction to XHTML and XML</t>
  </si>
  <si>
    <t>102011</t>
  </si>
  <si>
    <t>Web Design II - Web Site Authoring Tools</t>
  </si>
  <si>
    <t>102012</t>
  </si>
  <si>
    <t>Web Design and Development I</t>
  </si>
  <si>
    <t>102013</t>
  </si>
  <si>
    <t>Web Design and Development II</t>
  </si>
  <si>
    <t>102014</t>
  </si>
  <si>
    <t>Business Digital Communications</t>
  </si>
  <si>
    <t>102015</t>
  </si>
  <si>
    <t>Web Design and Development III</t>
  </si>
  <si>
    <t>102030</t>
  </si>
  <si>
    <t>Introduction to Interactive Media</t>
  </si>
  <si>
    <t>102480</t>
  </si>
  <si>
    <t>Work-Based Learning - Business Digital Communications</t>
  </si>
  <si>
    <t>102481</t>
  </si>
  <si>
    <t>Work-Based Learning - Web Design and Development</t>
  </si>
  <si>
    <t>102530</t>
  </si>
  <si>
    <t>Desktop Support I</t>
  </si>
  <si>
    <t>102531</t>
  </si>
  <si>
    <t>Desktop Support II</t>
  </si>
  <si>
    <t>102532</t>
  </si>
  <si>
    <t>Technology Assistant Internship</t>
  </si>
  <si>
    <t>102540</t>
  </si>
  <si>
    <t>Computer Support Essentials</t>
  </si>
  <si>
    <t>102560</t>
  </si>
  <si>
    <t>Computer Design and Networking</t>
  </si>
  <si>
    <t>103020</t>
  </si>
  <si>
    <t>Introduction to Cybersecurity and Digital Citizenship</t>
  </si>
  <si>
    <t>6160</t>
  </si>
  <si>
    <t>CTE OS - Cybersecurity (6-12)</t>
  </si>
  <si>
    <t>9402</t>
  </si>
  <si>
    <t>CTE - Cybersecurity (6-12)</t>
  </si>
  <si>
    <t>103021</t>
  </si>
  <si>
    <t>Cybersecurity I</t>
  </si>
  <si>
    <t>103022</t>
  </si>
  <si>
    <t>Cybersecurity II</t>
  </si>
  <si>
    <t>103023</t>
  </si>
  <si>
    <t>Cybersecurity III</t>
  </si>
  <si>
    <t>109981</t>
  </si>
  <si>
    <t>Work-Based Learning - Cybersecurity</t>
  </si>
  <si>
    <t>110010</t>
  </si>
  <si>
    <t>Communication Systems I</t>
  </si>
  <si>
    <t>9981</t>
  </si>
  <si>
    <t>CTE - Technology Education (6-12)</t>
  </si>
  <si>
    <t>110020</t>
  </si>
  <si>
    <t>Communication Systems II</t>
  </si>
  <si>
    <t>110520</t>
  </si>
  <si>
    <t>Photography Level I</t>
  </si>
  <si>
    <t>6180</t>
  </si>
  <si>
    <t>CTE OS - Journalism (6-12)</t>
  </si>
  <si>
    <t>6190</t>
  </si>
  <si>
    <t>CTE OS - Graphic Design (6-12)</t>
  </si>
  <si>
    <t>6192</t>
  </si>
  <si>
    <t>CTE OS - Commercial Photography (6-12)</t>
  </si>
  <si>
    <t>6197</t>
  </si>
  <si>
    <t>CTE OS - Digital Media Production (6-12)</t>
  </si>
  <si>
    <t>110521</t>
  </si>
  <si>
    <t>Photography Level II</t>
  </si>
  <si>
    <t>110522</t>
  </si>
  <si>
    <t>Photography Level III</t>
  </si>
  <si>
    <t>110550</t>
  </si>
  <si>
    <t>Interactive Media - Video I</t>
  </si>
  <si>
    <t>110551</t>
  </si>
  <si>
    <t>Interactive Media - Video II</t>
  </si>
  <si>
    <t>110552</t>
  </si>
  <si>
    <t>Video Editing Technology</t>
  </si>
  <si>
    <t>111010</t>
  </si>
  <si>
    <t>Journalism Level I</t>
  </si>
  <si>
    <t>111011</t>
  </si>
  <si>
    <t>Journalism Level II</t>
  </si>
  <si>
    <t>111012</t>
  </si>
  <si>
    <t>Journalism Level III</t>
  </si>
  <si>
    <t>111030</t>
  </si>
  <si>
    <t>Broadcast and Video Technologies I</t>
  </si>
  <si>
    <t>111031</t>
  </si>
  <si>
    <t>Broadcast and Video Technologies II</t>
  </si>
  <si>
    <t>111032</t>
  </si>
  <si>
    <t>Broadcast and Video Technologies III</t>
  </si>
  <si>
    <t>111040</t>
  </si>
  <si>
    <t>Publishing I</t>
  </si>
  <si>
    <t>111041</t>
  </si>
  <si>
    <t>Publishing II</t>
  </si>
  <si>
    <t>111480</t>
  </si>
  <si>
    <t>Work-Based Learning - Digital Media Technology - Journalism</t>
  </si>
  <si>
    <t>111530</t>
  </si>
  <si>
    <t>Interactive Media - Graphics I</t>
  </si>
  <si>
    <t>111533</t>
  </si>
  <si>
    <t>Media Technologies Fundamentals</t>
  </si>
  <si>
    <t>111534</t>
  </si>
  <si>
    <t>Interactive Media - Graphics II</t>
  </si>
  <si>
    <t>111535</t>
  </si>
  <si>
    <t>Digital Imaging Technology</t>
  </si>
  <si>
    <t>111540</t>
  </si>
  <si>
    <t>Graphic Communications Level I</t>
  </si>
  <si>
    <t>111541</t>
  </si>
  <si>
    <t>Graphic Communications Level II</t>
  </si>
  <si>
    <t>111542</t>
  </si>
  <si>
    <t>Graphic Communications Level III</t>
  </si>
  <si>
    <t>111980</t>
  </si>
  <si>
    <t>Work-Based Learning - Graphic Design</t>
  </si>
  <si>
    <t>111981</t>
  </si>
  <si>
    <t>Work-Based Learning - Digital Media Technology | Broadcasting</t>
  </si>
  <si>
    <t>111982</t>
  </si>
  <si>
    <t>Work-Based Learning - Digital Media Technology | Commercial Photography</t>
  </si>
  <si>
    <t>120010</t>
  </si>
  <si>
    <t>Business Essentials</t>
  </si>
  <si>
    <t>1010</t>
  </si>
  <si>
    <t>CTE OS - Marketing (6-12)</t>
  </si>
  <si>
    <t>120021</t>
  </si>
  <si>
    <t>Office Technologies</t>
  </si>
  <si>
    <t>120030</t>
  </si>
  <si>
    <t>Business Administration</t>
  </si>
  <si>
    <t>120090</t>
  </si>
  <si>
    <t>Business Communications</t>
  </si>
  <si>
    <t>120480</t>
  </si>
  <si>
    <t>Work-Based Learning - Administrative Services</t>
  </si>
  <si>
    <t>120530</t>
  </si>
  <si>
    <t>Business Ownership and Entrepreneurship</t>
  </si>
  <si>
    <t>120540</t>
  </si>
  <si>
    <t>Business Law and Ethics Applications</t>
  </si>
  <si>
    <t>120552</t>
  </si>
  <si>
    <t>Business Management</t>
  </si>
  <si>
    <t>120560</t>
  </si>
  <si>
    <t>International Business and Marketing</t>
  </si>
  <si>
    <t>120561</t>
  </si>
  <si>
    <t>Business Marketing</t>
  </si>
  <si>
    <t>120980</t>
  </si>
  <si>
    <t>Work-Based Learning - Business Management</t>
  </si>
  <si>
    <t>120990</t>
  </si>
  <si>
    <t>Leadership in Business and Marketing</t>
  </si>
  <si>
    <t>120991</t>
  </si>
  <si>
    <t>Supply Chain Logistics</t>
  </si>
  <si>
    <t>121011</t>
  </si>
  <si>
    <t>Financial Services</t>
  </si>
  <si>
    <t>121012</t>
  </si>
  <si>
    <t>Banking and Finance Services</t>
  </si>
  <si>
    <t>121013</t>
  </si>
  <si>
    <t>Personal Business Finance</t>
  </si>
  <si>
    <t>121020</t>
  </si>
  <si>
    <t>Banking and Credit</t>
  </si>
  <si>
    <t>121030</t>
  </si>
  <si>
    <t>Financial Planning and Financial Operations</t>
  </si>
  <si>
    <t>121040</t>
  </si>
  <si>
    <t>Accounting I</t>
  </si>
  <si>
    <t>121041</t>
  </si>
  <si>
    <t>Accounting II</t>
  </si>
  <si>
    <t>121042</t>
  </si>
  <si>
    <t>Computerized Accounting</t>
  </si>
  <si>
    <t>121043</t>
  </si>
  <si>
    <t>Excel for Accounting</t>
  </si>
  <si>
    <t>121050</t>
  </si>
  <si>
    <t>Economics and the World of Finance</t>
  </si>
  <si>
    <t>121060</t>
  </si>
  <si>
    <t>Principles of Insurance</t>
  </si>
  <si>
    <t>121110</t>
  </si>
  <si>
    <t>Forensic Accounting and Fraud Investigation</t>
  </si>
  <si>
    <t>121480</t>
  </si>
  <si>
    <t>Work-Based Learning - Applied Accounting</t>
  </si>
  <si>
    <t>121490</t>
  </si>
  <si>
    <t>International Finance</t>
  </si>
  <si>
    <t>121530</t>
  </si>
  <si>
    <t>Fashion Merchandising and Marketing</t>
  </si>
  <si>
    <t>121610</t>
  </si>
  <si>
    <t>Retail Merchandising</t>
  </si>
  <si>
    <t>121620</t>
  </si>
  <si>
    <t>E-Commerce</t>
  </si>
  <si>
    <t>121630</t>
  </si>
  <si>
    <t>Sports and Entertainment Marketing</t>
  </si>
  <si>
    <t>121640</t>
  </si>
  <si>
    <t>Principles of Marketing</t>
  </si>
  <si>
    <t>121650</t>
  </si>
  <si>
    <t>Principles of Promotion</t>
  </si>
  <si>
    <t>121660</t>
  </si>
  <si>
    <t>Principles of Management</t>
  </si>
  <si>
    <t>121670</t>
  </si>
  <si>
    <t>Marketing Economics (Applied Economics)</t>
  </si>
  <si>
    <t>121671</t>
  </si>
  <si>
    <t>Digital Marketing</t>
  </si>
  <si>
    <t>121980</t>
  </si>
  <si>
    <t>Work-Based Learning - Marketing</t>
  </si>
  <si>
    <t>121981</t>
  </si>
  <si>
    <t>Marketing School-Based Enterprise</t>
  </si>
  <si>
    <t>129985</t>
  </si>
  <si>
    <t>Marketing Research</t>
  </si>
  <si>
    <t>129990</t>
  </si>
  <si>
    <t>HSB Leadership</t>
  </si>
  <si>
    <t>129991</t>
  </si>
  <si>
    <t>HSB Wealth Management</t>
  </si>
  <si>
    <t>129992</t>
  </si>
  <si>
    <t>HSB Principles of Business</t>
  </si>
  <si>
    <t>129993</t>
  </si>
  <si>
    <t>HSB Business Economics</t>
  </si>
  <si>
    <t>129994</t>
  </si>
  <si>
    <t>HSB Principles of Marketing</t>
  </si>
  <si>
    <t>129995</t>
  </si>
  <si>
    <t>HSB Principles of Finance</t>
  </si>
  <si>
    <t>129996</t>
  </si>
  <si>
    <t>HSB Principles of Management</t>
  </si>
  <si>
    <t>129997</t>
  </si>
  <si>
    <t>HSB Business Strategies</t>
  </si>
  <si>
    <t>129998</t>
  </si>
  <si>
    <t>Business Math</t>
  </si>
  <si>
    <t>130010</t>
  </si>
  <si>
    <t>Manufacturing Careers Exploration</t>
  </si>
  <si>
    <t>5018</t>
  </si>
  <si>
    <t>CTE OS - Electronics Technology (6-12)</t>
  </si>
  <si>
    <t>5022</t>
  </si>
  <si>
    <t>CTE OS - Automated Manufacturing (6-12)</t>
  </si>
  <si>
    <t>6109</t>
  </si>
  <si>
    <t>CTE OS - Industrial Mechanics (6-12)</t>
  </si>
  <si>
    <t>6232</t>
  </si>
  <si>
    <t>CTE OS - Precision Machining (6-12)</t>
  </si>
  <si>
    <t>6236</t>
  </si>
  <si>
    <t>CTE OS - Certified Welding (6-12)</t>
  </si>
  <si>
    <t>130020</t>
  </si>
  <si>
    <t>Manufacturing Systems I</t>
  </si>
  <si>
    <t>130021</t>
  </si>
  <si>
    <t>Manufacturing Systems II</t>
  </si>
  <si>
    <t>130022</t>
  </si>
  <si>
    <t>Industrial Maintenance Mechanics Level I</t>
  </si>
  <si>
    <t>130023</t>
  </si>
  <si>
    <t>Industrial Maintenance Mechanics Level II</t>
  </si>
  <si>
    <t>130024</t>
  </si>
  <si>
    <t>Industrial Maintenance Mechanics Level III</t>
  </si>
  <si>
    <t>130025</t>
  </si>
  <si>
    <t>Automated Manufacturing Level I</t>
  </si>
  <si>
    <t>130026</t>
  </si>
  <si>
    <t>Automated Manufacturing Level II</t>
  </si>
  <si>
    <t>130027</t>
  </si>
  <si>
    <t>Automated Manufacturing Level III</t>
  </si>
  <si>
    <t>130980</t>
  </si>
  <si>
    <t>Work-Based Learning - Automated Manufacturing</t>
  </si>
  <si>
    <t>130981</t>
  </si>
  <si>
    <t>Work-Based Learning - Industrial Mechanics</t>
  </si>
  <si>
    <t>130982</t>
  </si>
  <si>
    <t>Work-Based Learning - Precision Machining</t>
  </si>
  <si>
    <t>132030</t>
  </si>
  <si>
    <t>Precision Machining Level I</t>
  </si>
  <si>
    <t>132031</t>
  </si>
  <si>
    <t>Precision Machining Level II</t>
  </si>
  <si>
    <t>132032</t>
  </si>
  <si>
    <t>Precision Machining Level III</t>
  </si>
  <si>
    <t>132070</t>
  </si>
  <si>
    <t>Welding I</t>
  </si>
  <si>
    <t>132071</t>
  </si>
  <si>
    <t>Welding II</t>
  </si>
  <si>
    <t>132072</t>
  </si>
  <si>
    <t>Welding III</t>
  </si>
  <si>
    <t>132480</t>
  </si>
  <si>
    <t>Work-Based Learning - Certified Welding</t>
  </si>
  <si>
    <t>140010</t>
  </si>
  <si>
    <t>Fundamentals of Health Professions</t>
  </si>
  <si>
    <t>2000</t>
  </si>
  <si>
    <t>CTE OS - Orientation to Health Professions (6-12)</t>
  </si>
  <si>
    <t>2011</t>
  </si>
  <si>
    <t>CTE OS - Dental Assisting (6-12)</t>
  </si>
  <si>
    <t>2030</t>
  </si>
  <si>
    <t>CTE OS - Dietitian (6-12)</t>
  </si>
  <si>
    <t>2033</t>
  </si>
  <si>
    <t>CTE OS - Nursing Assistant (6-12)</t>
  </si>
  <si>
    <t>2055</t>
  </si>
  <si>
    <t>CTE OS - Rehabilitation Services (6-12)</t>
  </si>
  <si>
    <t>2085</t>
  </si>
  <si>
    <t>CTE OS - Emergency Medical Technician (6-12)</t>
  </si>
  <si>
    <t>2087</t>
  </si>
  <si>
    <t>CTE OS - Paramedic (6-12)</t>
  </si>
  <si>
    <t>2094</t>
  </si>
  <si>
    <t>CTE OS - Medical Assisting (6-12)</t>
  </si>
  <si>
    <t>2095</t>
  </si>
  <si>
    <t>CTE OS - Pharmacy Technician (6-12)</t>
  </si>
  <si>
    <t>2098</t>
  </si>
  <si>
    <t>CTE OS - Sports Medicine/Athletic Trng (6-12)</t>
  </si>
  <si>
    <t>140510</t>
  </si>
  <si>
    <t>Nursing Assistant</t>
  </si>
  <si>
    <t>140540</t>
  </si>
  <si>
    <t>Fundamentals of Dental Assisting</t>
  </si>
  <si>
    <t>140550</t>
  </si>
  <si>
    <t>Emergency Medical Technician</t>
  </si>
  <si>
    <t>140551</t>
  </si>
  <si>
    <t>Emergency Medical Responder</t>
  </si>
  <si>
    <t>140552</t>
  </si>
  <si>
    <t>Emergency Medical Technician II</t>
  </si>
  <si>
    <t>140620</t>
  </si>
  <si>
    <t>Fundamentals of Rehabilitation Services</t>
  </si>
  <si>
    <t>140622</t>
  </si>
  <si>
    <t>Rehabilitation Services</t>
  </si>
  <si>
    <t>140980</t>
  </si>
  <si>
    <t>Work-Based Learning - Dental Assisting</t>
  </si>
  <si>
    <t>140981</t>
  </si>
  <si>
    <t>Work-Based Learning - Emergency Medical Technician</t>
  </si>
  <si>
    <t>140982</t>
  </si>
  <si>
    <t>Work-Based Learning - Nursing Assistant</t>
  </si>
  <si>
    <t>140983</t>
  </si>
  <si>
    <t>Work-Based Learning - Rehabilitation Services</t>
  </si>
  <si>
    <t>140990</t>
  </si>
  <si>
    <t>Mental Health Assistant</t>
  </si>
  <si>
    <t>141050</t>
  </si>
  <si>
    <t>Clinical Specialties</t>
  </si>
  <si>
    <t>141514</t>
  </si>
  <si>
    <t>Fundamentals of Medical Assisting</t>
  </si>
  <si>
    <t>141515</t>
  </si>
  <si>
    <t>Advanced Medical Assisting</t>
  </si>
  <si>
    <t>141520</t>
  </si>
  <si>
    <t>Pharmacy Technician</t>
  </si>
  <si>
    <t>141540</t>
  </si>
  <si>
    <t>Medical Terminology</t>
  </si>
  <si>
    <t>141551</t>
  </si>
  <si>
    <t>Anatomy and Physiology for Health Professions</t>
  </si>
  <si>
    <t>141980</t>
  </si>
  <si>
    <t>Work-Based Learning - Medical Assisting</t>
  </si>
  <si>
    <t>141981</t>
  </si>
  <si>
    <t>Work-Based Learning - Pharmacy Technician</t>
  </si>
  <si>
    <t>150010</t>
  </si>
  <si>
    <t>Orientation to Police, Fire, and Emergency Services</t>
  </si>
  <si>
    <t>6280</t>
  </si>
  <si>
    <t>CTE OS - Firefighting (6-12)</t>
  </si>
  <si>
    <t>6282</t>
  </si>
  <si>
    <t>CTE OS - Law Enforcement (6-12)</t>
  </si>
  <si>
    <t>150540</t>
  </si>
  <si>
    <t>Law Enforcement, Detention, and Corrections I</t>
  </si>
  <si>
    <t>150541</t>
  </si>
  <si>
    <t>Law Enforcement, Detention, and Corrections II</t>
  </si>
  <si>
    <t>150980</t>
  </si>
  <si>
    <t>Work-Based Learning - Law Enforcement</t>
  </si>
  <si>
    <t>151520</t>
  </si>
  <si>
    <t>Essentials of Firefighting</t>
  </si>
  <si>
    <t>151521</t>
  </si>
  <si>
    <t>Firefighting II</t>
  </si>
  <si>
    <t>151980</t>
  </si>
  <si>
    <t>Work-Based Learning - Firefighting</t>
  </si>
  <si>
    <t>160523</t>
  </si>
  <si>
    <t>Introduction to Culinary Arts</t>
  </si>
  <si>
    <t>3023</t>
  </si>
  <si>
    <t>CTE OS - Food Service (6-12)</t>
  </si>
  <si>
    <t>3025</t>
  </si>
  <si>
    <t>CTE OS - Culinary Arts (6-12)</t>
  </si>
  <si>
    <t>3027</t>
  </si>
  <si>
    <t>9971</t>
  </si>
  <si>
    <t>CTE - Family and Consumer Sciences (6-12)</t>
  </si>
  <si>
    <t>160524</t>
  </si>
  <si>
    <t>Advanced Culinary Arts</t>
  </si>
  <si>
    <t>160530</t>
  </si>
  <si>
    <t>Foundational Foods</t>
  </si>
  <si>
    <t>160550</t>
  </si>
  <si>
    <t>Hospitality Management I</t>
  </si>
  <si>
    <t>160551</t>
  </si>
  <si>
    <t>Hospitality Management II</t>
  </si>
  <si>
    <t>160560</t>
  </si>
  <si>
    <t>International Cuisine</t>
  </si>
  <si>
    <t>160980</t>
  </si>
  <si>
    <t>Work-Based Learning - Hospitality Services</t>
  </si>
  <si>
    <t>1085</t>
  </si>
  <si>
    <t>CTE OS - Hospitality Services (6-12)</t>
  </si>
  <si>
    <t>160981</t>
  </si>
  <si>
    <t>Work-Based Learning - Hospitality Management</t>
  </si>
  <si>
    <t>160982</t>
  </si>
  <si>
    <t>Work-Based Learning - Culinary Arts</t>
  </si>
  <si>
    <t>161510</t>
  </si>
  <si>
    <t>Hospitality Services</t>
  </si>
  <si>
    <t>161511</t>
  </si>
  <si>
    <t>Travel and Tourism</t>
  </si>
  <si>
    <t>161512</t>
  </si>
  <si>
    <t>Introduction to Hospitality Essentials</t>
  </si>
  <si>
    <t>161513</t>
  </si>
  <si>
    <t>Explore Hospitality and Tourism</t>
  </si>
  <si>
    <t>161521</t>
  </si>
  <si>
    <t>Promoting Hospitality and Tourism</t>
  </si>
  <si>
    <t>161522</t>
  </si>
  <si>
    <t>Travel and Tourism II: Travel as a Business</t>
  </si>
  <si>
    <t>161530</t>
  </si>
  <si>
    <t>Geography for Travel and Tourism</t>
  </si>
  <si>
    <t>161550</t>
  </si>
  <si>
    <t>Tour Idaho</t>
  </si>
  <si>
    <t>170010</t>
  </si>
  <si>
    <t>Construction Careers Exploration</t>
  </si>
  <si>
    <t>5030</t>
  </si>
  <si>
    <t>CTE OS - Electrical Technology (9-12)</t>
  </si>
  <si>
    <t>6010</t>
  </si>
  <si>
    <t>CTE OS - HVAC Technology (6-12)</t>
  </si>
  <si>
    <t>6015</t>
  </si>
  <si>
    <t>CTE OS - Plumbing Technology (6-12)</t>
  </si>
  <si>
    <t>6105</t>
  </si>
  <si>
    <t>CTE OS - Cabinetmaking &amp; Bench Carpentry (6-12)</t>
  </si>
  <si>
    <t>6108</t>
  </si>
  <si>
    <t>CTE OS - Construction Trades Technology (6-12)</t>
  </si>
  <si>
    <t>170020</t>
  </si>
  <si>
    <t>Construction Systems I</t>
  </si>
  <si>
    <t>170021</t>
  </si>
  <si>
    <t>Construction Systems II</t>
  </si>
  <si>
    <t>170030</t>
  </si>
  <si>
    <t>Construction Trades Level I</t>
  </si>
  <si>
    <t>170031</t>
  </si>
  <si>
    <t>Construction Trades Level II</t>
  </si>
  <si>
    <t>170032</t>
  </si>
  <si>
    <t>Construction Trades Level III</t>
  </si>
  <si>
    <t>170070</t>
  </si>
  <si>
    <t>Introduction to Cabinetmaking</t>
  </si>
  <si>
    <t>170071</t>
  </si>
  <si>
    <t>Cabinetmaking and Millwork Level I</t>
  </si>
  <si>
    <t>170072</t>
  </si>
  <si>
    <t>Cabinetmaking and Millwork Level II</t>
  </si>
  <si>
    <t>170073</t>
  </si>
  <si>
    <t>Cabinetmaking and Millwork Level III</t>
  </si>
  <si>
    <t>170074</t>
  </si>
  <si>
    <t>Advanced Cabinetmaking</t>
  </si>
  <si>
    <t>170480</t>
  </si>
  <si>
    <t>Work-Based Learning - Construction Trades</t>
  </si>
  <si>
    <t>170481</t>
  </si>
  <si>
    <t>Work-Based Learning - Cabinetmaking and Bench Carpentry</t>
  </si>
  <si>
    <t>170560</t>
  </si>
  <si>
    <t>HVAC Level II</t>
  </si>
  <si>
    <t>170562</t>
  </si>
  <si>
    <t>HVAC Level I</t>
  </si>
  <si>
    <t>170565</t>
  </si>
  <si>
    <t>HVAC Level III</t>
  </si>
  <si>
    <t>170580</t>
  </si>
  <si>
    <t>Plumbing Level II</t>
  </si>
  <si>
    <t>170582</t>
  </si>
  <si>
    <t>Plumbing Level I</t>
  </si>
  <si>
    <t>170585</t>
  </si>
  <si>
    <t>Plumbing Level III</t>
  </si>
  <si>
    <t>170980</t>
  </si>
  <si>
    <t>Work-Based Learning - HVAC Pre-Apprenticeship</t>
  </si>
  <si>
    <t>170981</t>
  </si>
  <si>
    <t>Work-Based Learning - Plumbing</t>
  </si>
  <si>
    <t>171020</t>
  </si>
  <si>
    <t>Electrical Level II</t>
  </si>
  <si>
    <t>171022</t>
  </si>
  <si>
    <t>Electrical Level I</t>
  </si>
  <si>
    <t>171025</t>
  </si>
  <si>
    <t>Electrical Level III</t>
  </si>
  <si>
    <t>171060</t>
  </si>
  <si>
    <t>Introduction to Electronics Technology</t>
  </si>
  <si>
    <t>171061</t>
  </si>
  <si>
    <t>Electronics Applications</t>
  </si>
  <si>
    <t>171062</t>
  </si>
  <si>
    <t>Electronics Technology Level I</t>
  </si>
  <si>
    <t>171063</t>
  </si>
  <si>
    <t>Electronics Technology Level II</t>
  </si>
  <si>
    <t>171064</t>
  </si>
  <si>
    <t>Electronics Technology Level III</t>
  </si>
  <si>
    <t>171480</t>
  </si>
  <si>
    <t>Work-Based Learning - Electronics Technology</t>
  </si>
  <si>
    <t>171481</t>
  </si>
  <si>
    <t>Work-Based Learning - Electrical</t>
  </si>
  <si>
    <t>180010</t>
  </si>
  <si>
    <t>Introduction to Agriculture Education</t>
  </si>
  <si>
    <t>0108</t>
  </si>
  <si>
    <t>CTE OS - Animal Health &amp; Veterinary Sci (6-12)</t>
  </si>
  <si>
    <t>0109</t>
  </si>
  <si>
    <t>CTE OS - Ag Business Mgmt (6-12)</t>
  </si>
  <si>
    <t>0110</t>
  </si>
  <si>
    <t>CTE OS - Agricultural Production (6-12)</t>
  </si>
  <si>
    <t>0114</t>
  </si>
  <si>
    <t>CTE OS - Farm &amp; Ranch Management (6-12)</t>
  </si>
  <si>
    <t>0120</t>
  </si>
  <si>
    <t>CTE OS - Agricultural Leadership and Communications (6-12)</t>
  </si>
  <si>
    <t>0130</t>
  </si>
  <si>
    <t>CTE OS - Agricultural Power Machinery (6-12)</t>
  </si>
  <si>
    <t>0150</t>
  </si>
  <si>
    <t>CTE OS - Horticulture (6-12)</t>
  </si>
  <si>
    <t>0152</t>
  </si>
  <si>
    <t>CTE OS - Plant and Soil (6-12)</t>
  </si>
  <si>
    <t>0161</t>
  </si>
  <si>
    <t>CTE OS - Aquaculture (6-12)</t>
  </si>
  <si>
    <t>0170</t>
  </si>
  <si>
    <t>CTE OS - Forestry (6-12)</t>
  </si>
  <si>
    <t>0174</t>
  </si>
  <si>
    <t>CTE OS - Natural Resource Management (6-12)</t>
  </si>
  <si>
    <t>0175</t>
  </si>
  <si>
    <t>CTE OS - Ecology and Natural Resource Management (6-12)</t>
  </si>
  <si>
    <t>9921</t>
  </si>
  <si>
    <t>CTE - Agriculture Science and Technology (6-12)</t>
  </si>
  <si>
    <t>180015</t>
  </si>
  <si>
    <t>Introduction to Natural Resources and Ecosystem Services</t>
  </si>
  <si>
    <t>180020</t>
  </si>
  <si>
    <t>Introduction to Agricultural Industry</t>
  </si>
  <si>
    <t>0118</t>
  </si>
  <si>
    <t>CTE OS - Animal Science (6-12)</t>
  </si>
  <si>
    <t>0119</t>
  </si>
  <si>
    <t>CTE OS - Agribusiness (6-12)</t>
  </si>
  <si>
    <t>0131</t>
  </si>
  <si>
    <t>CTE OS - Agricultural Mechanics &amp; Power Systems (6-12)</t>
  </si>
  <si>
    <t>0140</t>
  </si>
  <si>
    <t>CTE OS - Food Science &amp; Processing Technology (6-12)</t>
  </si>
  <si>
    <t>180040</t>
  </si>
  <si>
    <t>Agricultural Biology</t>
  </si>
  <si>
    <t>180050</t>
  </si>
  <si>
    <t>Environmental Science</t>
  </si>
  <si>
    <t>180051</t>
  </si>
  <si>
    <t>Introduction to Environmental Science Technology</t>
  </si>
  <si>
    <t>180052</t>
  </si>
  <si>
    <t>Environmental Sciences Technology Applications</t>
  </si>
  <si>
    <t>180053</t>
  </si>
  <si>
    <t>Advanced Environmental Science Technology Applications</t>
  </si>
  <si>
    <t>180510</t>
  </si>
  <si>
    <t>Introduction to Agricultural Plant Industry</t>
  </si>
  <si>
    <t>0151</t>
  </si>
  <si>
    <t>CTE OS - Ornamental Horticulture (6-12)</t>
  </si>
  <si>
    <t>180511</t>
  </si>
  <si>
    <t>Science of Plant Growth and Development</t>
  </si>
  <si>
    <t>180512</t>
  </si>
  <si>
    <t>Applied Crop Management</t>
  </si>
  <si>
    <t>180513</t>
  </si>
  <si>
    <t>Plant and Soil Science</t>
  </si>
  <si>
    <t>180514</t>
  </si>
  <si>
    <t>Standards of Agricultural Plant Science</t>
  </si>
  <si>
    <t>180515</t>
  </si>
  <si>
    <t>Horticulture Plant Science</t>
  </si>
  <si>
    <t>180520</t>
  </si>
  <si>
    <t>Landscape Design</t>
  </si>
  <si>
    <t>180521</t>
  </si>
  <si>
    <t>Floral Design and Marketing</t>
  </si>
  <si>
    <t>180522</t>
  </si>
  <si>
    <t>Advanced Floral Design and Marketing</t>
  </si>
  <si>
    <t>180523</t>
  </si>
  <si>
    <t>Applied Greenhouse and Nursery Management</t>
  </si>
  <si>
    <t>180524</t>
  </si>
  <si>
    <t>Standards of Agricultural Ornamental Horticulture</t>
  </si>
  <si>
    <t>180980</t>
  </si>
  <si>
    <t>Work-Based Learning - Ornamental Horticulture</t>
  </si>
  <si>
    <t>180981</t>
  </si>
  <si>
    <t>Work-Based Learning - Plant and Soil</t>
  </si>
  <si>
    <t>181010</t>
  </si>
  <si>
    <t>Introduction to Livestock Industry</t>
  </si>
  <si>
    <t>181011</t>
  </si>
  <si>
    <t>Animal Science</t>
  </si>
  <si>
    <t>181013</t>
  </si>
  <si>
    <t>Applied Livestock Management</t>
  </si>
  <si>
    <t>181017</t>
  </si>
  <si>
    <t>Science of Animal Reproduction</t>
  </si>
  <si>
    <t>181018</t>
  </si>
  <si>
    <t>Standards of Agricultural Animal Science</t>
  </si>
  <si>
    <t>181020</t>
  </si>
  <si>
    <t>Small Animal Care</t>
  </si>
  <si>
    <t>181040</t>
  </si>
  <si>
    <t>Equine Science</t>
  </si>
  <si>
    <t>181041</t>
  </si>
  <si>
    <t>Advanced Equine Science</t>
  </si>
  <si>
    <t>181050</t>
  </si>
  <si>
    <t>Veterinary Science</t>
  </si>
  <si>
    <t>181070</t>
  </si>
  <si>
    <t>Science of Animal Nutrition</t>
  </si>
  <si>
    <t>181480</t>
  </si>
  <si>
    <t>Work-Based Learning - Animal Science</t>
  </si>
  <si>
    <t>182010</t>
  </si>
  <si>
    <t>Agribusiness Management and Marketing</t>
  </si>
  <si>
    <t>182011</t>
  </si>
  <si>
    <t>Agricultural Business and Economics</t>
  </si>
  <si>
    <t>182012</t>
  </si>
  <si>
    <t>Agricultural Sales</t>
  </si>
  <si>
    <t>182020</t>
  </si>
  <si>
    <t>Experiential Learning and SAE Programs</t>
  </si>
  <si>
    <t>182030</t>
  </si>
  <si>
    <t>Personal Skill Development</t>
  </si>
  <si>
    <t>182031</t>
  </si>
  <si>
    <t>Advanced Leadership In Agriculture and Marketing</t>
  </si>
  <si>
    <t>182032</t>
  </si>
  <si>
    <t>Principles of Agricultural Communications and Leadership</t>
  </si>
  <si>
    <t>182040</t>
  </si>
  <si>
    <t>Agricultural Economics</t>
  </si>
  <si>
    <t>182480</t>
  </si>
  <si>
    <t>Work-Based Learning - Agribusiness/Economics</t>
  </si>
  <si>
    <t>182481</t>
  </si>
  <si>
    <t>Work-Based Learning - Agriculture Communications and Leadership</t>
  </si>
  <si>
    <t>183050</t>
  </si>
  <si>
    <t>Sanitation in Food Processing</t>
  </si>
  <si>
    <t>183052</t>
  </si>
  <si>
    <t>Introduction to Equipment in Food Processing</t>
  </si>
  <si>
    <t>183056</t>
  </si>
  <si>
    <t>Standards of Food Science and Processing Technology</t>
  </si>
  <si>
    <t>183060</t>
  </si>
  <si>
    <t>Aquaculture Science</t>
  </si>
  <si>
    <t>183080</t>
  </si>
  <si>
    <t>Agricultural Biotechnology</t>
  </si>
  <si>
    <t>183081</t>
  </si>
  <si>
    <t>Food Science</t>
  </si>
  <si>
    <t>183480</t>
  </si>
  <si>
    <t>Work-Based Learning - Food Science and Processing</t>
  </si>
  <si>
    <t>183490</t>
  </si>
  <si>
    <t>Precision Agriculture</t>
  </si>
  <si>
    <t>184010</t>
  </si>
  <si>
    <t>Introduction to Agricultural Mechanics</t>
  </si>
  <si>
    <t>6310</t>
  </si>
  <si>
    <t>CTE OS - Small Engine Repair (6-12)</t>
  </si>
  <si>
    <t>184011</t>
  </si>
  <si>
    <t>Small Gasoline Engines</t>
  </si>
  <si>
    <t>184012</t>
  </si>
  <si>
    <t>Agricultural Power Technology - Large Engines</t>
  </si>
  <si>
    <t>184013</t>
  </si>
  <si>
    <t>Agricultural Systems/Electricity and Hydraulics</t>
  </si>
  <si>
    <t>184014</t>
  </si>
  <si>
    <t>Agricultural Machinery</t>
  </si>
  <si>
    <t>184015</t>
  </si>
  <si>
    <t>Agricultural Structures</t>
  </si>
  <si>
    <t>184016</t>
  </si>
  <si>
    <t>Advanced Small Gasoline Engines</t>
  </si>
  <si>
    <t>184017</t>
  </si>
  <si>
    <t>Standards of Agricultural Mechanics and Power Systems</t>
  </si>
  <si>
    <t>184040</t>
  </si>
  <si>
    <t>Agricultural Welding</t>
  </si>
  <si>
    <t>184041</t>
  </si>
  <si>
    <t>Advanced Agricultural Welding</t>
  </si>
  <si>
    <t>184042</t>
  </si>
  <si>
    <t>Agricultural Power Technology</t>
  </si>
  <si>
    <t>184043</t>
  </si>
  <si>
    <t>Agricultural Fabrication</t>
  </si>
  <si>
    <t>184480</t>
  </si>
  <si>
    <t>Work-Based Learning - Agriculture Mechanics and Power Systems</t>
  </si>
  <si>
    <t>184481</t>
  </si>
  <si>
    <t>Work-Based Learning - Agriculture Small Engine Repair</t>
  </si>
  <si>
    <t>184482</t>
  </si>
  <si>
    <t>Work-Based Learning - Agriculture Welding</t>
  </si>
  <si>
    <t>185021</t>
  </si>
  <si>
    <t>Forestry Science</t>
  </si>
  <si>
    <t>185040</t>
  </si>
  <si>
    <t>Natural Resource Science</t>
  </si>
  <si>
    <t>185053</t>
  </si>
  <si>
    <t>Forestry and Wildlife Management</t>
  </si>
  <si>
    <t>185054</t>
  </si>
  <si>
    <t>Fish and Wildlife Science</t>
  </si>
  <si>
    <t>185056</t>
  </si>
  <si>
    <t>Advanced Forestry Science</t>
  </si>
  <si>
    <t>185057</t>
  </si>
  <si>
    <t>Range Science</t>
  </si>
  <si>
    <t>185482</t>
  </si>
  <si>
    <t>Work-Based Learning - Ecology and Natural Resource Management</t>
  </si>
  <si>
    <t>190010</t>
  </si>
  <si>
    <t>Human Services</t>
  </si>
  <si>
    <t>190012</t>
  </si>
  <si>
    <t>Advanced Human Services</t>
  </si>
  <si>
    <t>190014</t>
  </si>
  <si>
    <t>Introduction to Family and Consumer Sciences (FCS) and Human Services Careers</t>
  </si>
  <si>
    <t>191010</t>
  </si>
  <si>
    <t>Cosmetology I</t>
  </si>
  <si>
    <t>6262</t>
  </si>
  <si>
    <t>CTE OS - Cosmetology (6-12)</t>
  </si>
  <si>
    <t>191011</t>
  </si>
  <si>
    <t>Cosmetology II</t>
  </si>
  <si>
    <t>191012</t>
  </si>
  <si>
    <t>Cosmetology III</t>
  </si>
  <si>
    <t>191480</t>
  </si>
  <si>
    <t>Work-Based Learning - Cosmetology</t>
  </si>
  <si>
    <t>191510</t>
  </si>
  <si>
    <t>Education Assistant</t>
  </si>
  <si>
    <t>191511</t>
  </si>
  <si>
    <t>Advanced Education Assistant</t>
  </si>
  <si>
    <t>191530</t>
  </si>
  <si>
    <t>Early Childhood Professions</t>
  </si>
  <si>
    <t>3020</t>
  </si>
  <si>
    <t>CTE OS - Child Development Care &amp; Guidance (6-12)</t>
  </si>
  <si>
    <t>3022</t>
  </si>
  <si>
    <t>CTE OS - Child Development &amp; Services (6-12)</t>
  </si>
  <si>
    <t>191531</t>
  </si>
  <si>
    <t>Early Childhood Education</t>
  </si>
  <si>
    <t>191540</t>
  </si>
  <si>
    <t>Explore Working with Young Children</t>
  </si>
  <si>
    <t>191980</t>
  </si>
  <si>
    <t>Work-Based Learning - Child Development and Services</t>
  </si>
  <si>
    <t>191981</t>
  </si>
  <si>
    <t>Work-Based Learning - Education and Training</t>
  </si>
  <si>
    <t>192010</t>
  </si>
  <si>
    <t>Fashion/Design and Merchandising</t>
  </si>
  <si>
    <t>3030</t>
  </si>
  <si>
    <t>CTE OS - Fashion and Interiors (6-12)</t>
  </si>
  <si>
    <t>3035</t>
  </si>
  <si>
    <t>CTE OS - Apparel/Textiles (6-12)</t>
  </si>
  <si>
    <t>192011</t>
  </si>
  <si>
    <t>Fashion and Textiles</t>
  </si>
  <si>
    <t>192012</t>
  </si>
  <si>
    <t>Fashion Strategies</t>
  </si>
  <si>
    <t>192030</t>
  </si>
  <si>
    <t>Apparel Construction Fundamentals</t>
  </si>
  <si>
    <t>192031</t>
  </si>
  <si>
    <t>Apparel Design Technology</t>
  </si>
  <si>
    <t>192050</t>
  </si>
  <si>
    <t>Housing, Interiors, and Furnishings</t>
  </si>
  <si>
    <t>192610</t>
  </si>
  <si>
    <t>Human Growth and Development</t>
  </si>
  <si>
    <t>192982</t>
  </si>
  <si>
    <t>Work-Based Learning - Apparel/Textiles</t>
  </si>
  <si>
    <t>200010</t>
  </si>
  <si>
    <t>Aviation Careers Exploration</t>
  </si>
  <si>
    <t>6041</t>
  </si>
  <si>
    <t>CTE OS - Aircraft Maintenance (6-12)</t>
  </si>
  <si>
    <t>Aircraft Maintenance I</t>
  </si>
  <si>
    <t>Aircraft Maintenance II</t>
  </si>
  <si>
    <t>Aircraft Maintenance III</t>
  </si>
  <si>
    <t>201010</t>
  </si>
  <si>
    <t>Power, Energy, and Transportation Systems</t>
  </si>
  <si>
    <t>201011</t>
  </si>
  <si>
    <t>Power, Energy, and Transportation Systems II</t>
  </si>
  <si>
    <t>201030</t>
  </si>
  <si>
    <t>Automotive Technology Level I</t>
  </si>
  <si>
    <t>6032</t>
  </si>
  <si>
    <t>CTE OS - Automotive Maintenance &amp; Light Repair (6-12)</t>
  </si>
  <si>
    <t>201031</t>
  </si>
  <si>
    <t>Automotive Technology Level II</t>
  </si>
  <si>
    <t>201032</t>
  </si>
  <si>
    <t>Automotive Technology Level III</t>
  </si>
  <si>
    <t>201033</t>
  </si>
  <si>
    <t>Transportation Careers Exploration</t>
  </si>
  <si>
    <t>6031</t>
  </si>
  <si>
    <t>CTE OS - Automotive Collision Repair (6-12)</t>
  </si>
  <si>
    <t>6120</t>
  </si>
  <si>
    <t>CTE OS - Heavy Duty Truck and Equipment (6-12)</t>
  </si>
  <si>
    <t>6315</t>
  </si>
  <si>
    <t>201070</t>
  </si>
  <si>
    <t>Heavy Duty Truck and Equipment I</t>
  </si>
  <si>
    <t>201071</t>
  </si>
  <si>
    <t>Heavy Duty Truck and Equipment II</t>
  </si>
  <si>
    <t>201072</t>
  </si>
  <si>
    <t>Heavy Duty Truck and Equipment III</t>
  </si>
  <si>
    <t>201101</t>
  </si>
  <si>
    <t>Powersports and Outdoor Power Equipment I</t>
  </si>
  <si>
    <t>201102</t>
  </si>
  <si>
    <t>Powersports and Outdoor Power Equipment II</t>
  </si>
  <si>
    <t>201103</t>
  </si>
  <si>
    <t>Powersports and Outdoor Power Equipment III</t>
  </si>
  <si>
    <t>201160</t>
  </si>
  <si>
    <t>Automotive Collision Repair Level I</t>
  </si>
  <si>
    <t>201161</t>
  </si>
  <si>
    <t>Automotive Collision Repair Level II</t>
  </si>
  <si>
    <t>201162</t>
  </si>
  <si>
    <t>Automotive Collision Repair Level III</t>
  </si>
  <si>
    <t>201480</t>
  </si>
  <si>
    <t>Work-Based Learning - Powersports and Outdoor Power Equipment</t>
  </si>
  <si>
    <t>201481</t>
  </si>
  <si>
    <t>Work-Based Learning - Automotive Collision Repair</t>
  </si>
  <si>
    <t>201482</t>
  </si>
  <si>
    <t>Work-Based Learning - Automotive Maintenance and Light Repair</t>
  </si>
  <si>
    <t>201483</t>
  </si>
  <si>
    <t>Work-Based Learning - Heavy Duty Truck and Equipment</t>
  </si>
  <si>
    <t>201484</t>
  </si>
  <si>
    <t>Work-Based Learning - Aircraft Maintenance</t>
  </si>
  <si>
    <t>210030</t>
  </si>
  <si>
    <t>Fundamentals of Engineering Technology</t>
  </si>
  <si>
    <t>5015</t>
  </si>
  <si>
    <t>CTE OS - Pre-Engineering Technology (6-12)</t>
  </si>
  <si>
    <t>9401</t>
  </si>
  <si>
    <t>CTE - Engineering (6-12)</t>
  </si>
  <si>
    <t>210050</t>
  </si>
  <si>
    <t>Principles of Engineering</t>
  </si>
  <si>
    <t>210051</t>
  </si>
  <si>
    <t>Technological Design</t>
  </si>
  <si>
    <t>210060</t>
  </si>
  <si>
    <t>Introduction to Engineering Design</t>
  </si>
  <si>
    <t>210061</t>
  </si>
  <si>
    <t>Digital Electronics</t>
  </si>
  <si>
    <t>210062</t>
  </si>
  <si>
    <t>210064</t>
  </si>
  <si>
    <t>Engineering Design and Development</t>
  </si>
  <si>
    <t>210090</t>
  </si>
  <si>
    <t>Robotics Engineering</t>
  </si>
  <si>
    <t>210091</t>
  </si>
  <si>
    <t>Robotics Applications</t>
  </si>
  <si>
    <t>210092</t>
  </si>
  <si>
    <t>Introduction to Robotics</t>
  </si>
  <si>
    <t>210093</t>
  </si>
  <si>
    <t>Robotics and Automation</t>
  </si>
  <si>
    <t>210100</t>
  </si>
  <si>
    <t>Computer Integrated Manufacturing</t>
  </si>
  <si>
    <t>210120</t>
  </si>
  <si>
    <t>Civil Engineering and Architecture</t>
  </si>
  <si>
    <t>210130</t>
  </si>
  <si>
    <t>Aerospace Engineering</t>
  </si>
  <si>
    <t>210140</t>
  </si>
  <si>
    <t>Biotechnical Engineering</t>
  </si>
  <si>
    <t>210480</t>
  </si>
  <si>
    <t>Work-Based Learning - Pre-Engineering Technology</t>
  </si>
  <si>
    <t>210520</t>
  </si>
  <si>
    <t>Advanced Design Applications</t>
  </si>
  <si>
    <t>211020</t>
  </si>
  <si>
    <t>Introduction to Drafting and Design Technology</t>
  </si>
  <si>
    <t>6130</t>
  </si>
  <si>
    <t>CTE OS - Drafting and Design (6-12)</t>
  </si>
  <si>
    <t>211021</t>
  </si>
  <si>
    <t>Drafting I</t>
  </si>
  <si>
    <t>6131</t>
  </si>
  <si>
    <t>CTE OS - Architectural Drafting Technology (6-12)</t>
  </si>
  <si>
    <t>6132</t>
  </si>
  <si>
    <t>CTE OS - Mechanical Drafting Technology (6-12)</t>
  </si>
  <si>
    <t>211022</t>
  </si>
  <si>
    <t>Drafting II</t>
  </si>
  <si>
    <t>211023</t>
  </si>
  <si>
    <t>Drafting III</t>
  </si>
  <si>
    <t>211025</t>
  </si>
  <si>
    <t>3D Solid Modeling</t>
  </si>
  <si>
    <t>211030</t>
  </si>
  <si>
    <t>Introduction to Architectural Design</t>
  </si>
  <si>
    <t>211063</t>
  </si>
  <si>
    <t>Introduction to Mechanical Drafting and Design</t>
  </si>
  <si>
    <t>211480</t>
  </si>
  <si>
    <t>Work-Based Learning - Drafting and Design</t>
  </si>
  <si>
    <t>221010</t>
  </si>
  <si>
    <t>Leadership</t>
  </si>
  <si>
    <t>221510</t>
  </si>
  <si>
    <t>First Steps: Understanding the World of Work through Career and Technical Education (CTE)</t>
  </si>
  <si>
    <t>7-8</t>
  </si>
  <si>
    <t>-0001</t>
  </si>
  <si>
    <t>Any Valid CTE Endorsement Code</t>
  </si>
  <si>
    <t>221520</t>
  </si>
  <si>
    <t>Strategies for Success</t>
  </si>
  <si>
    <t>221521</t>
  </si>
  <si>
    <t>Career Exploration and Employment Preparation</t>
  </si>
  <si>
    <t>221522</t>
  </si>
  <si>
    <t>Family and Consumer Sciences (FCS) Professions</t>
  </si>
  <si>
    <t>221523</t>
  </si>
  <si>
    <t>Career and Personal Development</t>
  </si>
  <si>
    <t>222080</t>
  </si>
  <si>
    <t>Family Health and Wellness</t>
  </si>
  <si>
    <t>222510</t>
  </si>
  <si>
    <t>Healthy Living, Healthy World</t>
  </si>
  <si>
    <t>222511</t>
  </si>
  <si>
    <t>Food and Nutrition</t>
  </si>
  <si>
    <t>222512</t>
  </si>
  <si>
    <t>Food Science and Nutrition</t>
  </si>
  <si>
    <t>222513</t>
  </si>
  <si>
    <t>Teen Parenting</t>
  </si>
  <si>
    <t>222514</t>
  </si>
  <si>
    <t>Parenting and Child Development</t>
  </si>
  <si>
    <t>222515</t>
  </si>
  <si>
    <t>Teen Living</t>
  </si>
  <si>
    <t>222516</t>
  </si>
  <si>
    <t>Adult Living</t>
  </si>
  <si>
    <t>222517</t>
  </si>
  <si>
    <t>Personal and Family Finance/Economics</t>
  </si>
  <si>
    <t>222518</t>
  </si>
  <si>
    <t>Advanced Nutrition and Wellness</t>
  </si>
  <si>
    <t>229980</t>
  </si>
  <si>
    <t>Work-Based Learning Experience I</t>
  </si>
  <si>
    <t>229981</t>
  </si>
  <si>
    <t>Work-Based Learning Experience II</t>
  </si>
  <si>
    <t>229982</t>
  </si>
  <si>
    <t>Work-Based Learning Experience III</t>
  </si>
  <si>
    <t>229983</t>
  </si>
  <si>
    <t>Work-Based Learning Experience IV</t>
  </si>
  <si>
    <t>229984</t>
  </si>
  <si>
    <t>Entrepreneurship Experience</t>
  </si>
  <si>
    <t>313000</t>
  </si>
  <si>
    <t>CTE - Other District Staff</t>
  </si>
  <si>
    <t>460600</t>
  </si>
  <si>
    <t>CTE Administrator</t>
  </si>
  <si>
    <t>0055</t>
  </si>
  <si>
    <t>CTE Administrator (6-12)</t>
  </si>
  <si>
    <t>800010</t>
  </si>
  <si>
    <t>Grades 6-8 Agriculture, Food, and Natural Resources</t>
  </si>
  <si>
    <t>800020</t>
  </si>
  <si>
    <t>Grades 6-8 Business and Marketing</t>
  </si>
  <si>
    <t>800030</t>
  </si>
  <si>
    <t>Grades 6-8 Engineering and Technology Education</t>
  </si>
  <si>
    <t>800040</t>
  </si>
  <si>
    <t>Grades 6-8 Family and Consumer Sciences &amp; Human Services</t>
  </si>
  <si>
    <t>800050</t>
  </si>
  <si>
    <t>Grades 6-8 Trades and Industry</t>
  </si>
  <si>
    <t>800060</t>
  </si>
  <si>
    <t>Grades 6-8 Health Professions and Public Safety</t>
  </si>
  <si>
    <t>900001</t>
  </si>
  <si>
    <t>Advisory - CTE</t>
  </si>
  <si>
    <t>900002</t>
  </si>
  <si>
    <t>Aide - CTE Classroom</t>
  </si>
  <si>
    <t>900010</t>
  </si>
  <si>
    <t>Grades 9-12 Agriculture, Food and Natural Resources</t>
  </si>
  <si>
    <t>900020</t>
  </si>
  <si>
    <t>Grades 9-12 Business and Marketing</t>
  </si>
  <si>
    <t>900030</t>
  </si>
  <si>
    <t>Grades 9-12 Engineering and Technology Education</t>
  </si>
  <si>
    <t>900040</t>
  </si>
  <si>
    <t>Grades 9-12 Family and Consumer Sciences and Human Services</t>
  </si>
  <si>
    <t>900050</t>
  </si>
  <si>
    <t>Grades 9-12 Trades and Industry</t>
  </si>
  <si>
    <t>900060</t>
  </si>
  <si>
    <t>Grades 9-12 Health Professions and Public Safety</t>
  </si>
  <si>
    <t>AP/Dual Credit Engineering - Mathematics (11-12 grade content)</t>
  </si>
  <si>
    <t>Coordinator</t>
  </si>
  <si>
    <t>DistrictNumber</t>
  </si>
  <si>
    <t>DistrictName</t>
  </si>
  <si>
    <t>schoolNumber</t>
  </si>
  <si>
    <t>schoolName</t>
  </si>
  <si>
    <t>058</t>
  </si>
  <si>
    <t>ABERDEEN DISTRICT</t>
  </si>
  <si>
    <t>0298</t>
  </si>
  <si>
    <t>ABERDEEN ELEMENTARY SCHOOL</t>
  </si>
  <si>
    <t>0036</t>
  </si>
  <si>
    <t>ABERDEEN HIGH SCHOOL</t>
  </si>
  <si>
    <t>0299</t>
  </si>
  <si>
    <t>ABERDEEN MIDDLE SCHOOL</t>
  </si>
  <si>
    <t>3058</t>
  </si>
  <si>
    <t>ADMINISTRATION BUILDING ABERDEEN DISTRICT</t>
  </si>
  <si>
    <t>495</t>
  </si>
  <si>
    <t>ALTURAS INTERNATIONAL ACADEMY, INC.</t>
  </si>
  <si>
    <t>1385</t>
  </si>
  <si>
    <t>ALTURAS INTERNATIONAL ACADEMY</t>
  </si>
  <si>
    <t>560</t>
  </si>
  <si>
    <t>ALTURAS PREPARATORY ACADEMY, INC</t>
  </si>
  <si>
    <t>1460</t>
  </si>
  <si>
    <t>ALTURAS PREPARATORY ACADEMY</t>
  </si>
  <si>
    <t>381</t>
  </si>
  <si>
    <t>AMERICAN FALLS JOINT DISTRICT</t>
  </si>
  <si>
    <t>3381</t>
  </si>
  <si>
    <t>ADMINISTRATION BUILDING AMERICAN FALLS JOINT DISTRICT</t>
  </si>
  <si>
    <t>0261</t>
  </si>
  <si>
    <t>AMERICAN FALLS ACADEMY</t>
  </si>
  <si>
    <t>1171</t>
  </si>
  <si>
    <t>AMERICAN FALLS ACADEMY (SUMMER)</t>
  </si>
  <si>
    <t>0168</t>
  </si>
  <si>
    <t>AMERICAN FALLS HIGH SCHOOL</t>
  </si>
  <si>
    <t>0808</t>
  </si>
  <si>
    <t>HILLCREST ELEMENTARY SCHOOL</t>
  </si>
  <si>
    <t>0849</t>
  </si>
  <si>
    <t>J.R. SIMPLOT ELEMENTARY SCHOOL</t>
  </si>
  <si>
    <t>0167</t>
  </si>
  <si>
    <t>WILLIAM THOMAS MIDDLE SCHOOL</t>
  </si>
  <si>
    <t>482</t>
  </si>
  <si>
    <t>AMERICAN HERITAGE CHARTER SCHOOL, INC.</t>
  </si>
  <si>
    <t>1346</t>
  </si>
  <si>
    <t>AMERICAN HERITAGE CHARTER SCHOOL</t>
  </si>
  <si>
    <t>492</t>
  </si>
  <si>
    <t>ANSER OF IDAHO, INC.</t>
  </si>
  <si>
    <t>0819</t>
  </si>
  <si>
    <t>ANSER CHARTER SCHOOL</t>
  </si>
  <si>
    <t>383</t>
  </si>
  <si>
    <t>ARBON ELEMENTARY DISTRICT</t>
  </si>
  <si>
    <t>3383</t>
  </si>
  <si>
    <t>ADMINISTRATION BUILDING ARBON ELEMENTARY DISTRICT</t>
  </si>
  <si>
    <t>0810</t>
  </si>
  <si>
    <t>ARBON ELEMENTARY SCHOOL</t>
  </si>
  <si>
    <t>394</t>
  </si>
  <si>
    <t xml:space="preserve">AVERY SCHOOL DISTRICT </t>
  </si>
  <si>
    <t>3394</t>
  </si>
  <si>
    <t>ADMINISTRATION BUILDING AVERY SCHOOL DISTRICT</t>
  </si>
  <si>
    <t>0820</t>
  </si>
  <si>
    <t>CALDER SCHOOL</t>
  </si>
  <si>
    <t>072</t>
  </si>
  <si>
    <t>BASIN SCHOOL DISTRICT</t>
  </si>
  <si>
    <t>3007</t>
  </si>
  <si>
    <t>ADMINISTRATION BUILDING BASIN SCHOOL DISTRICT</t>
  </si>
  <si>
    <t>0159</t>
  </si>
  <si>
    <t>BASIN ELEMENTARY SCHOOL</t>
  </si>
  <si>
    <t>0183</t>
  </si>
  <si>
    <t>IDAHO CITY HIGH SCHOOL</t>
  </si>
  <si>
    <t>033</t>
  </si>
  <si>
    <t>BEAR LAKE COUNTY DISTRICT</t>
  </si>
  <si>
    <t>0370</t>
  </si>
  <si>
    <t>A J WINTERS ELEMENTARY SCHOOL</t>
  </si>
  <si>
    <t>3033</t>
  </si>
  <si>
    <t>ADMINISTRATION BUILDING BEAR LAKE COUNTY DISTRICT</t>
  </si>
  <si>
    <t>0027</t>
  </si>
  <si>
    <t>BEAR LAKE HIGH SCHOOL</t>
  </si>
  <si>
    <t>0026</t>
  </si>
  <si>
    <t>BEAR LAKE MIDDLE SCHOOL</t>
  </si>
  <si>
    <t>1455</t>
  </si>
  <si>
    <t>BEAR LAKE ON-LINE LEARNING</t>
  </si>
  <si>
    <t>0404</t>
  </si>
  <si>
    <t>0371</t>
  </si>
  <si>
    <t>GEORGETOWN ELEMENTARY SCHOOL</t>
  </si>
  <si>
    <t>0372</t>
  </si>
  <si>
    <t>PARIS ELEMENTARY SCHOOL</t>
  </si>
  <si>
    <t>477</t>
  </si>
  <si>
    <t>BLACKFOOT CHARTER COMMUNITY LEARNING CENTER, INC.</t>
  </si>
  <si>
    <t>1294</t>
  </si>
  <si>
    <t>BLACKFOOT CHARTER COMMUNITY</t>
  </si>
  <si>
    <t>BLACKFOOT DISTRICT</t>
  </si>
  <si>
    <t>3055</t>
  </si>
  <si>
    <t>ADMINISTRATION BUILDING BLACKFOOT DISTRICT</t>
  </si>
  <si>
    <t>0381</t>
  </si>
  <si>
    <t>BLACKFOOT HERITAGE SIXTH GRADE</t>
  </si>
  <si>
    <t>0034</t>
  </si>
  <si>
    <t>BLACKFOOT HIGH SCHOOL</t>
  </si>
  <si>
    <t>1506</t>
  </si>
  <si>
    <t>BLACKFOOT SCHOOL DISTRICT ONLINE JR/SR SCHOOL</t>
  </si>
  <si>
    <t>0382</t>
  </si>
  <si>
    <t>DONALD D. STALKER ELEMENTARY</t>
  </si>
  <si>
    <t>0387</t>
  </si>
  <si>
    <t>FORT HALL ELEMENTARY SCHOOL</t>
  </si>
  <si>
    <t>0386</t>
  </si>
  <si>
    <t>GROVELAND ELEMENTARY SCHOOL</t>
  </si>
  <si>
    <t>0388</t>
  </si>
  <si>
    <t>RIVERBEND ELEMENTARY</t>
  </si>
  <si>
    <t>9006</t>
  </si>
  <si>
    <t>INDEPENDENCE ALTERNATIVE HIGH SCHOOL</t>
  </si>
  <si>
    <t>1121</t>
  </si>
  <si>
    <t>INDEPENDENCE ALTERNATIVE HIGH SCHOOL SUMMER</t>
  </si>
  <si>
    <t>0033</t>
  </si>
  <si>
    <t>MOUNTAIN VIEW MIDDLE SCHOOL</t>
  </si>
  <si>
    <t>1164</t>
  </si>
  <si>
    <t>MOUNTAIN VIEW MIDDLE SCHOOL ALTERNATIVE CLASSROOM SUMMER</t>
  </si>
  <si>
    <t>0384</t>
  </si>
  <si>
    <t>RIDGE CREST ELEMENTARY SCHOOL</t>
  </si>
  <si>
    <t>0252</t>
  </si>
  <si>
    <t>VAUGHN HUGIE FAMILY ED CENTER</t>
  </si>
  <si>
    <t>0385</t>
  </si>
  <si>
    <t>WAPELLO ELEMENTARY SCHOOL</t>
  </si>
  <si>
    <t>061</t>
  </si>
  <si>
    <t>BLAINE COUNTY DISTRICT</t>
  </si>
  <si>
    <t>3061</t>
  </si>
  <si>
    <t>ADMINISTRATION BUILDING BLAINE COUNTY DISTRICT</t>
  </si>
  <si>
    <t>0636</t>
  </si>
  <si>
    <t>ALTURAS ELEMENTARY SCHOOL</t>
  </si>
  <si>
    <t>0394</t>
  </si>
  <si>
    <t>BELLEVUE ELEMENTARY SCHOOL</t>
  </si>
  <si>
    <t>0197</t>
  </si>
  <si>
    <t>CAREY PUBLIC SCHOOL</t>
  </si>
  <si>
    <t>0395</t>
  </si>
  <si>
    <t>ERNEST HEMINGWAY STEAM SCHOOL</t>
  </si>
  <si>
    <t>0396</t>
  </si>
  <si>
    <t>HAILEY ELEMENTARY SCHOOL</t>
  </si>
  <si>
    <t>1102</t>
  </si>
  <si>
    <t>0042</t>
  </si>
  <si>
    <t>WOOD RIVER HIGH SCHOOL</t>
  </si>
  <si>
    <t>0984</t>
  </si>
  <si>
    <t>WOOD RIVER MIDDLE SCHOOL</t>
  </si>
  <si>
    <t>BLISS JOINT DISTRICT</t>
  </si>
  <si>
    <t>3018</t>
  </si>
  <si>
    <t>ADMINISTRATION BUILDING BLISS JOINT DISTRICT</t>
  </si>
  <si>
    <t>0714</t>
  </si>
  <si>
    <t>BLISS SCHOOL</t>
  </si>
  <si>
    <t>001</t>
  </si>
  <si>
    <t>BOISE INDEPENDENT DISTRICT</t>
  </si>
  <si>
    <t>1175</t>
  </si>
  <si>
    <t>ADA CO JUVENILE DETENTION-SUMMER</t>
  </si>
  <si>
    <t>9002</t>
  </si>
  <si>
    <t>ADA COUNTY JUVENILE CENTER</t>
  </si>
  <si>
    <t>0315</t>
  </si>
  <si>
    <t>ADAMS ELEMENTARY SCHOOL</t>
  </si>
  <si>
    <t>3001</t>
  </si>
  <si>
    <t>ADMINISTRATION BUILDING BOISE INDEPENDENT DISTRICT</t>
  </si>
  <si>
    <t>0300</t>
  </si>
  <si>
    <t>AMITY ELEMENTARY SCHOOL</t>
  </si>
  <si>
    <t>1465</t>
  </si>
  <si>
    <t>BOISE ONLINE SCHOOL - ELEMENTARY</t>
  </si>
  <si>
    <t>1466</t>
  </si>
  <si>
    <t>BOISE ONLINE SCHOOL - SECONDARY</t>
  </si>
  <si>
    <t>1146</t>
  </si>
  <si>
    <t>BOISE SD ALTERNATIVE JR. HIGH SUMMER SCHOOL</t>
  </si>
  <si>
    <t>0007</t>
  </si>
  <si>
    <t>BOISE SENIOR HIGH SCHOOL</t>
  </si>
  <si>
    <t>0008</t>
  </si>
  <si>
    <t>BORAH SENIOR HIGH SCHOOL</t>
  </si>
  <si>
    <t>0203</t>
  </si>
  <si>
    <t>BSD ALTERNATIVE HIGH SUMMER SCHOOL</t>
  </si>
  <si>
    <t>0009</t>
  </si>
  <si>
    <t>CAPITAL SENIOR HIGH SCHOOL</t>
  </si>
  <si>
    <t>0326</t>
  </si>
  <si>
    <t>COLLISTER ELEMENTARY SCHOOL</t>
  </si>
  <si>
    <t>0665</t>
  </si>
  <si>
    <t>CYNTHIA MANN ELEMENTARY SCHOOL</t>
  </si>
  <si>
    <t>1499</t>
  </si>
  <si>
    <t>DALLAS HARRIS ELEMENTARY SCHOOL</t>
  </si>
  <si>
    <t>0563</t>
  </si>
  <si>
    <t>DEHRYL A DENNIS PROF-TECH CTR</t>
  </si>
  <si>
    <t>0677</t>
  </si>
  <si>
    <t>EAST JUNIOR HIGH SCHOOL</t>
  </si>
  <si>
    <t>0002</t>
  </si>
  <si>
    <t>FAIRMONT JUNIOR HIGH SCHOOL</t>
  </si>
  <si>
    <t>0675</t>
  </si>
  <si>
    <t>FRANK CHURCH HIGH SCHOOL</t>
  </si>
  <si>
    <t>0303</t>
  </si>
  <si>
    <t>GARFIELD ELEMENTARY SCHOOL</t>
  </si>
  <si>
    <t>0674</t>
  </si>
  <si>
    <t>GRACE JORDAN ELEMENTARY</t>
  </si>
  <si>
    <t>0308</t>
  </si>
  <si>
    <t>HAWTHORNE ELEMENTARY SCHOOL</t>
  </si>
  <si>
    <t>0679</t>
  </si>
  <si>
    <t>HIDDEN SPRINGS ELEMENTARY SCHOOL</t>
  </si>
  <si>
    <t>0302</t>
  </si>
  <si>
    <t>HIGHLANDS ELEMENTARY SCHOOL</t>
  </si>
  <si>
    <t>0307</t>
  </si>
  <si>
    <t>0003</t>
  </si>
  <si>
    <t>HILLSIDE JUNIOR HIGH SCHOOL</t>
  </si>
  <si>
    <t>0510</t>
  </si>
  <si>
    <t>HORIZON ELEMENTARY SCHOOL</t>
  </si>
  <si>
    <t>0317</t>
  </si>
  <si>
    <t>JEFFERSON ELEMENTARY SCHOOL</t>
  </si>
  <si>
    <t>0325</t>
  </si>
  <si>
    <t>KOELSCH ELEMENTARY SCHOOL</t>
  </si>
  <si>
    <t>0206</t>
  </si>
  <si>
    <t>LES BOIS JUNIOR HIGH SCHOOL</t>
  </si>
  <si>
    <t>0316</t>
  </si>
  <si>
    <t>LIBERTY ELEMENTARY SCHOOL</t>
  </si>
  <si>
    <t>0323</t>
  </si>
  <si>
    <t>LONGFELLOW ELEMENTARY SCHOOL</t>
  </si>
  <si>
    <t>0319</t>
  </si>
  <si>
    <t>LOWELL ELEMENTARY SCHOOL</t>
  </si>
  <si>
    <t>0312</t>
  </si>
  <si>
    <t>LINCOLN EARLY LEARNING CENTER</t>
  </si>
  <si>
    <t>0301</t>
  </si>
  <si>
    <t>MAPLE GROVE ELEMENTARY SCHOOL</t>
  </si>
  <si>
    <t>0324</t>
  </si>
  <si>
    <t>MONROE ELEMENTARY SCHOOL</t>
  </si>
  <si>
    <t>0673</t>
  </si>
  <si>
    <t>MORLEY NELSON ELEMENTARY</t>
  </si>
  <si>
    <t>0322</t>
  </si>
  <si>
    <t>MOUNTAIN VIEW ELEMENTARY SCHOOL</t>
  </si>
  <si>
    <t>0004</t>
  </si>
  <si>
    <t>NORTH JUNIOR HIGH SCHOOL</t>
  </si>
  <si>
    <t>0313</t>
  </si>
  <si>
    <t>OWYHEE ELEMENTARY SCHOOL</t>
  </si>
  <si>
    <t>0310</t>
  </si>
  <si>
    <t>PIERCE PARK ELEMENTARY SCHOOL</t>
  </si>
  <si>
    <t>0242</t>
  </si>
  <si>
    <t>RIVERGLEN JR HIGH SCHOOL</t>
  </si>
  <si>
    <t>0509</t>
  </si>
  <si>
    <t>RIVERSIDE ELEMENTARY SCHOOL</t>
  </si>
  <si>
    <t>0309</t>
  </si>
  <si>
    <t>ROOSEVELT ELEMENTARY SCHOOL</t>
  </si>
  <si>
    <t>0288</t>
  </si>
  <si>
    <t>SHADOW HILLS ELEMENTARY</t>
  </si>
  <si>
    <t>0005</t>
  </si>
  <si>
    <t>SOUTH JUNIOR HIGH SCHOOL</t>
  </si>
  <si>
    <t>0321</t>
  </si>
  <si>
    <t>TAFT ELEMENTARY SCHOOL</t>
  </si>
  <si>
    <t>0243</t>
  </si>
  <si>
    <t>TIMBERLINE HIGH SCHOOL</t>
  </si>
  <si>
    <t>0287</t>
  </si>
  <si>
    <t>TRAIL WIND ELEMENTARY</t>
  </si>
  <si>
    <t>0573</t>
  </si>
  <si>
    <t>TREASURE VALLEY MATH/SCIENCE</t>
  </si>
  <si>
    <t>0320</t>
  </si>
  <si>
    <t>VALLEY VIEW ELEMENTARY SCHOOL</t>
  </si>
  <si>
    <t>0305</t>
  </si>
  <si>
    <t>WASHINGTON ELEMENTARY SCHOOL</t>
  </si>
  <si>
    <t>0676</t>
  </si>
  <si>
    <t>WEST JUNIOR HIGH</t>
  </si>
  <si>
    <t>0666</t>
  </si>
  <si>
    <t>WHITE PINE ELEMENTARY SCHOOL</t>
  </si>
  <si>
    <t>0306</t>
  </si>
  <si>
    <t>WHITNEY ELEMENTARY SCHOOL</t>
  </si>
  <si>
    <t>0327</t>
  </si>
  <si>
    <t>WHITTIER ELEMENTARY SCHOOL</t>
  </si>
  <si>
    <t>093</t>
  </si>
  <si>
    <t>BONNEVILLE JOINT DISTRICT</t>
  </si>
  <si>
    <t>3093</t>
  </si>
  <si>
    <t>ADMINISTRATION BUILDING BONNEVILLE JOINT DISTRICT</t>
  </si>
  <si>
    <t>0426</t>
  </si>
  <si>
    <t>AMMON ELEMENTARY SCHOOL</t>
  </si>
  <si>
    <t>1469</t>
  </si>
  <si>
    <t>BLACK CANYON MIDDLE SCHOOL</t>
  </si>
  <si>
    <t>0056</t>
  </si>
  <si>
    <t>BONNEVILLE HIGH SCHOOL</t>
  </si>
  <si>
    <t>1238</t>
  </si>
  <si>
    <t>BONNEVILLE ONLINE ELEMENTARY</t>
  </si>
  <si>
    <t>1319</t>
  </si>
  <si>
    <t>BONNEVILLE ONLINE SCHOOL</t>
  </si>
  <si>
    <t>2518</t>
  </si>
  <si>
    <t>BRIDGEWATER ELEMENTARY SCHOOL</t>
  </si>
  <si>
    <t>0431</t>
  </si>
  <si>
    <t>CLOVERDALE ELEMENTARY SCHOOL</t>
  </si>
  <si>
    <t>2519</t>
  </si>
  <si>
    <t>DISCOVERY ELEMENTARY SCHOOL</t>
  </si>
  <si>
    <t>0432</t>
  </si>
  <si>
    <t>FAIRVIEW ELEMENTARY SCHOOL</t>
  </si>
  <si>
    <t>0425</t>
  </si>
  <si>
    <t>FALLS VALLEY ELEMENTARY SCHOOL</t>
  </si>
  <si>
    <t>0200</t>
  </si>
  <si>
    <t>HILLCREST HIGH SCHOOL</t>
  </si>
  <si>
    <t>0428</t>
  </si>
  <si>
    <t>HILLVIEW ELEMENTARY SCHOOL</t>
  </si>
  <si>
    <t>0427</t>
  </si>
  <si>
    <t>IONA ELEMENTARY SCHOOL</t>
  </si>
  <si>
    <t>1053</t>
  </si>
  <si>
    <t>0630</t>
  </si>
  <si>
    <t>LINCOLN HIGH SCHOOL SUMMER ALTERNATIVE</t>
  </si>
  <si>
    <t>1250</t>
  </si>
  <si>
    <t>MOUNTAIN VALLEY ELEMENTARY SCHOOL</t>
  </si>
  <si>
    <t>1482</t>
  </si>
  <si>
    <t>PRAXIUM MASTERY ACADEMY</t>
  </si>
  <si>
    <t>1255</t>
  </si>
  <si>
    <t>RIMROCK ELEMENTARY</t>
  </si>
  <si>
    <t>0219</t>
  </si>
  <si>
    <t>ROCKY MOUNTAIN MIDDLE SCHOOL</t>
  </si>
  <si>
    <t>SANDCREEK MIDDLE SCHOOL</t>
  </si>
  <si>
    <t>1016</t>
  </si>
  <si>
    <t>SPECIAL SERVICES CENTER</t>
  </si>
  <si>
    <t>1360</t>
  </si>
  <si>
    <t>SUMMIT HILLS ELEMENTARY SCHOOL</t>
  </si>
  <si>
    <t>1357</t>
  </si>
  <si>
    <t>TECHNICAL CAREERS HIGH SCHOOL</t>
  </si>
  <si>
    <t>1415</t>
  </si>
  <si>
    <t>THUNDER RIDGE HIGH SCHOOL</t>
  </si>
  <si>
    <t>0501</t>
  </si>
  <si>
    <t>TIEBREAKER ELEMENTARY SCHOOL</t>
  </si>
  <si>
    <t>0429</t>
  </si>
  <si>
    <t>UCON ELEMENTARY SCHOOL</t>
  </si>
  <si>
    <t>0637</t>
  </si>
  <si>
    <t>WOODLAND HILLS ELEMENTARY</t>
  </si>
  <si>
    <t>BOUNDARY COUNTY DISTRICT</t>
  </si>
  <si>
    <t>3101</t>
  </si>
  <si>
    <t>ADMINISTRATION BUILDING BOUNDARY COUNTY DISTRICT</t>
  </si>
  <si>
    <t>0057</t>
  </si>
  <si>
    <t>BONNERS FERRY HIGH SCHOOL</t>
  </si>
  <si>
    <t>1118</t>
  </si>
  <si>
    <t>BONNERS FERRY HIGH SCHOOL SUMMER ALTERNATIVE</t>
  </si>
  <si>
    <t>0201</t>
  </si>
  <si>
    <t>BOUNDARY COUNTY MIDDLE SCHOOL</t>
  </si>
  <si>
    <t>1523</t>
  </si>
  <si>
    <t>BOUNDARY COUNTY ONLINE SCHOOL</t>
  </si>
  <si>
    <t>0434</t>
  </si>
  <si>
    <t>MOUNT HALL ELEMENTARY SCHOOL</t>
  </si>
  <si>
    <t>0433</t>
  </si>
  <si>
    <t>NAPLES ELEMENTARY SCHOOL</t>
  </si>
  <si>
    <t>0437</t>
  </si>
  <si>
    <t>365</t>
  </si>
  <si>
    <t>BRUNEAU-GRAND VIEW JOINT SCHOOL DISTRICT</t>
  </si>
  <si>
    <t>3365</t>
  </si>
  <si>
    <t>ADMINISTRATION BUILDING BRUNEAU-GRAND VIEW JOINT SCHOOL DISTRICT</t>
  </si>
  <si>
    <t>1091</t>
  </si>
  <si>
    <t>BORDER DISTRICT - JORDAN VALLEY HIGH</t>
  </si>
  <si>
    <t>1057</t>
  </si>
  <si>
    <t>BORDER DISTRICT - OWYHEE ELEMENTARY</t>
  </si>
  <si>
    <t>1058</t>
  </si>
  <si>
    <t>BORDER DISTRICT - OWYHEE SECONDARY</t>
  </si>
  <si>
    <t>0801</t>
  </si>
  <si>
    <t>BRUNEAU ELEMENTARY SCHOOL</t>
  </si>
  <si>
    <t>0802</t>
  </si>
  <si>
    <t>GRAND VIEW ELEMENTARY SCHOOL</t>
  </si>
  <si>
    <t>0158</t>
  </si>
  <si>
    <t>RIMROCK JR-SR HIGH SCHOOL</t>
  </si>
  <si>
    <t>412</t>
  </si>
  <si>
    <t>BUHL JOINT DISTRICT</t>
  </si>
  <si>
    <t>3412</t>
  </si>
  <si>
    <t>ADMINISTRATION BUILDING BUHL JOINT DISTRICT</t>
  </si>
  <si>
    <t>0180</t>
  </si>
  <si>
    <t>BUHL HIGH SCHOOL</t>
  </si>
  <si>
    <t>0179</t>
  </si>
  <si>
    <t>BUHL MIDDLE SCHOOL</t>
  </si>
  <si>
    <t>0830</t>
  </si>
  <si>
    <t>POPPLEWELL ELEMENTARY SCHOOL</t>
  </si>
  <si>
    <t>1403</t>
  </si>
  <si>
    <t>WAKAPA ACADEMY</t>
  </si>
  <si>
    <t>1489</t>
  </si>
  <si>
    <t>WAKAPA ACADEMY SUMMER ALTERNATIVE</t>
  </si>
  <si>
    <t>BUTTE COUNTY JOINT DISTRICT</t>
  </si>
  <si>
    <t>3111</t>
  </si>
  <si>
    <t>ADMINISTRATION BUILDING BUTTE COUNTY JOINT DISTRICT</t>
  </si>
  <si>
    <t>0439</t>
  </si>
  <si>
    <t>ARCO ELEMENTARY SCHOOL</t>
  </si>
  <si>
    <t>0059</t>
  </si>
  <si>
    <t>BUTTE COUNTY HIGH SCHOOL</t>
  </si>
  <si>
    <t>0629</t>
  </si>
  <si>
    <t>BUTTE COUNTY SUMMER SCHOOL</t>
  </si>
  <si>
    <t>0438</t>
  </si>
  <si>
    <t>HOWE ELEMENTARY SCHOOL</t>
  </si>
  <si>
    <t>132</t>
  </si>
  <si>
    <t>CALDWELL DISTRICT</t>
  </si>
  <si>
    <t>3132</t>
  </si>
  <si>
    <t>ADMINISTRATION BUILDING CALDWELL DISTRICT</t>
  </si>
  <si>
    <t>0065</t>
  </si>
  <si>
    <t>CALDWELL SENIOR HIGH SCHOOL</t>
  </si>
  <si>
    <t>1090</t>
  </si>
  <si>
    <t>1125</t>
  </si>
  <si>
    <t>CANYON SPRINGS SUMMER ALTERNATIVE</t>
  </si>
  <si>
    <t>0064</t>
  </si>
  <si>
    <t>JEFFERSON MIDDLE SCHOOL</t>
  </si>
  <si>
    <t>0076</t>
  </si>
  <si>
    <t>LEWIS AND CLARK ELEMENTARY</t>
  </si>
  <si>
    <t>LINCOLN ELEMENTARY SCHOOL</t>
  </si>
  <si>
    <t>0457</t>
  </si>
  <si>
    <t>SACAJAWEA ELEMENTARY SCHOOL</t>
  </si>
  <si>
    <t>1179</t>
  </si>
  <si>
    <t>SOUTHWEST ID JUVENILE DETENTION-SUMMER</t>
  </si>
  <si>
    <t>SOUTHWEST IDAHO JUVENILE DET</t>
  </si>
  <si>
    <t>0281</t>
  </si>
  <si>
    <t>SYRINGA MIDDLE SCHOOL</t>
  </si>
  <si>
    <t>0451</t>
  </si>
  <si>
    <t>VAN BUREN ELEMENTARY SCHOOL</t>
  </si>
  <si>
    <t>0448</t>
  </si>
  <si>
    <t>0289</t>
  </si>
  <si>
    <t>WILSON ELEMENTARY SCHOOL</t>
  </si>
  <si>
    <t>CAMAS COUNTY DISTRICT</t>
  </si>
  <si>
    <t>3009</t>
  </si>
  <si>
    <t>ADMINISTRATION BUILDING CAMAS COUNTY DISTRICT</t>
  </si>
  <si>
    <t>0440</t>
  </si>
  <si>
    <t>CAMAS COUNTY ELEM/JR HIGH SCHOOL</t>
  </si>
  <si>
    <t>0060</t>
  </si>
  <si>
    <t>CAMAS COUNTY HIGH SCHOOL</t>
  </si>
  <si>
    <t>432</t>
  </si>
  <si>
    <t>CAMBRIDGE JOINT DISTRICT</t>
  </si>
  <si>
    <t>4432</t>
  </si>
  <si>
    <t>ADMINISTRATION BUILDING CAMBRIDGE JOINT DISTRICT</t>
  </si>
  <si>
    <t>0841</t>
  </si>
  <si>
    <t>CAMBRIDGE ELEMENTARY SCHOOL</t>
  </si>
  <si>
    <t>0193</t>
  </si>
  <si>
    <t>CAMBRIDGE JR-SR HIGH SCHOOL</t>
  </si>
  <si>
    <t>555</t>
  </si>
  <si>
    <t>CANYON-OWYHEE SCHOOL SERVICE AGENCY (COSSA)</t>
  </si>
  <si>
    <t>1293</t>
  </si>
  <si>
    <t>ADMINISTRATION BUILDING COSSA</t>
  </si>
  <si>
    <t>1291</t>
  </si>
  <si>
    <t>COSSA ACADEMY</t>
  </si>
  <si>
    <t>1292</t>
  </si>
  <si>
    <t>COSSA ACADEMY ALTERNATIVE SUMMER SCHOOL</t>
  </si>
  <si>
    <t>9512</t>
  </si>
  <si>
    <t>COSSA REGIONAL TECHNOLOGY &amp; EDUCATIONAL CENTER (CRTEC)</t>
  </si>
  <si>
    <t>566</t>
  </si>
  <si>
    <t>CARDINAL ACADEMY INCORPORATED</t>
  </si>
  <si>
    <t>1462</t>
  </si>
  <si>
    <t>CARDINAL ACADEMY</t>
  </si>
  <si>
    <t>1488</t>
  </si>
  <si>
    <t>CARDINAL ACADEMY SUMMER ALTERNATIVE</t>
  </si>
  <si>
    <t>422</t>
  </si>
  <si>
    <t>CASCADE DISTRICT</t>
  </si>
  <si>
    <t>3422</t>
  </si>
  <si>
    <t>ADMINISTRATION BUILDING CASCADE DISTRICT</t>
  </si>
  <si>
    <t>0838</t>
  </si>
  <si>
    <t>CASCADE ELEMENTARY SCHOOL</t>
  </si>
  <si>
    <t>0190</t>
  </si>
  <si>
    <t>CASCADE JR-SR HIGH SCHOOL</t>
  </si>
  <si>
    <t>151</t>
  </si>
  <si>
    <t>CASSIA COUNTY JOINT DISTRICT</t>
  </si>
  <si>
    <t>3151</t>
  </si>
  <si>
    <t>ADMINISTRATION BUILDING CASSIA COUNTY JOINT DISTRICT</t>
  </si>
  <si>
    <t>0475</t>
  </si>
  <si>
    <t>ALBION ELEMENTARY SCHOOL</t>
  </si>
  <si>
    <t>0080</t>
  </si>
  <si>
    <t>BURLEY JUNIOR HIGH SCHOOL</t>
  </si>
  <si>
    <t>0081</t>
  </si>
  <si>
    <t>BURLEY SENIOR HIGH SCHOOL</t>
  </si>
  <si>
    <t>0990</t>
  </si>
  <si>
    <t>0262</t>
  </si>
  <si>
    <t>CASSIA JR/SR HIGH SCHOOL SUMMER ALTERNATIVE</t>
  </si>
  <si>
    <t>0568</t>
  </si>
  <si>
    <t>CASSIA REGIONALTECHNICAL CTR</t>
  </si>
  <si>
    <t>0469</t>
  </si>
  <si>
    <t>DECLO ELEMENTARY SCHOOL</t>
  </si>
  <si>
    <t>0292</t>
  </si>
  <si>
    <t>DECLO JR HIGH SCHOOL</t>
  </si>
  <si>
    <t>0084</t>
  </si>
  <si>
    <t>DECLO SENIOR HIGH SCHOOL</t>
  </si>
  <si>
    <t>0474</t>
  </si>
  <si>
    <t>DWORSHAK ELEMENTARY SCHOOL</t>
  </si>
  <si>
    <t>1395</t>
  </si>
  <si>
    <t>JOHN V EVANS ELEMENTARY</t>
  </si>
  <si>
    <t>1441</t>
  </si>
  <si>
    <t>MINI-CASSIA ONLINE LEARNING ACADEMY</t>
  </si>
  <si>
    <t>0470</t>
  </si>
  <si>
    <t>MOUNTAIN VIEW ELEMENTARY</t>
  </si>
  <si>
    <t>0473</t>
  </si>
  <si>
    <t>OAKLEY ELEMENTARY SCHOOL</t>
  </si>
  <si>
    <t>0082</t>
  </si>
  <si>
    <t>OAKLEY JR-SR HIGH SCHOOL</t>
  </si>
  <si>
    <t>0471</t>
  </si>
  <si>
    <t>RAFT RIVER ELEMENTARY SCHOOL</t>
  </si>
  <si>
    <t>0083</t>
  </si>
  <si>
    <t>RAFT RIVER JR-SR HIGH SCHOOL</t>
  </si>
  <si>
    <t>0216</t>
  </si>
  <si>
    <t>WHITE PINE ELEMENTARY</t>
  </si>
  <si>
    <t>417</t>
  </si>
  <si>
    <t>CASTLEFORD DISTRICT</t>
  </si>
  <si>
    <t>3417</t>
  </si>
  <si>
    <t>ADMINISTRATION BUILDING CASTLEFORD DISTRICT</t>
  </si>
  <si>
    <t>0185</t>
  </si>
  <si>
    <t>CASTLEFORD SCHOOL</t>
  </si>
  <si>
    <t>181</t>
  </si>
  <si>
    <t>CHALLIS JOINT DISTRICT</t>
  </si>
  <si>
    <t>3181</t>
  </si>
  <si>
    <t>ADMINISTRATION BUILDING CHALLIS JOINT DISTRICT</t>
  </si>
  <si>
    <t>0489</t>
  </si>
  <si>
    <t>CHALLIS ELEMENTARY SCHOOL</t>
  </si>
  <si>
    <t>0089</t>
  </si>
  <si>
    <t>CHALLIS JR-SR HIGH SCHOOL</t>
  </si>
  <si>
    <t>0486</t>
  </si>
  <si>
    <t>STANLEY ELEM-JR HIGH SCHOOL</t>
  </si>
  <si>
    <t>483</t>
  </si>
  <si>
    <t>CHIEF TAHGEE ELEMENTARY ACADEMY, INC.</t>
  </si>
  <si>
    <t>1347</t>
  </si>
  <si>
    <t>CHIEF TAHGEE ELEMENTARY ACADEMY</t>
  </si>
  <si>
    <t>161</t>
  </si>
  <si>
    <t>CLARK COUNTY DISTRICT</t>
  </si>
  <si>
    <t>0085</t>
  </si>
  <si>
    <t>CLARK COUNTY JR-SR HIGH SCHOOL</t>
  </si>
  <si>
    <t>0478</t>
  </si>
  <si>
    <t>LINDY ROSS ELEMENTARY SCHOOL</t>
  </si>
  <si>
    <t>491</t>
  </si>
  <si>
    <t>COEUR D'ALENE CHARTER ACADEMY, INC.</t>
  </si>
  <si>
    <t>1370</t>
  </si>
  <si>
    <t>COEUR D'ALENE CHARTER ACADEMY SCHOOL</t>
  </si>
  <si>
    <t>COEUR D'ALENE DISTRICT</t>
  </si>
  <si>
    <t>3271</t>
  </si>
  <si>
    <t>ADMINISTRATION BUILDING COEUR D'ALENE DISTRICT</t>
  </si>
  <si>
    <t>0740</t>
  </si>
  <si>
    <t>ATLAS ELEMENTARY SCHOOL</t>
  </si>
  <si>
    <t>0741</t>
  </si>
  <si>
    <t>BRYAN ELEMENTARY SCHOOL</t>
  </si>
  <si>
    <t>CANFIELD MIDDLE SCHOOL</t>
  </si>
  <si>
    <t>1038</t>
  </si>
  <si>
    <t>CDA JUVENILE DETENTION CENTER</t>
  </si>
  <si>
    <t>1180</t>
  </si>
  <si>
    <t>CDA JUVENILE DETETENTION-SUMMER</t>
  </si>
  <si>
    <t>0122</t>
  </si>
  <si>
    <t>COEUR D'ALENE HIGH SCHOOL</t>
  </si>
  <si>
    <t>1470</t>
  </si>
  <si>
    <t>COEUR D'ALENE VIRTUAL ACADEMY</t>
  </si>
  <si>
    <t>0739</t>
  </si>
  <si>
    <t>DALTON ELEMENTARY SCHOOL</t>
  </si>
  <si>
    <t>0514</t>
  </si>
  <si>
    <t>FERNAN STEM ACADEMY</t>
  </si>
  <si>
    <t>0506</t>
  </si>
  <si>
    <t>HAYDEN MEADOWS ELEMENTARY SCH</t>
  </si>
  <si>
    <t>0220</t>
  </si>
  <si>
    <t>LAKE CITY HIGH SCHOOL</t>
  </si>
  <si>
    <t>0121</t>
  </si>
  <si>
    <t>1396</t>
  </si>
  <si>
    <t>NORTHWEST EXPEDITION ACADEMY</t>
  </si>
  <si>
    <t>0738</t>
  </si>
  <si>
    <t>RAMSEY MAGNET SCHOOL OF SCIENCE</t>
  </si>
  <si>
    <t>0217</t>
  </si>
  <si>
    <t>SKYWAY ELEMENTARY SCHOOL</t>
  </si>
  <si>
    <t>0742</t>
  </si>
  <si>
    <t>SORENSEN MAGNET SCHOOL OF THE ARTS AND HUMANITIES</t>
  </si>
  <si>
    <t>1037</t>
  </si>
  <si>
    <t>VENTURE HIGH SCHOOL ALTERNATIVE</t>
  </si>
  <si>
    <t>1129</t>
  </si>
  <si>
    <t>VENTURE HIGH SCHOOL SUMMER ALTERNATIVE</t>
  </si>
  <si>
    <t>0743</t>
  </si>
  <si>
    <t>WINTON ELEMENTARY SCHOOL</t>
  </si>
  <si>
    <t>0246</t>
  </si>
  <si>
    <t>WOODLAND MIDDLE SCHOOL</t>
  </si>
  <si>
    <t>455</t>
  </si>
  <si>
    <t>COMPASS PUBLIC CHARTER SCHOOL, INC.</t>
  </si>
  <si>
    <t>0575</t>
  </si>
  <si>
    <t>COMPASS PUBLIC CHARTER SCHOOL</t>
  </si>
  <si>
    <t>COTTONWOOD JOINT DISTRICT</t>
  </si>
  <si>
    <t>3019</t>
  </si>
  <si>
    <t>ADMINISTRATION BUILDING COTTONWOOD JOINT DISTRICT</t>
  </si>
  <si>
    <t>0722</t>
  </si>
  <si>
    <t>PRAIRIE ELEMENTARY SCHOOL</t>
  </si>
  <si>
    <t>0111</t>
  </si>
  <si>
    <t>PRAIRIE JR-SR HIGH SCHOOL</t>
  </si>
  <si>
    <t>013</t>
  </si>
  <si>
    <t>COUNCIL DISTRICT</t>
  </si>
  <si>
    <t>3005</t>
  </si>
  <si>
    <t>ADMINISTRATION BUILDING COUNCIL DISTRICT</t>
  </si>
  <si>
    <t>0348</t>
  </si>
  <si>
    <t>COUNCIL ELEMENTARY SCHOOL</t>
  </si>
  <si>
    <t>0017</t>
  </si>
  <si>
    <t>COUNCIL JR-SR HIGH SCHOOL</t>
  </si>
  <si>
    <t>342</t>
  </si>
  <si>
    <t>CULDESAC JOINT DISTRICT</t>
  </si>
  <si>
    <t>3342</t>
  </si>
  <si>
    <t>ADMINISTRATION BUILDING CULDESAC JOINT DISTRICT</t>
  </si>
  <si>
    <t>0795</t>
  </si>
  <si>
    <t>CULDESAC SCHOOL</t>
  </si>
  <si>
    <t>314</t>
  </si>
  <si>
    <t>DIETRICH DISTRICT</t>
  </si>
  <si>
    <t>3314</t>
  </si>
  <si>
    <t>ADMINISTRATION BUILDING DIETRICH DISTRICT</t>
  </si>
  <si>
    <t>0143</t>
  </si>
  <si>
    <t>DIETRICH SCHOOL</t>
  </si>
  <si>
    <t>550</t>
  </si>
  <si>
    <t>DORAL ACADEMY OF IDAHO, INC.</t>
  </si>
  <si>
    <t>1443</t>
  </si>
  <si>
    <t>DORAL ACADEMY OF IDAHO</t>
  </si>
  <si>
    <t>633</t>
  </si>
  <si>
    <t>ELEVATE ACADEMY EAST IDAHO, LLC</t>
  </si>
  <si>
    <t>1505</t>
  </si>
  <si>
    <t>ELEVATE ACADEMY EAST IDAHO</t>
  </si>
  <si>
    <t>523</t>
  </si>
  <si>
    <t>ELEVATE ACADEMY INC.</t>
  </si>
  <si>
    <t>1420</t>
  </si>
  <si>
    <t>ELEVATE ACADEMY</t>
  </si>
  <si>
    <t>1457</t>
  </si>
  <si>
    <t>ELEVATE ACADEMY (SUMMER)</t>
  </si>
  <si>
    <t>575</t>
  </si>
  <si>
    <t>ELEVATE ACADEMY NAMPA, LLC</t>
  </si>
  <si>
    <t>1473</t>
  </si>
  <si>
    <t>ELEVATE ACADEMY NAMPA</t>
  </si>
  <si>
    <t>1474</t>
  </si>
  <si>
    <t>ELEVATE ACADEMY NAMPA (SUMMER)</t>
  </si>
  <si>
    <t>574</t>
  </si>
  <si>
    <t>ELEVATE ACADEMY NORTH, LLC</t>
  </si>
  <si>
    <t>1471</t>
  </si>
  <si>
    <t>ELEVATE ACADEMY NORTH</t>
  </si>
  <si>
    <t>1472</t>
  </si>
  <si>
    <t>ELEVATE ACADEMY NORTH (SUMMER)</t>
  </si>
  <si>
    <t>221</t>
  </si>
  <si>
    <t>EMMETT INDEPENDENT DIST</t>
  </si>
  <si>
    <t>3221</t>
  </si>
  <si>
    <t>ADMINISTRATION BUILDING EMMETT INDEPENDENT DIST</t>
  </si>
  <si>
    <t>1127</t>
  </si>
  <si>
    <t>BLACK CANYON HIGH SCHOOL SUMMER ALTERNATIVE</t>
  </si>
  <si>
    <t>1265</t>
  </si>
  <si>
    <t>BLACK CANYON JR/SR HIGH SCHOOL</t>
  </si>
  <si>
    <t>0101</t>
  </si>
  <si>
    <t>EMMETT HIGH SCHOOL</t>
  </si>
  <si>
    <t>0224</t>
  </si>
  <si>
    <t>EMMETT MIDDLE SCHOOL</t>
  </si>
  <si>
    <t>0230</t>
  </si>
  <si>
    <t>KENNETH J. CARBERRY ELEMENTARY</t>
  </si>
  <si>
    <t>0710</t>
  </si>
  <si>
    <t>OLA ELEMENTARY SCHOOL</t>
  </si>
  <si>
    <t>1213</t>
  </si>
  <si>
    <t>PATRIOT CENTER SUMMER ALTERNATIVE</t>
  </si>
  <si>
    <t>0251</t>
  </si>
  <si>
    <t>SHADOW BUTTE ELEMENTARY SCHOOL</t>
  </si>
  <si>
    <t>0707</t>
  </si>
  <si>
    <t>SWEET MONTOUR ELEMENTARY SCHOOL</t>
  </si>
  <si>
    <t>456</t>
  </si>
  <si>
    <t>FALCON RIDGE PUBLIC CHARTER SCHOOL, INC.</t>
  </si>
  <si>
    <t>0576</t>
  </si>
  <si>
    <t>FALCON RIDGE PUBLIC CHARTER</t>
  </si>
  <si>
    <t>FERN-WATERS PUBLIC CHARTER SCHOOL, INC.</t>
  </si>
  <si>
    <t>1423</t>
  </si>
  <si>
    <t>FERN-WATERS PUBLIC CHARTER SCHOOL</t>
  </si>
  <si>
    <t>413</t>
  </si>
  <si>
    <t>FILER DISTRICT</t>
  </si>
  <si>
    <t>3031</t>
  </si>
  <si>
    <t>ADMINISTRATION BUILDING FILER DISTRICT</t>
  </si>
  <si>
    <t>0831</t>
  </si>
  <si>
    <t>FILER ELEMENTARY SCHOOL</t>
  </si>
  <si>
    <t>0181</t>
  </si>
  <si>
    <t>FILER HIGH SCHOOL</t>
  </si>
  <si>
    <t>1244</t>
  </si>
  <si>
    <t xml:space="preserve">FILER INTERMEDIATE SCHOOL    </t>
  </si>
  <si>
    <t>0196</t>
  </si>
  <si>
    <t>FILER MIDDLE SCHOOL</t>
  </si>
  <si>
    <t>0832</t>
  </si>
  <si>
    <t>HOLLISTER ELEMENTARY SCHOOL</t>
  </si>
  <si>
    <t>059</t>
  </si>
  <si>
    <t>FIRTH DISTRICT</t>
  </si>
  <si>
    <t>0390</t>
  </si>
  <si>
    <t>A W JOHNSON ELEMENTARY SCHOOL</t>
  </si>
  <si>
    <t>3059</t>
  </si>
  <si>
    <t>ADMINISTRATION BUILDING FIRTH DISTRICT</t>
  </si>
  <si>
    <t>0038</t>
  </si>
  <si>
    <t>FIRTH HIGH SCHOOL</t>
  </si>
  <si>
    <t>0155</t>
  </si>
  <si>
    <t>FIRTH MIDDLE SCHOOL</t>
  </si>
  <si>
    <t>215</t>
  </si>
  <si>
    <t>FREMONT COUNTY JOINT DISTRICT</t>
  </si>
  <si>
    <t>3215</t>
  </si>
  <si>
    <t>ADMINISTRATION BUILDING FREMONT COUNTY JOINT DISTRICT</t>
  </si>
  <si>
    <t>0701</t>
  </si>
  <si>
    <t>ASHTON ELEMENTARY SCHOOL</t>
  </si>
  <si>
    <t>1271</t>
  </si>
  <si>
    <t>FIVE-COUNTY DETENTION CENTER</t>
  </si>
  <si>
    <t>1276</t>
  </si>
  <si>
    <t>0290</t>
  </si>
  <si>
    <t>HENRYS FORK ELEMENTARY</t>
  </si>
  <si>
    <t>0100</t>
  </si>
  <si>
    <t>NORTH FREMONT JR-SR HIGH SCHOOL</t>
  </si>
  <si>
    <t>0700</t>
  </si>
  <si>
    <t>PARKER-EGIN ELEMENTARY SCHOOL</t>
  </si>
  <si>
    <t>SOUTH FREMONT HIGH SCHOOL</t>
  </si>
  <si>
    <t>0098</t>
  </si>
  <si>
    <t>SOUTH FREMONT JR HIGH</t>
  </si>
  <si>
    <t>0703</t>
  </si>
  <si>
    <t>TETON ELEMENTARY SCHOOL</t>
  </si>
  <si>
    <t>373</t>
  </si>
  <si>
    <t>FRUITLAND DISTRICT</t>
  </si>
  <si>
    <t>3373</t>
  </si>
  <si>
    <t>ADMINISTRATION BUILDING FRUITLAND DISTRICT</t>
  </si>
  <si>
    <t>1061</t>
  </si>
  <si>
    <t>BORDER DISTRICT - NYSSA ELEMENTARY</t>
  </si>
  <si>
    <t>1062</t>
  </si>
  <si>
    <t>BORDER DISTRICT - NYSSA SECONDARY</t>
  </si>
  <si>
    <t>0807</t>
  </si>
  <si>
    <t>FRUITLAND ELEMENTARY SCHOOL</t>
  </si>
  <si>
    <t>0166</t>
  </si>
  <si>
    <t>FRUITLAND HIGH SCHOOL</t>
  </si>
  <si>
    <t>0165</t>
  </si>
  <si>
    <t>FRUITLAND MIDDLE SCHOOL</t>
  </si>
  <si>
    <t>1332</t>
  </si>
  <si>
    <t>FRUITLAND PREPARATORY ACADEMY ALTERNATIVE</t>
  </si>
  <si>
    <t>1089</t>
  </si>
  <si>
    <t>FRUITLAND PREPARATORY ACADEMY SUMMER ALTERNATIVE</t>
  </si>
  <si>
    <t>499</t>
  </si>
  <si>
    <t>FUTURE PUBLIC SCHOOL, INC.</t>
  </si>
  <si>
    <t>1410</t>
  </si>
  <si>
    <t>FUTURE PUBLIC SCHOOL</t>
  </si>
  <si>
    <t>071</t>
  </si>
  <si>
    <t>GARDEN VALLEY DISTRICT</t>
  </si>
  <si>
    <t>3006</t>
  </si>
  <si>
    <t>ADMINISTRATION BUILDING GARDEN VALLEY DISTRICT</t>
  </si>
  <si>
    <t>0274</t>
  </si>
  <si>
    <t>GARDEN VALLEY SCHOOL</t>
  </si>
  <si>
    <t>0398</t>
  </si>
  <si>
    <t>LOWMAN ELEMENTARY SCHOOL</t>
  </si>
  <si>
    <t>549</t>
  </si>
  <si>
    <t>GEM PREP: MERIDIAN NORTH, LLC</t>
  </si>
  <si>
    <t>1442</t>
  </si>
  <si>
    <t>GEM PREP: MERIDIAN NORTH</t>
  </si>
  <si>
    <t>571</t>
  </si>
  <si>
    <t>GEM PREP: MERIDIAN SOUTH, LLC</t>
  </si>
  <si>
    <t>1463</t>
  </si>
  <si>
    <t>GEM PREP: MERIDIAN SOUTH</t>
  </si>
  <si>
    <t>498</t>
  </si>
  <si>
    <t>GEM PREP: MERIDIAN, LLC</t>
  </si>
  <si>
    <t>1409</t>
  </si>
  <si>
    <t>GEM PREP: MERIDIAN</t>
  </si>
  <si>
    <t>796</t>
  </si>
  <si>
    <t>GEM PREP: NAMPA, LLC</t>
  </si>
  <si>
    <t>1386</t>
  </si>
  <si>
    <t>GEM PREP: NAMPA</t>
  </si>
  <si>
    <t>534</t>
  </si>
  <si>
    <t>GEM PREP: ONLINE LLC</t>
  </si>
  <si>
    <t>1426</t>
  </si>
  <si>
    <t>GEM PREP: ONLINE SCHOOL</t>
  </si>
  <si>
    <t>496</t>
  </si>
  <si>
    <t xml:space="preserve">GEM PREP: POCATELLO, LLC </t>
  </si>
  <si>
    <t>1376</t>
  </si>
  <si>
    <t>GEM PREP: POCATELLO SCHOOL</t>
  </si>
  <si>
    <t>594</t>
  </si>
  <si>
    <t>GEM PREP: TWIN FALLS, LLC</t>
  </si>
  <si>
    <t>1501</t>
  </si>
  <si>
    <t>GEM PREP: TWIN FALLS</t>
  </si>
  <si>
    <t>GENESEE JOINT DISTRICT</t>
  </si>
  <si>
    <t>ADMINISTRATION BUILDING GENESEE JOINT DISTRICT</t>
  </si>
  <si>
    <t>0269</t>
  </si>
  <si>
    <t>GENESEE SCHOOL</t>
  </si>
  <si>
    <t>192</t>
  </si>
  <si>
    <t>GLENNS FERRY JOINT DISTRICT</t>
  </si>
  <si>
    <t>3016</t>
  </si>
  <si>
    <t>ADMINISTRATION BUILDING GLENNS FERRY JOINT DISTRICT</t>
  </si>
  <si>
    <t>0492</t>
  </si>
  <si>
    <t>GLENNS FERRY ELEMENTARY SCHOOL</t>
  </si>
  <si>
    <t>0092</t>
  </si>
  <si>
    <t>GLENNS FERRY HIGH SCHOOL</t>
  </si>
  <si>
    <t>0241</t>
  </si>
  <si>
    <t>GLENNS FERRY MIDDLE SCHOOL</t>
  </si>
  <si>
    <t>GOODING JOINT DISTRICT</t>
  </si>
  <si>
    <t>3231</t>
  </si>
  <si>
    <t>ADMINISTRATION BUILDING GOODING JOINT DISTRICT</t>
  </si>
  <si>
    <t>1078</t>
  </si>
  <si>
    <t>GOODING ALTERNATIVE LEARNING CENTER</t>
  </si>
  <si>
    <t>0621</t>
  </si>
  <si>
    <t>GOODING ALTERNATIVE SUMMER</t>
  </si>
  <si>
    <t>0711</t>
  </si>
  <si>
    <t>GOODING ELEMENTARY SCHOOL</t>
  </si>
  <si>
    <t>0103</t>
  </si>
  <si>
    <t>GOODING HIGH SCHOOL</t>
  </si>
  <si>
    <t>0102</t>
  </si>
  <si>
    <t>GOODING MIDDLE SCHOOL</t>
  </si>
  <si>
    <t>148</t>
  </si>
  <si>
    <t>GRACE JOINT DISTRICT</t>
  </si>
  <si>
    <t>3012</t>
  </si>
  <si>
    <t>ADMINISTRATION BUILDING GRACE JOINT DISTRICT</t>
  </si>
  <si>
    <t>1475</t>
  </si>
  <si>
    <t>BLACK CANYON ELEMENTARY SCHOOL</t>
  </si>
  <si>
    <t>0245</t>
  </si>
  <si>
    <t>GRACE JR/SR HIGH SCHOOL</t>
  </si>
  <si>
    <t>HAGERMAN JOINT DISTRICT</t>
  </si>
  <si>
    <t>3017</t>
  </si>
  <si>
    <t>ADMINISTRATION BUILDING HAGERMAN JOINT DISTRICT</t>
  </si>
  <si>
    <t>0280</t>
  </si>
  <si>
    <t>HAGERMAN SCHOOL</t>
  </si>
  <si>
    <t>1456</t>
  </si>
  <si>
    <t>HAGERMAN VIRTUAL SCHOOL</t>
  </si>
  <si>
    <t>415</t>
  </si>
  <si>
    <t>HANSEN DISTRICT</t>
  </si>
  <si>
    <t>3034</t>
  </si>
  <si>
    <t>ADMINISTRATION BUILDING HANSEN DISTRICT</t>
  </si>
  <si>
    <t>0834</t>
  </si>
  <si>
    <t>HANSEN ELEMENTARY SCHOOL</t>
  </si>
  <si>
    <t>0620</t>
  </si>
  <si>
    <t>HANSEN JR/SR HIGH SCHOOL</t>
  </si>
  <si>
    <t>508</t>
  </si>
  <si>
    <t>HAYDEN CANYON CHARTER SCHOOL, INC.</t>
  </si>
  <si>
    <t>1411</t>
  </si>
  <si>
    <t>HAYDEN CANYON CHARTER SCHOOL</t>
  </si>
  <si>
    <t>479</t>
  </si>
  <si>
    <t>HERITAGE ACADEMY DISTRICT</t>
  </si>
  <si>
    <t>1341</t>
  </si>
  <si>
    <t>HERITAGE ACADEMY</t>
  </si>
  <si>
    <t>481</t>
  </si>
  <si>
    <t>HERITAGE COMMUNITY CHARTER SCHOOL, INC.</t>
  </si>
  <si>
    <t>1343</t>
  </si>
  <si>
    <t>HERITAGE COMMUNITY CHARTER</t>
  </si>
  <si>
    <t>305</t>
  </si>
  <si>
    <t>HIGHLAND JOINT DISTRICT</t>
  </si>
  <si>
    <t>3305</t>
  </si>
  <si>
    <t>ADMINISTRATION BUILDING HIGHLAND JOINT DISTRICT</t>
  </si>
  <si>
    <t>0285</t>
  </si>
  <si>
    <t>HIGHLAND SCHOOL</t>
  </si>
  <si>
    <t>370</t>
  </si>
  <si>
    <t>HOMEDALE JOINT DISTRICT</t>
  </si>
  <si>
    <t>3370</t>
  </si>
  <si>
    <t>ADMINISTRATION BUILDING HOMEDALE JOINT DISTRICT</t>
  </si>
  <si>
    <t>1059</t>
  </si>
  <si>
    <t>COSSA</t>
  </si>
  <si>
    <t>0803</t>
  </si>
  <si>
    <t>HOMEDALE ELEMENTARY SCHOOL</t>
  </si>
  <si>
    <t>0160</t>
  </si>
  <si>
    <t>HOMEDALE HIGH SCHOOL</t>
  </si>
  <si>
    <t>0260</t>
  </si>
  <si>
    <t>HOMEDALE MIDDLE SCHOOL</t>
  </si>
  <si>
    <t>073</t>
  </si>
  <si>
    <t>HORSESHOE BEND SCHOOL DISTRICT</t>
  </si>
  <si>
    <t>3008</t>
  </si>
  <si>
    <t>ADMINISTRATION BUILDING HORSESHOE BEND SCHOOL DISTRICT</t>
  </si>
  <si>
    <t>1511</t>
  </si>
  <si>
    <t>HORSESHOE BEND ALTERNATIVE SCHOOL</t>
  </si>
  <si>
    <t>1513</t>
  </si>
  <si>
    <t>HORSESHOE BEND ALTERNATIVE SUMMER SCHOOL</t>
  </si>
  <si>
    <t>0256</t>
  </si>
  <si>
    <t>HORSESHOE BEND ELEMENTARY</t>
  </si>
  <si>
    <t>0278</t>
  </si>
  <si>
    <t>HORSESHOE BEND MIDDLE-SR HIGH</t>
  </si>
  <si>
    <t>795</t>
  </si>
  <si>
    <t>IDAHO ARTS CHARTER SCHOOL, INC.</t>
  </si>
  <si>
    <t>0577</t>
  </si>
  <si>
    <t>IDAHO ARTS CHARTER SCHOOL</t>
  </si>
  <si>
    <t>596</t>
  </si>
  <si>
    <t>IDAHO BUREAU OF EDUCATIONAL SERVICES FOR THE DEAF AND THE BLIND</t>
  </si>
  <si>
    <t>3596</t>
  </si>
  <si>
    <t>ADMINISTRATION BUILDING IDAHO BUREAU OF EDUCATIONAL SERVICES FOR THE DEAF AND THE BLIND</t>
  </si>
  <si>
    <t>0948</t>
  </si>
  <si>
    <t>IDAHO SCHOOL FOR THE DEAF AND THE BLIND</t>
  </si>
  <si>
    <t>489</t>
  </si>
  <si>
    <t>IDAHO COLLEGE AND CAREER READINESS ACADEMY, INC.</t>
  </si>
  <si>
    <t>1368</t>
  </si>
  <si>
    <t>IDAHO TECHNICAL CAREER ACADEMY</t>
  </si>
  <si>
    <t>709</t>
  </si>
  <si>
    <t>IDAHO DEPARTMENT OF JUVENILE CORRECTIONS</t>
  </si>
  <si>
    <t>1074</t>
  </si>
  <si>
    <t>JCC-LEWISTON</t>
  </si>
  <si>
    <t>1169</t>
  </si>
  <si>
    <t>JCC-NAMPA</t>
  </si>
  <si>
    <t>1030</t>
  </si>
  <si>
    <t>JCC-ST. ANTHONY</t>
  </si>
  <si>
    <t>671</t>
  </si>
  <si>
    <t>IDAHO DEPT CORRECTION</t>
  </si>
  <si>
    <t>0671</t>
  </si>
  <si>
    <t>IDAHO STATE PENITENTIARY</t>
  </si>
  <si>
    <t>771</t>
  </si>
  <si>
    <t>Idaho Digital Learning Academy</t>
  </si>
  <si>
    <t>1082</t>
  </si>
  <si>
    <t>IDLA SCHOOL</t>
  </si>
  <si>
    <t>091</t>
  </si>
  <si>
    <t>IDAHO FALLS DISTRICT</t>
  </si>
  <si>
    <t>1152</t>
  </si>
  <si>
    <t>3B JUVENILE DETENTION CENTER</t>
  </si>
  <si>
    <t>1178</t>
  </si>
  <si>
    <t>3-B JUVENILE DETENTION-SUMMER</t>
  </si>
  <si>
    <t>0415</t>
  </si>
  <si>
    <t>A H BUSH ELEMENTARY SCHOOL</t>
  </si>
  <si>
    <t>3091</t>
  </si>
  <si>
    <t>ADMINISTRATION BUILDING IDAHO FALLS DISTRICT</t>
  </si>
  <si>
    <t>0566</t>
  </si>
  <si>
    <t>CAREER &amp; TECHNICAL EDUCATION CENTER</t>
  </si>
  <si>
    <t>1350</t>
  </si>
  <si>
    <t>COMPASS ACADEMY</t>
  </si>
  <si>
    <t>1486</t>
  </si>
  <si>
    <t>COMPASS ACADEMY CREDIT RECOVERY</t>
  </si>
  <si>
    <t>1454</t>
  </si>
  <si>
    <t>D91 ONLINE ACADEMY - ELEMENTARY</t>
  </si>
  <si>
    <t>1449</t>
  </si>
  <si>
    <t>D91 ONLINE ACADEMY - SECONDARY</t>
  </si>
  <si>
    <t>0422</t>
  </si>
  <si>
    <t>DORA ERICKSON ELEM SCHOOL</t>
  </si>
  <si>
    <t>0050</t>
  </si>
  <si>
    <t>EAGLE ROCK MIDDLE SCHOOL</t>
  </si>
  <si>
    <t>0416</t>
  </si>
  <si>
    <t>EDGEMONT GARDENS ELEMENTARY</t>
  </si>
  <si>
    <t>1122</t>
  </si>
  <si>
    <t>EMERSON ALTERNATIVE SUMMER SCHOOL</t>
  </si>
  <si>
    <t>1048</t>
  </si>
  <si>
    <t>0420</t>
  </si>
  <si>
    <t>ETHEL BOYES ELEMENTARY SCHOOL</t>
  </si>
  <si>
    <t>0667</t>
  </si>
  <si>
    <t>FOXHOLLOW ELEMENTARY SCHOOL</t>
  </si>
  <si>
    <t>0413</t>
  </si>
  <si>
    <t>0054</t>
  </si>
  <si>
    <t>IDAHO FALLS SENIOR HIGH SCHOOL</t>
  </si>
  <si>
    <t>0423</t>
  </si>
  <si>
    <t>LINDEN PARK ELEMENTARY SCHOOL</t>
  </si>
  <si>
    <t>0412</t>
  </si>
  <si>
    <t>1487</t>
  </si>
  <si>
    <t>SKYLINE ALTERNATIVE SUMMER HIGH SCHOOL</t>
  </si>
  <si>
    <t>0053</t>
  </si>
  <si>
    <t>SKYLINE SENIOR HIGH SCHOOL</t>
  </si>
  <si>
    <t>0668</t>
  </si>
  <si>
    <t>SUNNYSIDE ELEMENTARY SCHOOL</t>
  </si>
  <si>
    <t>0199</t>
  </si>
  <si>
    <t>TAYLORVIEW MIDDLE SCHOOL</t>
  </si>
  <si>
    <t>0414</t>
  </si>
  <si>
    <t>TEMPLE VIEW ELEMENTARY SCHOOL</t>
  </si>
  <si>
    <t>0419</t>
  </si>
  <si>
    <t>THERESA BUNKER ELEMENTARY</t>
  </si>
  <si>
    <t>0421</t>
  </si>
  <si>
    <t>WESTSIDE ELEMENTARY SCHOOL</t>
  </si>
  <si>
    <t>645</t>
  </si>
  <si>
    <t xml:space="preserve">IDAHO HOME LEARNING ACADEMY CHARTER </t>
  </si>
  <si>
    <t>1390</t>
  </si>
  <si>
    <t>IDAHO HOME LEARNING ACADEMY</t>
  </si>
  <si>
    <t>639</t>
  </si>
  <si>
    <t>IDAHO NOVUS CLASSICAL ACADEMY, LLC</t>
  </si>
  <si>
    <t>1512</t>
  </si>
  <si>
    <t>IDAHO NOVUS CLASSICAL ACADEMY</t>
  </si>
  <si>
    <t>468</t>
  </si>
  <si>
    <t>IDAHO SCIENCE AND TECHNOLOGY CHARTER SCHOOL, INC.</t>
  </si>
  <si>
    <t>1217</t>
  </si>
  <si>
    <t>IDAHO SCIENCE &amp; TECHNOLOGY CHARTER SCHOOL</t>
  </si>
  <si>
    <t>485</t>
  </si>
  <si>
    <t>IDAHO STEM ACADEMY, INC.</t>
  </si>
  <si>
    <t>1364</t>
  </si>
  <si>
    <t>BINGHAM ACADEMY</t>
  </si>
  <si>
    <t>452</t>
  </si>
  <si>
    <t>IDAHO VIRTUAL ACADEMY, INC.</t>
  </si>
  <si>
    <t>0869</t>
  </si>
  <si>
    <t>IDAHO VIRTUAL ACADEMY</t>
  </si>
  <si>
    <t>1302</t>
  </si>
  <si>
    <t>INSIGHT SCHOOL OF IDAHO</t>
  </si>
  <si>
    <t>1314</t>
  </si>
  <si>
    <t>INSIGHT SCHOOL OF IDAHO (SUMMER)</t>
  </si>
  <si>
    <t>469</t>
  </si>
  <si>
    <t>IDAHO VIRTUAL EDUCATION PARTNERS, INC.</t>
  </si>
  <si>
    <t>1303</t>
  </si>
  <si>
    <t>IDAHO CONNECTS ONLINE ALTERNATIVE SCHOOL</t>
  </si>
  <si>
    <t>1221</t>
  </si>
  <si>
    <t>IDAHO CONNECTS ONLINE SCHOOL</t>
  </si>
  <si>
    <t>1353</t>
  </si>
  <si>
    <t>IDAHO CONNECTS ONLINE SCHOOL SUMMER ALTERNATIVE</t>
  </si>
  <si>
    <t>453</t>
  </si>
  <si>
    <t>IDAHO VIRTUAL HIGH SCHOOL, INC.</t>
  </si>
  <si>
    <t>1387</t>
  </si>
  <si>
    <t>RICHARD MCKENNA CHARTER SCHOOL - MONTESSORI</t>
  </si>
  <si>
    <t>0870</t>
  </si>
  <si>
    <t>RICHARD MCKENNA CHARTER SCHOOL - ONLINE</t>
  </si>
  <si>
    <t>0871</t>
  </si>
  <si>
    <t>RICHARD MCKENNA CHARTER SCHOOL - ONLINE ALTERNATIVE</t>
  </si>
  <si>
    <t>1399</t>
  </si>
  <si>
    <t>RICHARD MCKENNA CHARTER SCHOOL - ONSITE</t>
  </si>
  <si>
    <t>0873</t>
  </si>
  <si>
    <t>RICHARD MCKENNA ONLINE ALTERNATIVE - SUMMER</t>
  </si>
  <si>
    <t>457</t>
  </si>
  <si>
    <t>INSPIRE ACADEMICS, INC.</t>
  </si>
  <si>
    <t>1430</t>
  </si>
  <si>
    <t>EMPOWER CONNECTIONS ACADEMY</t>
  </si>
  <si>
    <t>0578</t>
  </si>
  <si>
    <t>INSPIRE VIRTUAL CHARTER SCHOOL</t>
  </si>
  <si>
    <t>540</t>
  </si>
  <si>
    <t>ISLAND PARK CHARTER SCHOOL, INC.</t>
  </si>
  <si>
    <t>1435</t>
  </si>
  <si>
    <t>ISLAND PARK CHARTER SCHOOL</t>
  </si>
  <si>
    <t>466</t>
  </si>
  <si>
    <t>ISUCCEED VIRTUAL HIGH SCHOOL, INC.</t>
  </si>
  <si>
    <t>1417</t>
  </si>
  <si>
    <t>ISUCCEED ACADEMY</t>
  </si>
  <si>
    <t>1429</t>
  </si>
  <si>
    <t>ISUCCEED ACADEMY (SUMMER)</t>
  </si>
  <si>
    <t>0654</t>
  </si>
  <si>
    <t>ISUCCEED VIRTUAL HIGH SCHOOL</t>
  </si>
  <si>
    <t>JEFFERSON COUNTY JT DISTRICT</t>
  </si>
  <si>
    <t>3251</t>
  </si>
  <si>
    <t>ADMINISTRATION BUILDING JEFFERSON COUNTY JT DISTRICT</t>
  </si>
  <si>
    <t>1437</t>
  </si>
  <si>
    <t>COTTONWOOD ELEMENTARY</t>
  </si>
  <si>
    <t>1446</t>
  </si>
  <si>
    <t>FARNSWORTH MIDDLE SCHOOL</t>
  </si>
  <si>
    <t>0723</t>
  </si>
  <si>
    <t>HARWOOD ELEMENTARY SCHOOL</t>
  </si>
  <si>
    <t>0725</t>
  </si>
  <si>
    <t>1143</t>
  </si>
  <si>
    <t>1139</t>
  </si>
  <si>
    <t>1416</t>
  </si>
  <si>
    <t>JEFFERSON SCHOOL DISTRICT 251 EARLY CHILDHOOD CENTER</t>
  </si>
  <si>
    <t>0724</t>
  </si>
  <si>
    <t>MIDWAY ELEMENTARY SCHOOL</t>
  </si>
  <si>
    <t>RIGBY HIGH SCHOOL</t>
  </si>
  <si>
    <t>1358</t>
  </si>
  <si>
    <t>RIGBY MIDDLE SCHOOL</t>
  </si>
  <si>
    <t>0726</t>
  </si>
  <si>
    <t>ROBERTS ELEMENTARY SCHOOL</t>
  </si>
  <si>
    <t>1110</t>
  </si>
  <si>
    <t>SOUTH FORK ELEMENTARY SCHOOL</t>
  </si>
  <si>
    <t>JEROME JOINT DISTRICT</t>
  </si>
  <si>
    <t>3261</t>
  </si>
  <si>
    <t>ADMINISTRATION BUILDING JEROME JOINT DISTRICT</t>
  </si>
  <si>
    <t>1497</t>
  </si>
  <si>
    <t>FRONTIER ELEMENTARY SCHOOL</t>
  </si>
  <si>
    <t>0516</t>
  </si>
  <si>
    <t>0731</t>
  </si>
  <si>
    <t>0297</t>
  </si>
  <si>
    <t>JEROME ACADEMY</t>
  </si>
  <si>
    <t>JEROME HIGH SCHOOL</t>
  </si>
  <si>
    <t>0117</t>
  </si>
  <si>
    <t>JEROME MIDDLE SCHOOL</t>
  </si>
  <si>
    <t>1128</t>
  </si>
  <si>
    <t>JEROME SCHOOL DISTRICT SUMMER SCHOOL</t>
  </si>
  <si>
    <t>1272</t>
  </si>
  <si>
    <t>2516</t>
  </si>
  <si>
    <t>SUMMIT ELEMENTARY</t>
  </si>
  <si>
    <t>002</t>
  </si>
  <si>
    <t>JOINT SCHOOL DISTRICT NO. 2</t>
  </si>
  <si>
    <t>0564</t>
  </si>
  <si>
    <t>ADA PROFESSIONAL-TECHNICAL CTR</t>
  </si>
  <si>
    <t>3002</t>
  </si>
  <si>
    <t>ADMINISTRATION BUILDING JOINT SCHOOL DISTRICT NO. 2</t>
  </si>
  <si>
    <t>0339</t>
  </si>
  <si>
    <t>BARBARA MORGAN STEM ACADEMY</t>
  </si>
  <si>
    <t>0523</t>
  </si>
  <si>
    <t>CECIL D ANDRUS ELEMENTARY</t>
  </si>
  <si>
    <t>0015</t>
  </si>
  <si>
    <t>CENTENNIAL HIGH SCHOOL</t>
  </si>
  <si>
    <t>0597</t>
  </si>
  <si>
    <t>CENTRAL ACADEMY HIGH SCHOOL</t>
  </si>
  <si>
    <t>1493</t>
  </si>
  <si>
    <t>CENTRAL ACADEMY SUMMER</t>
  </si>
  <si>
    <t>0524</t>
  </si>
  <si>
    <t>CHAPARRAL ELEMENTARY</t>
  </si>
  <si>
    <t>0329</t>
  </si>
  <si>
    <t>CHIEF JOSEPH SCHOOL OF THE ARTS</t>
  </si>
  <si>
    <t>0338</t>
  </si>
  <si>
    <t>CHRISTINE DONNELL SCH OF ARTS</t>
  </si>
  <si>
    <t>1145</t>
  </si>
  <si>
    <t>CROSSROADS MIDDLE SCHOOL</t>
  </si>
  <si>
    <t>0592</t>
  </si>
  <si>
    <t>DESERT SAGE ELEMENTARY SCHOOL</t>
  </si>
  <si>
    <t>0521</t>
  </si>
  <si>
    <t>0982</t>
  </si>
  <si>
    <t>EAGLE ACADEMY</t>
  </si>
  <si>
    <t>1491</t>
  </si>
  <si>
    <t>EAGLE ACADEMY SUMMER</t>
  </si>
  <si>
    <t>0332</t>
  </si>
  <si>
    <t>EAGLE ELEMENTARY SCHOOL</t>
  </si>
  <si>
    <t>0112</t>
  </si>
  <si>
    <t>EAGLE HIGH SCHOOL</t>
  </si>
  <si>
    <t>0340</t>
  </si>
  <si>
    <t>EAGLE HILLS ELEMENTARY SCHOOL</t>
  </si>
  <si>
    <t>0106</t>
  </si>
  <si>
    <t>EAGLE MIDDLE SCHOOL</t>
  </si>
  <si>
    <t>0525</t>
  </si>
  <si>
    <t>ELIZA HART SPALDING STEM ACADEMY</t>
  </si>
  <si>
    <t>1514</t>
  </si>
  <si>
    <t>FLYERS CENTER</t>
  </si>
  <si>
    <t>0328</t>
  </si>
  <si>
    <t>2511</t>
  </si>
  <si>
    <t>GALILEO STEM ACADEMY</t>
  </si>
  <si>
    <t>2513</t>
  </si>
  <si>
    <t>HERITAGE MIDDLE SCHOOL</t>
  </si>
  <si>
    <t>1383</t>
  </si>
  <si>
    <t>HILLSDALE ELEMENTARY</t>
  </si>
  <si>
    <t>0296</t>
  </si>
  <si>
    <t>HUNTER ELEMENTARY SCHOOL</t>
  </si>
  <si>
    <t>1375</t>
  </si>
  <si>
    <t>IDAHO FINE ARTS ACADEMY</t>
  </si>
  <si>
    <t>0343</t>
  </si>
  <si>
    <t>JOPLIN ELEMENTARY SCHOOL</t>
  </si>
  <si>
    <t>0331</t>
  </si>
  <si>
    <t>LAKE HAZEL ELEMENTARY SCHOOL</t>
  </si>
  <si>
    <t>0207</t>
  </si>
  <si>
    <t>LAKE HAZEL MIDDLE SCHOOL</t>
  </si>
  <si>
    <t>0235</t>
  </si>
  <si>
    <t>LEWIS &amp; CLARK MIDDLE SCHOOL</t>
  </si>
  <si>
    <t>0010</t>
  </si>
  <si>
    <t>LOWELL SCOTT MIDDLE SCHOOL</t>
  </si>
  <si>
    <t>0341</t>
  </si>
  <si>
    <t>MARY MC PHERSON ELEMENTARY</t>
  </si>
  <si>
    <t>0337</t>
  </si>
  <si>
    <t>MCMILLAN ELEMENTARY</t>
  </si>
  <si>
    <t>1228</t>
  </si>
  <si>
    <t>1492</t>
  </si>
  <si>
    <t>MERIDIAN ACADEMY SUMMER</t>
  </si>
  <si>
    <t>0336</t>
  </si>
  <si>
    <t>MERIDIAN ELEMENTARY SCHOOL</t>
  </si>
  <si>
    <t>0012</t>
  </si>
  <si>
    <t>MERIDIAN HIGH SCHOOL</t>
  </si>
  <si>
    <t>0011</t>
  </si>
  <si>
    <t>MERIDIAN MIDDLE SCHOOL</t>
  </si>
  <si>
    <t>0545</t>
  </si>
  <si>
    <t>MOUNTAIN VIEW HIGH SCHOOL</t>
  </si>
  <si>
    <t>1459</t>
  </si>
  <si>
    <t>OWYHEE HIGH SCHOOL</t>
  </si>
  <si>
    <t>1290</t>
  </si>
  <si>
    <t>PARAMOUNT ELEMENTARY SCHOOL</t>
  </si>
  <si>
    <t>0594</t>
  </si>
  <si>
    <t>0283</t>
  </si>
  <si>
    <t>PEPPER RIDGE ELEMENTARY</t>
  </si>
  <si>
    <t>0239</t>
  </si>
  <si>
    <t>PEREGRINE ELEMENTARY SCHOOL</t>
  </si>
  <si>
    <t>0507</t>
  </si>
  <si>
    <t>PIONEER SCHOOL OF THE ARTS</t>
  </si>
  <si>
    <t>1438</t>
  </si>
  <si>
    <t>PLEASANT VIEW ELEMENTARY</t>
  </si>
  <si>
    <t>0504</t>
  </si>
  <si>
    <t>PONDEROSA ELEMENTARY SCHOOL</t>
  </si>
  <si>
    <t>0593</t>
  </si>
  <si>
    <t>PROSPECT ELEMENTARY SCHOOL</t>
  </si>
  <si>
    <t>1297</t>
  </si>
  <si>
    <t>REBOUND SCHOOL OF OPPORTUNITY</t>
  </si>
  <si>
    <t>1299</t>
  </si>
  <si>
    <t>REBOUND SCHOOL OF OPPORTUNITY SUMMER</t>
  </si>
  <si>
    <t>1235</t>
  </si>
  <si>
    <t>RENAISSANCE HIGH SCHOOL</t>
  </si>
  <si>
    <t>0240</t>
  </si>
  <si>
    <t>RIVER VALLEY ELEMENTARY SCHOOL</t>
  </si>
  <si>
    <t>0898</t>
  </si>
  <si>
    <t>ROCKY MOUNTAIN HIGH SCHOOL</t>
  </si>
  <si>
    <t>0284</t>
  </si>
  <si>
    <t>SAWTOOTH MIDDLE SCHOOL</t>
  </si>
  <si>
    <t>0526</t>
  </si>
  <si>
    <t>SEVEN OAKS ELEMENTARY</t>
  </si>
  <si>
    <t>0899</t>
  </si>
  <si>
    <t>SIENA ELEMENTARY</t>
  </si>
  <si>
    <t>0330</t>
  </si>
  <si>
    <t>SILVER SAGE ELEMENTARY SCHOOL</t>
  </si>
  <si>
    <t>0334</t>
  </si>
  <si>
    <t>STAR ELEMENTARY SCHOOL</t>
  </si>
  <si>
    <t>1406</t>
  </si>
  <si>
    <t>STAR MIDDLE SCHOOL</t>
  </si>
  <si>
    <t>0333</t>
  </si>
  <si>
    <t>SUMMERWIND STEM ACADEMY</t>
  </si>
  <si>
    <t>0335</t>
  </si>
  <si>
    <t>USTICK ELEMENTARY SCHOOL</t>
  </si>
  <si>
    <t>1384</t>
  </si>
  <si>
    <t>VICTORY MIDDLE SCHOOL</t>
  </si>
  <si>
    <t>1374</t>
  </si>
  <si>
    <t>VIRTUAL SCHOOL HOUSE</t>
  </si>
  <si>
    <t>1226</t>
  </si>
  <si>
    <t>WEST ADA JOINT SCHOOL DISTRICT SUMMER ALTERNATIVE SCHOOL</t>
  </si>
  <si>
    <t>0589</t>
  </si>
  <si>
    <t>WEST ADA MIDDLE SUMMER SCHOOL</t>
  </si>
  <si>
    <t>1356</t>
  </si>
  <si>
    <t>WILLOW CREEK ELEMENTARY SCHOOL</t>
  </si>
  <si>
    <t>304</t>
  </si>
  <si>
    <t>KAMIAH JOINT DISTRICT</t>
  </si>
  <si>
    <t>3026</t>
  </si>
  <si>
    <t>ADMINISTRATION BUILDING KAMIAH JOINT DISTRICT</t>
  </si>
  <si>
    <t>1440</t>
  </si>
  <si>
    <t>KAMIAH EARLY CHILDHOOD CENTER</t>
  </si>
  <si>
    <t>0768</t>
  </si>
  <si>
    <t>KAMIAH ELEMENTARY SCHOOL</t>
  </si>
  <si>
    <t>0231</t>
  </si>
  <si>
    <t>KAMIAH SENIOR HIGH</t>
  </si>
  <si>
    <t>391</t>
  </si>
  <si>
    <t>KELLOGG JOINT DISTRICT</t>
  </si>
  <si>
    <t>3391</t>
  </si>
  <si>
    <t>ADMINISTRATION BUILDING KELLOGG JOINT DISTRICT</t>
  </si>
  <si>
    <t>0812</t>
  </si>
  <si>
    <t>CANYON ELEMENTARY SCHOOL</t>
  </si>
  <si>
    <t>0171</t>
  </si>
  <si>
    <t>KELLOGG HIGH SCHOOL</t>
  </si>
  <si>
    <t>0643</t>
  </si>
  <si>
    <t>KELLOGG HIGH SCHOOL SUMMER ALTERNATIVE</t>
  </si>
  <si>
    <t>KELLOGG MIDDLE SCHOOL</t>
  </si>
  <si>
    <t>0811</t>
  </si>
  <si>
    <t>PINEHURST ELEMENTARY SCHOOL</t>
  </si>
  <si>
    <t>KENDRICK JOINT DISTRICT</t>
  </si>
  <si>
    <t>ADMINISTRATION BUILDING KENDRICK JOINT DISTRICT</t>
  </si>
  <si>
    <t>0758</t>
  </si>
  <si>
    <t>JULIAETTA ELEMENTARY SCHOOL</t>
  </si>
  <si>
    <t>0132</t>
  </si>
  <si>
    <t>KENDRICK JR-SR HIGH SCHOOL</t>
  </si>
  <si>
    <t>414</t>
  </si>
  <si>
    <t>KIMBERLY DISTRICT</t>
  </si>
  <si>
    <t>3032</t>
  </si>
  <si>
    <t>ADMINISTRATION BUILDING KIMBERLY DISTRICT</t>
  </si>
  <si>
    <t>0622</t>
  </si>
  <si>
    <t>KIMBERLY ALTERNATIVE SUMMER HIGH SCHOOL</t>
  </si>
  <si>
    <t>0833</t>
  </si>
  <si>
    <t>KIMBERLY ELEMENTARY SCHOOL</t>
  </si>
  <si>
    <t>0182</t>
  </si>
  <si>
    <t>KIMBERLY HIGH SCHOOL</t>
  </si>
  <si>
    <t>0512</t>
  </si>
  <si>
    <t>KIMBERLY MIDDLE SCHOOL</t>
  </si>
  <si>
    <t>1476</t>
  </si>
  <si>
    <t>KIMBERLY PRESCHOOL</t>
  </si>
  <si>
    <t>1408</t>
  </si>
  <si>
    <t>STRICKER ELEMENTARY SCHOOL</t>
  </si>
  <si>
    <t>597</t>
  </si>
  <si>
    <t>KOOTENAI CLASSICAL ACADEMY, INC</t>
  </si>
  <si>
    <t>1502</t>
  </si>
  <si>
    <t>KOOTENAI CLASSICAL ACADEMY</t>
  </si>
  <si>
    <t>KOOTENAI DISTRICT</t>
  </si>
  <si>
    <t>3274</t>
  </si>
  <si>
    <t>ADMINISTRATION BUILDING KOOTENAI DISTRICT</t>
  </si>
  <si>
    <t>0751</t>
  </si>
  <si>
    <t>HARRISON ELEMENTARY SCHOOL</t>
  </si>
  <si>
    <t>0127</t>
  </si>
  <si>
    <t>KOOTENAI JR-SR HIGH SCHOOL</t>
  </si>
  <si>
    <t>KTEC - Kootenai Tech Ed Campus</t>
  </si>
  <si>
    <t>1351</t>
  </si>
  <si>
    <t>KTEC SCHOOL</t>
  </si>
  <si>
    <t>003</t>
  </si>
  <si>
    <t>KUNA JOINT DISTRICT</t>
  </si>
  <si>
    <t>3003</t>
  </si>
  <si>
    <t>ADMINISTRATION BUILDING KUNA JOINT DISTRICT</t>
  </si>
  <si>
    <t>0887</t>
  </si>
  <si>
    <t>CRIMSON POINT ELEMENTARY SCHOOL</t>
  </si>
  <si>
    <t>0850</t>
  </si>
  <si>
    <t>FREMONT H TEED ELEMENTARY SCHOOL</t>
  </si>
  <si>
    <t>0345</t>
  </si>
  <si>
    <t>HUBBARD ELEMENTARY SCHOOL</t>
  </si>
  <si>
    <t>0596</t>
  </si>
  <si>
    <t>INDIAN CREEK ELEMENTARY</t>
  </si>
  <si>
    <t>1115</t>
  </si>
  <si>
    <t>1312</t>
  </si>
  <si>
    <t>KUNA CAREER TECHNICAL SCHOOL</t>
  </si>
  <si>
    <t>0014</t>
  </si>
  <si>
    <t>KUNA HIGH SCHOOL</t>
  </si>
  <si>
    <t>0013</t>
  </si>
  <si>
    <t>KUNA MIDDLE SCHOOL</t>
  </si>
  <si>
    <t>1490</t>
  </si>
  <si>
    <t>KUNA MIDDLE SUMMER SCHOOL</t>
  </si>
  <si>
    <t>1119</t>
  </si>
  <si>
    <t>KUNA SUMMER SCHOOL ALTERNATIVE</t>
  </si>
  <si>
    <t>0595</t>
  </si>
  <si>
    <t>REED ELEMENTARY SCHOOL</t>
  </si>
  <si>
    <t>0635</t>
  </si>
  <si>
    <t>ROSS ELEMENTARY SCHOOL</t>
  </si>
  <si>
    <t>1308</t>
  </si>
  <si>
    <t>SILVER TRAIL ELEMENTARY SCHOOL</t>
  </si>
  <si>
    <t>1439</t>
  </si>
  <si>
    <t>SWAN FALLS HIGH SCHOOL</t>
  </si>
  <si>
    <t>1522</t>
  </si>
  <si>
    <t>SYNERGY MIDDLE SCHOOL</t>
  </si>
  <si>
    <t>084</t>
  </si>
  <si>
    <t>LAKE PEND OREILLE SCHOOL DISTRICT</t>
  </si>
  <si>
    <t>3082</t>
  </si>
  <si>
    <t>ADMINISTRATION BUILDING LAKE PEND OREILLE SCHOOL DISTRICT</t>
  </si>
  <si>
    <t>0049</t>
  </si>
  <si>
    <t>CLARK FORK JR-SR HIGH SCHOOL</t>
  </si>
  <si>
    <t>0403</t>
  </si>
  <si>
    <t>FARMIN STIDWELL ELEMENTARY SCHOOL</t>
  </si>
  <si>
    <t>0401</t>
  </si>
  <si>
    <t>HOPE ELEMENTARY SCHOOL</t>
  </si>
  <si>
    <t>0293</t>
  </si>
  <si>
    <t>KOOTENAI ELEMENTARY SCHOOL</t>
  </si>
  <si>
    <t>0645</t>
  </si>
  <si>
    <t>LAKE PEND OREILLE H. S. SUMMER ALTERNATIVE</t>
  </si>
  <si>
    <t>1045</t>
  </si>
  <si>
    <t>1391</t>
  </si>
  <si>
    <t>LPOSD HOME SCHOOL ACADEMY</t>
  </si>
  <si>
    <t>0410</t>
  </si>
  <si>
    <t>NORTHSIDE ELEMENTARY SCHOOL</t>
  </si>
  <si>
    <t>0402</t>
  </si>
  <si>
    <t>SAGLE ELEMENTARY SCHOOL</t>
  </si>
  <si>
    <t>0202</t>
  </si>
  <si>
    <t>SANDPOINT HIGH SCHOOL</t>
  </si>
  <si>
    <t>0997</t>
  </si>
  <si>
    <t>SANDPOINT JUVENILE DETENTION</t>
  </si>
  <si>
    <t>1177</t>
  </si>
  <si>
    <t>SANDPOINT JUVENILE DETENTION-SUMMER</t>
  </si>
  <si>
    <t>0047</t>
  </si>
  <si>
    <t>SANDPOINT MIDDLE SCHOOL</t>
  </si>
  <si>
    <t>0405</t>
  </si>
  <si>
    <t>SOUTHSIDE ELEMENTARY SCHOOL</t>
  </si>
  <si>
    <t>0408</t>
  </si>
  <si>
    <t>LAKELAND DISTRICT</t>
  </si>
  <si>
    <t>3272</t>
  </si>
  <si>
    <t>ADMINISTRATION BUILDING LAKELAND DISTRICT</t>
  </si>
  <si>
    <t>0747</t>
  </si>
  <si>
    <t>ATHOL ELEMENTARY SCHOOL</t>
  </si>
  <si>
    <t>0513</t>
  </si>
  <si>
    <t>BETTY KIEFER ELEMENTARY SCHOOL</t>
  </si>
  <si>
    <t>0761</t>
  </si>
  <si>
    <t>GARWOOD ELEMENTARY SCHOOL</t>
  </si>
  <si>
    <t>0746</t>
  </si>
  <si>
    <t>JOHN BROWN ELEMENTARY SCHOOL</t>
  </si>
  <si>
    <t>0123</t>
  </si>
  <si>
    <t>LAKELAND MIDDLE SCHOOL</t>
  </si>
  <si>
    <t>0124</t>
  </si>
  <si>
    <t>LAKELAND SENIOR HIGH SCHOOL</t>
  </si>
  <si>
    <t>1130</t>
  </si>
  <si>
    <t>MOUNTAIN VIEW SUMMER ALTERNATIVE HIGH SCHOOL</t>
  </si>
  <si>
    <t>1104</t>
  </si>
  <si>
    <t>MOUNTAINVIEW ALTERNATIVE HIGH SCHOOL</t>
  </si>
  <si>
    <t>0745</t>
  </si>
  <si>
    <t>SPIRIT LAKE ELEMENTARY SCHOOL</t>
  </si>
  <si>
    <t>0585</t>
  </si>
  <si>
    <t>TIMBERLAKE MIDDLE SCHOOL</t>
  </si>
  <si>
    <t>0586</t>
  </si>
  <si>
    <t>TIMBERLAKE SENIOR HIGH SCHOOL</t>
  </si>
  <si>
    <t>0891</t>
  </si>
  <si>
    <t>TWIN LAKES ELEMENTARY SCHOOL</t>
  </si>
  <si>
    <t>341</t>
  </si>
  <si>
    <t>LAPWAI DISTRICT</t>
  </si>
  <si>
    <t>3028</t>
  </si>
  <si>
    <t>ADMINISTRATION BUILDING LAPWAI DISTRICT</t>
  </si>
  <si>
    <t>0844</t>
  </si>
  <si>
    <t>LAPWAI ELEMENTARY SCHOOL</t>
  </si>
  <si>
    <t>0583</t>
  </si>
  <si>
    <t>LAPWAI HIGH SCHOOL</t>
  </si>
  <si>
    <t>9503</t>
  </si>
  <si>
    <t>NEZ PERCE TRIBE HEAD START</t>
  </si>
  <si>
    <t>478</t>
  </si>
  <si>
    <t>LEGACY PUBLIC CHARTER SCHOOL, INC.</t>
  </si>
  <si>
    <t>1340</t>
  </si>
  <si>
    <t>LEGACY CHARTER SCHOOL</t>
  </si>
  <si>
    <t>340</t>
  </si>
  <si>
    <t>LEWISTON INDEPENDENT DISTRICT</t>
  </si>
  <si>
    <t>1425</t>
  </si>
  <si>
    <t>A NEIL DEATLEY CAREER TECHNICAL EDUCATION CENTER</t>
  </si>
  <si>
    <t>3340</t>
  </si>
  <si>
    <t>ADMINISTRATION BUILDING LEWISTON INDEPENDENT DISTRICT</t>
  </si>
  <si>
    <t>0788</t>
  </si>
  <si>
    <t>CAMELOT ELEMENTARY SCHOOL</t>
  </si>
  <si>
    <t>0787</t>
  </si>
  <si>
    <t>CENTENNIAL ELEMENTARY SCHOOL</t>
  </si>
  <si>
    <t>1209</t>
  </si>
  <si>
    <t>JENIFER JR HIGH SUMMER ALTERNATIVE</t>
  </si>
  <si>
    <t>JENIFER MIDDLE SCHOOL</t>
  </si>
  <si>
    <t>0153</t>
  </si>
  <si>
    <t>LEWISTON HIGH SCHOOL</t>
  </si>
  <si>
    <t>0789</t>
  </si>
  <si>
    <t>MC GHEE ELEMENTARY SCHOOL</t>
  </si>
  <si>
    <t>0791</t>
  </si>
  <si>
    <t>MC SORLEY ELEMENTARY SCHOOL</t>
  </si>
  <si>
    <t>0790</t>
  </si>
  <si>
    <t>ORCHARDS ELEMENTARY SCHOOL</t>
  </si>
  <si>
    <t>1266</t>
  </si>
  <si>
    <t>REGION 2 JUVENILE DET CENTER</t>
  </si>
  <si>
    <t>1184</t>
  </si>
  <si>
    <t>REGION 2 JUVENILE DETENTION-SUMMER</t>
  </si>
  <si>
    <t>1241</t>
  </si>
  <si>
    <t>SACAJAWEA JR HIGH SUMMER ALTERNATIVE</t>
  </si>
  <si>
    <t>SACAJAWEA MIDDLE SCHOOL</t>
  </si>
  <si>
    <t>1134</t>
  </si>
  <si>
    <t>TAMMANY ALTERNATIVE CENTER SUMMER ALTERNATIVE</t>
  </si>
  <si>
    <t>1034</t>
  </si>
  <si>
    <t>TAMMANY HIGH SCHOOL</t>
  </si>
  <si>
    <t>0793</t>
  </si>
  <si>
    <t>WEBSTER ELEMENTARY SCHOOL</t>
  </si>
  <si>
    <t>0792</t>
  </si>
  <si>
    <t>WHITMAN ELEMENTARY SCHOOL</t>
  </si>
  <si>
    <t>458</t>
  </si>
  <si>
    <t>LIBERTY CHARTER SCHOOL, INC.</t>
  </si>
  <si>
    <t>0587</t>
  </si>
  <si>
    <t>LIBERTY CHARTER SCHOOL</t>
  </si>
  <si>
    <t>182</t>
  </si>
  <si>
    <t>MACKAY JOINT DISTRICT</t>
  </si>
  <si>
    <t>3015</t>
  </si>
  <si>
    <t>ADMINISTRATION BUILDING MACKAY JOINT DISTRICT</t>
  </si>
  <si>
    <t>0490</t>
  </si>
  <si>
    <t>MACKAY ELEMENTARY SCHOOL</t>
  </si>
  <si>
    <t>0090</t>
  </si>
  <si>
    <t>MACKAY JR-SR HIGH SCHOOL</t>
  </si>
  <si>
    <t>321</t>
  </si>
  <si>
    <t>MADISON DISTRICT</t>
  </si>
  <si>
    <t>0777</t>
  </si>
  <si>
    <t>3321</t>
  </si>
  <si>
    <t>ADMINISTRATION BUILDING MADISON DISTRICT</t>
  </si>
  <si>
    <t>0779</t>
  </si>
  <si>
    <t>BURTON ELEMENTARY SCHOOL</t>
  </si>
  <si>
    <t>9015</t>
  </si>
  <si>
    <t>CENTRAL HIGH SCHOOL ALTERNATIVE</t>
  </si>
  <si>
    <t>1132</t>
  </si>
  <si>
    <t>CENTRAL HIGH SCHOOL SUMMER ALTERNATIVE</t>
  </si>
  <si>
    <t>0780</t>
  </si>
  <si>
    <t>HIBBARD ELEMENTARY SCHOOL</t>
  </si>
  <si>
    <t>0773</t>
  </si>
  <si>
    <t>KENNEDY ELEMENTARY SCHOOL</t>
  </si>
  <si>
    <t>0775</t>
  </si>
  <si>
    <t>1407</t>
  </si>
  <si>
    <t>MADISON CAREER TECHNICAL SCHOOL</t>
  </si>
  <si>
    <t>1500</t>
  </si>
  <si>
    <t>MADISON EARLY CHILDHOOD CENTER</t>
  </si>
  <si>
    <t>0145</t>
  </si>
  <si>
    <t>MADISON JUNIOR HIGH SCHOOL</t>
  </si>
  <si>
    <t>0250</t>
  </si>
  <si>
    <t>MADISON MIDDLE SCHOOL</t>
  </si>
  <si>
    <t>1468</t>
  </si>
  <si>
    <t>MADISON ONLINE ELEMENTARY</t>
  </si>
  <si>
    <t>0146</t>
  </si>
  <si>
    <t>MADISON SENIOR HIGH SCHOOL</t>
  </si>
  <si>
    <t>1225</t>
  </si>
  <si>
    <t>SOUTH FORK ELEMENTARY</t>
  </si>
  <si>
    <t>021</t>
  </si>
  <si>
    <t>MARSH VALLEY JOINT DISTRICT</t>
  </si>
  <si>
    <t>3021</t>
  </si>
  <si>
    <t>ADMINISTRATION BUILDING MARSH VALLEY JOINT DISTRICT</t>
  </si>
  <si>
    <t>0350</t>
  </si>
  <si>
    <t>DOWNEY ELEMENTARY SCHOOL</t>
  </si>
  <si>
    <t>0351</t>
  </si>
  <si>
    <t>INKOM ELEMENTARY SCHOOL</t>
  </si>
  <si>
    <t>0349</t>
  </si>
  <si>
    <t>LAVA ELEMENTARY SCHOOL</t>
  </si>
  <si>
    <t>0019</t>
  </si>
  <si>
    <t>MARSH VALLEY HIGH SCHOOL</t>
  </si>
  <si>
    <t>0018</t>
  </si>
  <si>
    <t>MARSH VALLEY MIDDLE SCHOOL</t>
  </si>
  <si>
    <t>0352</t>
  </si>
  <si>
    <t>363</t>
  </si>
  <si>
    <t>MARSING JOINT DISTRICT</t>
  </si>
  <si>
    <t>3363</t>
  </si>
  <si>
    <t>ADMINISTRATION BUILDING MARSING JOINT DISTRICT</t>
  </si>
  <si>
    <t>1054</t>
  </si>
  <si>
    <t>0799</t>
  </si>
  <si>
    <t>MARSING ELEMENTARY SCHOOL</t>
  </si>
  <si>
    <t>0157</t>
  </si>
  <si>
    <t>MARSING HIGH SCHOOL</t>
  </si>
  <si>
    <t>0530</t>
  </si>
  <si>
    <t>MARSING MIDDLE SCHOOL</t>
  </si>
  <si>
    <t>536</t>
  </si>
  <si>
    <t>MCCALL COMMUNITY SCHOOL, INC</t>
  </si>
  <si>
    <t>1434</t>
  </si>
  <si>
    <t>MOUNTAIN COMMUNITY SCHOOL</t>
  </si>
  <si>
    <t>421</t>
  </si>
  <si>
    <t>MCCALL-DONNELLY JT. SCHOOL DISTRICT</t>
  </si>
  <si>
    <t>3421</t>
  </si>
  <si>
    <t>ADMINISTRATION BUILDING MCCALL DONNELLY JT SCHOOL DISTRICT</t>
  </si>
  <si>
    <t>0837</t>
  </si>
  <si>
    <t>BARBARA R MORGAN ELEMENTARY</t>
  </si>
  <si>
    <t>0988</t>
  </si>
  <si>
    <t>DONNELLY ELEMENTARY</t>
  </si>
  <si>
    <t>1264</t>
  </si>
  <si>
    <t>HEARTLAND HIGH SCHOOL ALTERNATIVE</t>
  </si>
  <si>
    <t>0189</t>
  </si>
  <si>
    <t>MCCALL-DONNELLY HIGH SCHOOL</t>
  </si>
  <si>
    <t>0236</t>
  </si>
  <si>
    <t>PAYETTE LAKES MIDDLE SCHOOL</t>
  </si>
  <si>
    <t>011</t>
  </si>
  <si>
    <t>MEADOWS VALLEY DISTRICT</t>
  </si>
  <si>
    <t>3004</t>
  </si>
  <si>
    <t>ADMINISTRATION BUILDING MEADOWS VALLEY DISTRICT</t>
  </si>
  <si>
    <t>0342</t>
  </si>
  <si>
    <t>MEADOWS VALLEY SCHOOL</t>
  </si>
  <si>
    <t>136</t>
  </si>
  <si>
    <t>MELBA JOINT DISTRICT</t>
  </si>
  <si>
    <t>3136</t>
  </si>
  <si>
    <t>ADMINISTRATION BUILDING MELBA JOINT DISTRICT</t>
  </si>
  <si>
    <t>0455</t>
  </si>
  <si>
    <t>MELBA ELEMENTARY SCHOOL</t>
  </si>
  <si>
    <t>0070</t>
  </si>
  <si>
    <t>MELBA HIGH SCHOOL</t>
  </si>
  <si>
    <t>785</t>
  </si>
  <si>
    <t>MERIDIAN MEDICAL ARTS CHARTER HIGH SCHOOL, INC.</t>
  </si>
  <si>
    <t>0547</t>
  </si>
  <si>
    <t>MERIDIAN MEDICAL ARTS CHARTER</t>
  </si>
  <si>
    <t>768</t>
  </si>
  <si>
    <t>MERIDIAN TECHNICAL CHARTER HIGH SCHOOL, INC.</t>
  </si>
  <si>
    <t>0257</t>
  </si>
  <si>
    <t>MERIDIAN TECHNICAL CHARTER HIGH SCHOOL</t>
  </si>
  <si>
    <t>134</t>
  </si>
  <si>
    <t>MIDDLETON DISTRICT</t>
  </si>
  <si>
    <t>3134</t>
  </si>
  <si>
    <t>ADMINISTRATION BUILDING MIDDLETON DISTRICT</t>
  </si>
  <si>
    <t>1168</t>
  </si>
  <si>
    <t>MIDDLETON ACADEMY</t>
  </si>
  <si>
    <t>0500</t>
  </si>
  <si>
    <t>MIDDLETON HEIGHTS ELEMENTARY</t>
  </si>
  <si>
    <t>0068</t>
  </si>
  <si>
    <t>MIDDLETON HIGH SCHOOL</t>
  </si>
  <si>
    <t>0067</t>
  </si>
  <si>
    <t>MIDDLETON MIDDLE SCHOOL</t>
  </si>
  <si>
    <t>0453</t>
  </si>
  <si>
    <t>MIDDLETON MILL CREEK ELEMENTAR</t>
  </si>
  <si>
    <t>0628</t>
  </si>
  <si>
    <t>MIDDLETON SUMMER SCHOOL ALTERNATIVE</t>
  </si>
  <si>
    <t>0546</t>
  </si>
  <si>
    <t>PURPLE SAGE ELEMENTARY</t>
  </si>
  <si>
    <t>433</t>
  </si>
  <si>
    <t>MIDVALE DISTRICT</t>
  </si>
  <si>
    <t>4433</t>
  </si>
  <si>
    <t>ADMINISTRATION BUILDING MIDVALE DISTRICT</t>
  </si>
  <si>
    <t>1113</t>
  </si>
  <si>
    <t>MIDVALE ALTERNATIVE SCHOOL</t>
  </si>
  <si>
    <t>0286</t>
  </si>
  <si>
    <t>MIDVALE SCHOOL</t>
  </si>
  <si>
    <t>331</t>
  </si>
  <si>
    <t>MINIDOKA COUNTY JOINT DISTRICT</t>
  </si>
  <si>
    <t>0786</t>
  </si>
  <si>
    <t>ACEQUIA ELEMENTARY SCHOOL</t>
  </si>
  <si>
    <t>3331</t>
  </si>
  <si>
    <t>ADMINISTRATION BUILDING MINIDOKA COUNTY JOINT DISTRICT</t>
  </si>
  <si>
    <t>0148</t>
  </si>
  <si>
    <t>EAST MINICO MIDDLE SCHOOL</t>
  </si>
  <si>
    <t>0785</t>
  </si>
  <si>
    <t>HEYBURN ELEMENTARY SCHOOL</t>
  </si>
  <si>
    <t>1100</t>
  </si>
  <si>
    <t>MINI-CASSIA JUVENILE DET CTR</t>
  </si>
  <si>
    <t>1183</t>
  </si>
  <si>
    <t>MINI-CASSIA JUVENILE DETENTION-SUMMER</t>
  </si>
  <si>
    <t>MINICO SENIOR HIGH SCHOOL</t>
  </si>
  <si>
    <t>1495</t>
  </si>
  <si>
    <t>MINIDOKA JUNIOR HIGH ALTERNATIVE</t>
  </si>
  <si>
    <t>1046</t>
  </si>
  <si>
    <t>MT. HARRISON HIGH SCHOOL</t>
  </si>
  <si>
    <t>1133</t>
  </si>
  <si>
    <t>MT. HARRISON JR/SR HIGH SUMMER ALTERNATIVE</t>
  </si>
  <si>
    <t>0783</t>
  </si>
  <si>
    <t>PAUL ELEMENTARY SCHOOL</t>
  </si>
  <si>
    <t>1262</t>
  </si>
  <si>
    <t>PRESCHOOL CENTER</t>
  </si>
  <si>
    <t>0845</t>
  </si>
  <si>
    <t>RUPERT ELEMENTARY SCHOOL</t>
  </si>
  <si>
    <t>0149</t>
  </si>
  <si>
    <t>WEST MINICO MIDDLE SCHOOL</t>
  </si>
  <si>
    <t>474</t>
  </si>
  <si>
    <t>MONTICELLO MONTESSORI CHARTER SCHOOL, INC.</t>
  </si>
  <si>
    <t>1246</t>
  </si>
  <si>
    <t>MONTICELLO MONTESSORI CHARTER SCHOOL</t>
  </si>
  <si>
    <t>544</t>
  </si>
  <si>
    <t>MOSAICS PUBLIC SCHOOL, INC.</t>
  </si>
  <si>
    <t>1436</t>
  </si>
  <si>
    <t>MOSAICS PUBLIC SCHOOL</t>
  </si>
  <si>
    <t>813</t>
  </si>
  <si>
    <t>MOSCOW CHARTER SCHOOL, INC.</t>
  </si>
  <si>
    <t>0813</t>
  </si>
  <si>
    <t>MOSCOW CHARTER SCHOOL</t>
  </si>
  <si>
    <t>MOSCOW DISTRICT</t>
  </si>
  <si>
    <t>0756</t>
  </si>
  <si>
    <t>A.B. MC DONALD ELEMENTARY SCH</t>
  </si>
  <si>
    <t>3281</t>
  </si>
  <si>
    <t>ADMINISTRATION BUILDING MOSCOW DISTRICT</t>
  </si>
  <si>
    <t>0754</t>
  </si>
  <si>
    <t>LENA WHITMORE ELEMENTARY SCHOOL</t>
  </si>
  <si>
    <t>MOSCOW HIGH SCHOOL</t>
  </si>
  <si>
    <t>0129</t>
  </si>
  <si>
    <t>MOSCOW MIDDLE SCHOOL</t>
  </si>
  <si>
    <t>0612</t>
  </si>
  <si>
    <t>PARADISE CREEK REGIONAL HIGH SCHOOL ALTERNATIVE</t>
  </si>
  <si>
    <t>0755</t>
  </si>
  <si>
    <t>WEST PARK ELEMENTARY SCHOOL</t>
  </si>
  <si>
    <t>193</t>
  </si>
  <si>
    <t>MOUNTAIN HOME DISTRICT</t>
  </si>
  <si>
    <t>3193</t>
  </si>
  <si>
    <t>ADMINISTRATION BUILDING MOUNTAIN HOME DISTRICT</t>
  </si>
  <si>
    <t>1317</t>
  </si>
  <si>
    <t>BENNETT MOUNTAIN HIGH SCHOOL</t>
  </si>
  <si>
    <t>0494</t>
  </si>
  <si>
    <t>EAST ELEMENTARY SCHOOL</t>
  </si>
  <si>
    <t>0556</t>
  </si>
  <si>
    <t>HACKER MIDDLE SCHOOL</t>
  </si>
  <si>
    <t>0093</t>
  </si>
  <si>
    <t>MOUNTAIN HOME JUNIOR HIGH SCH</t>
  </si>
  <si>
    <t>1305</t>
  </si>
  <si>
    <t>MOUNTAIN HOME SD SUMMER ALTERNATIVE</t>
  </si>
  <si>
    <t>0095</t>
  </si>
  <si>
    <t>MOUNTAIN HOME SR HIGH SCHOOL</t>
  </si>
  <si>
    <t>0495</t>
  </si>
  <si>
    <t>NORTH ELEMENTARY SCHOOL</t>
  </si>
  <si>
    <t>0502</t>
  </si>
  <si>
    <t>STEPHENSEN ELEMENTARY SCHOOL</t>
  </si>
  <si>
    <t>1494</t>
  </si>
  <si>
    <t>TIGER LEARN PROGRAM</t>
  </si>
  <si>
    <t>0493</t>
  </si>
  <si>
    <t>WEST ELEMENTARY SCHOOL</t>
  </si>
  <si>
    <t>MOUNTAIN VIEW SCHOOL DISTRICT</t>
  </si>
  <si>
    <t>3241</t>
  </si>
  <si>
    <t>ADMINISTRATION BUILDING MOUNTAIN VIEW SCHOOL DISTRICT</t>
  </si>
  <si>
    <t>1285</t>
  </si>
  <si>
    <t>CLEARWATER VALLEY ELEMENTARY</t>
  </si>
  <si>
    <t>1283</t>
  </si>
  <si>
    <t>CLEARWATER VALLEY JR-SR</t>
  </si>
  <si>
    <t>1287</t>
  </si>
  <si>
    <t>ELK CITY SCHOOL</t>
  </si>
  <si>
    <t>1286</t>
  </si>
  <si>
    <t>GRANGEVILLE ELEM/MIDDLE SCHOOL</t>
  </si>
  <si>
    <t>1284</t>
  </si>
  <si>
    <t>GRANGEVILLE HIGH SCHOOL</t>
  </si>
  <si>
    <t>392</t>
  </si>
  <si>
    <t>MULLAN DISTRICT</t>
  </si>
  <si>
    <t>3392</t>
  </si>
  <si>
    <t>ADMINISTRATION BUILDING MULLAN DISTRICT</t>
  </si>
  <si>
    <t>0172</t>
  </si>
  <si>
    <t>MULLAN JR-SR HIGH SCHOOL</t>
  </si>
  <si>
    <t>418</t>
  </si>
  <si>
    <t>MURTAUGH JOINT DISTRICT</t>
  </si>
  <si>
    <t>ADMINISTRATION BUILDING MURTAUGH JOINT DISTRICT</t>
  </si>
  <si>
    <t>1344</t>
  </si>
  <si>
    <t>MURTAUGH SCHOOLS</t>
  </si>
  <si>
    <t>131</t>
  </si>
  <si>
    <t>NAMPA SCHOOL DISTRICT</t>
  </si>
  <si>
    <t>3131</t>
  </si>
  <si>
    <t>ADMINISTRATION BUILDING NAMPA SCHOOL DISTRICT</t>
  </si>
  <si>
    <t>0447</t>
  </si>
  <si>
    <t>CENTRAL ELEMENTARY</t>
  </si>
  <si>
    <t>0638</t>
  </si>
  <si>
    <t>COLUMBIA HIGH SCHOOL</t>
  </si>
  <si>
    <t>1109</t>
  </si>
  <si>
    <t>EAST VALLEY MIDDLE SCHOOL</t>
  </si>
  <si>
    <t>0890</t>
  </si>
  <si>
    <t>ENDEAVOR ELEMENTARY SCHOOL</t>
  </si>
  <si>
    <t>0567</t>
  </si>
  <si>
    <t>IDAHO CENTER OF ADV TECHNOLOGY</t>
  </si>
  <si>
    <t>0213</t>
  </si>
  <si>
    <t>IOWA ELEMENTARY</t>
  </si>
  <si>
    <t>0647</t>
  </si>
  <si>
    <t>LAKE RIDGE ELEMENTARY</t>
  </si>
  <si>
    <t>0648</t>
  </si>
  <si>
    <t>LONE STAR MIDDLE SCHOOL</t>
  </si>
  <si>
    <t>1510</t>
  </si>
  <si>
    <t>NAMPA ACADEMY</t>
  </si>
  <si>
    <t>0600</t>
  </si>
  <si>
    <t>NAMPA EARLY CHILDHOOD CENTER</t>
  </si>
  <si>
    <t>1123</t>
  </si>
  <si>
    <t>NAMPA MIDDLE SCHOOL SUMMER ALTERNATIVES</t>
  </si>
  <si>
    <t>1448</t>
  </si>
  <si>
    <t>NAMPA ONLINE VIRTUAL ACADEMY</t>
  </si>
  <si>
    <t>0998</t>
  </si>
  <si>
    <t>NAMPA SENIOR HIGH SCHOOL</t>
  </si>
  <si>
    <t>1124</t>
  </si>
  <si>
    <t>NAMPA SUMMER HIGH SCHOOL ALTERNATIVES</t>
  </si>
  <si>
    <t>2889</t>
  </si>
  <si>
    <t>NEW HORIZON MAGNET SCHOOL</t>
  </si>
  <si>
    <t>0527</t>
  </si>
  <si>
    <t>0215</t>
  </si>
  <si>
    <t>PARK RIDGE ELEMENTARY</t>
  </si>
  <si>
    <t>0528</t>
  </si>
  <si>
    <t>REAGAN ELEMENTARY SCHOOL</t>
  </si>
  <si>
    <t>0529</t>
  </si>
  <si>
    <t>0214</t>
  </si>
  <si>
    <t>SHERMAN ELEMENTARY</t>
  </si>
  <si>
    <t>0994</t>
  </si>
  <si>
    <t>SKYVIEW HIGH SCHOOL</t>
  </si>
  <si>
    <t>0062</t>
  </si>
  <si>
    <t>SOUTH MIDDLE SCHOOL</t>
  </si>
  <si>
    <t>1154</t>
  </si>
  <si>
    <t>0581</t>
  </si>
  <si>
    <t>WILLOW CREEK ELEMENTARY</t>
  </si>
  <si>
    <t>372</t>
  </si>
  <si>
    <t>NEW PLYMOUTH DISTRICT</t>
  </si>
  <si>
    <t>3372</t>
  </si>
  <si>
    <t>ADMINISTRATION BUILDING NEW PLYMOUTH DISTRICT</t>
  </si>
  <si>
    <t>0806</t>
  </si>
  <si>
    <t>NEW PLYMOUTH ELEMENTARY</t>
  </si>
  <si>
    <t>0164</t>
  </si>
  <si>
    <t>NEW PLYMOUTH HIGH SCHOOL</t>
  </si>
  <si>
    <t>0986</t>
  </si>
  <si>
    <t>NEW PLYMOUTH MIDDLE SCHOOL</t>
  </si>
  <si>
    <t>1240</t>
  </si>
  <si>
    <t>NEW PLYMOUTH SUMMER SCHOOL</t>
  </si>
  <si>
    <t>302</t>
  </si>
  <si>
    <t>NEZPERCE JOINT DISTRICT</t>
  </si>
  <si>
    <t>0272</t>
  </si>
  <si>
    <t>NEZPERCE SCHOOL</t>
  </si>
  <si>
    <t>149</t>
  </si>
  <si>
    <t>NORTH GEM DISTRICT</t>
  </si>
  <si>
    <t>3013</t>
  </si>
  <si>
    <t>ADMINISTRATION BUILDING NORTH GEM DISTRICT</t>
  </si>
  <si>
    <t>0464</t>
  </si>
  <si>
    <t>NORTH GEM ELEMENTARY</t>
  </si>
  <si>
    <t>0077</t>
  </si>
  <si>
    <t>NORTH GEM HIGH SCHOOL</t>
  </si>
  <si>
    <t>1401</t>
  </si>
  <si>
    <t>NORTH GEM MIDDLE SCHOOL</t>
  </si>
  <si>
    <t>480</t>
  </si>
  <si>
    <t>NORTH IDAHO STEM CHARTER ACADEMY, INC.</t>
  </si>
  <si>
    <t>1342</t>
  </si>
  <si>
    <t>NORTH IDAHO STEM CHARTER ACADEMY</t>
  </si>
  <si>
    <t>493</t>
  </si>
  <si>
    <t>NORTH STAR CHARTER SCHOOL, INC.</t>
  </si>
  <si>
    <t>1371</t>
  </si>
  <si>
    <t>NORTH STAR CHARTER SCHOOL</t>
  </si>
  <si>
    <t>465</t>
  </si>
  <si>
    <t>NORTH VALLEY ACADEMY, INC.</t>
  </si>
  <si>
    <t>0653</t>
  </si>
  <si>
    <t>NORTH VALLEY ACADEMY</t>
  </si>
  <si>
    <t>135</t>
  </si>
  <si>
    <t>NOTUS DISTRICT</t>
  </si>
  <si>
    <t>3011</t>
  </si>
  <si>
    <t>ADMINISTRATION BUILDING NOTUS DISTRICT</t>
  </si>
  <si>
    <t>1023</t>
  </si>
  <si>
    <t>0520</t>
  </si>
  <si>
    <t>NOTUS ELEMENTARY SCHOOL</t>
  </si>
  <si>
    <t>0234</t>
  </si>
  <si>
    <t>NOTUS JR-SR HIGH SCHOOL</t>
  </si>
  <si>
    <t>351</t>
  </si>
  <si>
    <t>ONEIDA COUNTY DISTRICT</t>
  </si>
  <si>
    <t>3029</t>
  </si>
  <si>
    <t>ADMINISTRATION BUILDING ONEIDA COUNTY DISTRICT</t>
  </si>
  <si>
    <t>0798</t>
  </si>
  <si>
    <t>MALAD ELEMENTARY SCHOOL</t>
  </si>
  <si>
    <t>0618</t>
  </si>
  <si>
    <t>MALAD MIDDLE SCHOOL</t>
  </si>
  <si>
    <t>0156</t>
  </si>
  <si>
    <t>MALAD SENIOR HIGH SCHOOL</t>
  </si>
  <si>
    <t>0797</t>
  </si>
  <si>
    <t>STONE ELEMENTARY SCHOOL</t>
  </si>
  <si>
    <t>171</t>
  </si>
  <si>
    <t>OROFINO JOINT DISTRICT</t>
  </si>
  <si>
    <t>3171</t>
  </si>
  <si>
    <t>ADMINISTRATION BUILDING OROFINO JOINT DISTRICT</t>
  </si>
  <si>
    <t>0481</t>
  </si>
  <si>
    <t>CAVENDISH-TEAKEAN ELEM SCHOOL</t>
  </si>
  <si>
    <t>1362</t>
  </si>
  <si>
    <t>IDAHO YOUTH CHALLENGE ACADEMY FALL ALTERNATIVE</t>
  </si>
  <si>
    <t>1361</t>
  </si>
  <si>
    <t>IDAHO YOUTH CHALLENGE ACADEMY SPRING ALTERNATIVE</t>
  </si>
  <si>
    <t>0479</t>
  </si>
  <si>
    <t>OROFINO ELEMENTARY SCHOOL</t>
  </si>
  <si>
    <t>0088</t>
  </si>
  <si>
    <t>OROFINO HIGH SCHOOL</t>
  </si>
  <si>
    <t>0482</t>
  </si>
  <si>
    <t>PECK ELEMENTARY SCHOOL</t>
  </si>
  <si>
    <t>2520</t>
  </si>
  <si>
    <t>TIMBERLINE ELEMENTARY</t>
  </si>
  <si>
    <t>0087</t>
  </si>
  <si>
    <t>472</t>
  </si>
  <si>
    <t>PALOUSE PRAIRIE EDUCATIONAL ORGANIZATION, INC.</t>
  </si>
  <si>
    <t>1234</t>
  </si>
  <si>
    <t>PALOUSE PRAIRIE CHARTER SCHOOL</t>
  </si>
  <si>
    <t>137</t>
  </si>
  <si>
    <t>PARMA DISTRICT</t>
  </si>
  <si>
    <t>3137</t>
  </si>
  <si>
    <t>ADMINISTRATION BUILDING PARMA DISTRICT</t>
  </si>
  <si>
    <t>1024</t>
  </si>
  <si>
    <t>0456</t>
  </si>
  <si>
    <t>MAXINE JOHNSON ELEMENTARY</t>
  </si>
  <si>
    <t>0072</t>
  </si>
  <si>
    <t>PARMA HIGH SCHOOL</t>
  </si>
  <si>
    <t>0282</t>
  </si>
  <si>
    <t>PARMA MIDDLE SCHOOL</t>
  </si>
  <si>
    <t>497</t>
  </si>
  <si>
    <t>PATHWAYS IN EDUCATION - NAMPA, INC.</t>
  </si>
  <si>
    <t>1398</t>
  </si>
  <si>
    <t>PATHWAYS IN EDUCATION: NAMPA</t>
  </si>
  <si>
    <t>642</t>
  </si>
  <si>
    <t>PATHWAYS IN EDUCATION - WEST ADA</t>
  </si>
  <si>
    <t>1515</t>
  </si>
  <si>
    <t>371</t>
  </si>
  <si>
    <t>PAYETTE JOINT DISTRICT</t>
  </si>
  <si>
    <t>3371</t>
  </si>
  <si>
    <t>ADMINISTRATION BUILDING PAYETTE JOINT DISTRICT</t>
  </si>
  <si>
    <t>MC CAIN MIDDLE SCHOOL</t>
  </si>
  <si>
    <t>1093</t>
  </si>
  <si>
    <t>PAYETTE ALTERNATIVE SUMMER SCHOOL</t>
  </si>
  <si>
    <t>0162</t>
  </si>
  <si>
    <t>PAYETTE HIGH SCHOOL</t>
  </si>
  <si>
    <t>0508</t>
  </si>
  <si>
    <t>PAYETTE PRIMARY SCHOOL</t>
  </si>
  <si>
    <t>1453</t>
  </si>
  <si>
    <t>PAYETTE ACADEMY</t>
  </si>
  <si>
    <t>1400</t>
  </si>
  <si>
    <t>TREASURE VALLEY TECH (TVT) - IDAHO</t>
  </si>
  <si>
    <t>794</t>
  </si>
  <si>
    <t>PAYETTE RIVER TECHNICAL ACADEMY, INC.</t>
  </si>
  <si>
    <t>1249</t>
  </si>
  <si>
    <t>PAYETTE RIVER TECHNICAL ACADEMY</t>
  </si>
  <si>
    <t>511</t>
  </si>
  <si>
    <t>PEACE VALLEY CHARTER SCHOOL, INC.</t>
  </si>
  <si>
    <t>1412</t>
  </si>
  <si>
    <t>PEACE VALLEY CHARTER SCHOOL</t>
  </si>
  <si>
    <t>553</t>
  </si>
  <si>
    <t>PINECREST ACADEMY OF IDAHO, INC.</t>
  </si>
  <si>
    <t>1444</t>
  </si>
  <si>
    <t>PINECREST ACADEMY OF IDAHO</t>
  </si>
  <si>
    <t>618</t>
  </si>
  <si>
    <t>PINECREST ACADEMY OF LEWISTON, INC</t>
  </si>
  <si>
    <t>1503</t>
  </si>
  <si>
    <t>PINECREST ACADEMY OF LEWISTON</t>
  </si>
  <si>
    <t>364</t>
  </si>
  <si>
    <t>PLEASANT VALLEY ELEM DIST</t>
  </si>
  <si>
    <t>3364</t>
  </si>
  <si>
    <t>ADMINISTRATION BUILDING PLEASANT VALLEY ELEM DIST</t>
  </si>
  <si>
    <t>1055</t>
  </si>
  <si>
    <t>BORDER DISTRICT - JORDAN VALLEY ELEMENTARY</t>
  </si>
  <si>
    <t>1056</t>
  </si>
  <si>
    <t>BORDER DISTRICT - JORDAN VALLEY SECONDARY</t>
  </si>
  <si>
    <t>0800</t>
  </si>
  <si>
    <t>PLEASANT VALLEY ELEM-JR HIGH</t>
  </si>
  <si>
    <t>044</t>
  </si>
  <si>
    <t>PLUMMER-WORLEY JOINT DISTRICT</t>
  </si>
  <si>
    <t>3044</t>
  </si>
  <si>
    <t>ADMINISTRATION BUILDING PLUMMER-WORLEY JOINT DISTRICT</t>
  </si>
  <si>
    <t>0752</t>
  </si>
  <si>
    <t>LAKESIDE ELEMENTARY SCHOOL</t>
  </si>
  <si>
    <t>0030</t>
  </si>
  <si>
    <t>LAKESIDE HIGH SCHOOL</t>
  </si>
  <si>
    <t>0128</t>
  </si>
  <si>
    <t>LAKESIDE MIDDLE SCHOOL</t>
  </si>
  <si>
    <t>POCATELLO DISTRICT</t>
  </si>
  <si>
    <t>ADMINISTRATION BUILDING POCATELLO DISTRICT</t>
  </si>
  <si>
    <t>0023</t>
  </si>
  <si>
    <t>ALAMEDA MIDDLE SCHOOL</t>
  </si>
  <si>
    <t>0956</t>
  </si>
  <si>
    <t>CENTURY HIGH SCHOOL</t>
  </si>
  <si>
    <t>0356</t>
  </si>
  <si>
    <t>CHUBBUCK ELEMENTARY SCHOOL</t>
  </si>
  <si>
    <t>0362</t>
  </si>
  <si>
    <t>CLAUDE A WILCOX ELEM SCHOOL</t>
  </si>
  <si>
    <t>1142</t>
  </si>
  <si>
    <t>DISTRICT #25 ALTERNATIVE SUMMER SCHOOL AT NEW HORIZONS</t>
  </si>
  <si>
    <t>0353</t>
  </si>
  <si>
    <t>EDAHOW ELEMENTARY SCHOOL</t>
  </si>
  <si>
    <t>0020</t>
  </si>
  <si>
    <t>FRANKLIN MIDDLE SCHOOL</t>
  </si>
  <si>
    <t>0357</t>
  </si>
  <si>
    <t>GATE CITY ELEMENTARY SCHOOL</t>
  </si>
  <si>
    <t>0565</t>
  </si>
  <si>
    <t>0354</t>
  </si>
  <si>
    <t>GREENACRES ELEMENTARY SCHOOL</t>
  </si>
  <si>
    <t>0021</t>
  </si>
  <si>
    <t>HAWTHORNE MIDDLE SCHOOL</t>
  </si>
  <si>
    <t>0025</t>
  </si>
  <si>
    <t>HIGHLAND HIGH SCHOOL</t>
  </si>
  <si>
    <t>0355</t>
  </si>
  <si>
    <t>INDIAN HILLS ELEMENTARY SCHOOL</t>
  </si>
  <si>
    <t>0022</t>
  </si>
  <si>
    <t>IRVING MIDDLE SCHOOL</t>
  </si>
  <si>
    <t>0365</t>
  </si>
  <si>
    <t>0368</t>
  </si>
  <si>
    <t>LEWIS &amp; CLARK ELEMENTARY SCH</t>
  </si>
  <si>
    <t>9033</t>
  </si>
  <si>
    <t>LINCOLN PRESCHOOL CENTER</t>
  </si>
  <si>
    <t>1141</t>
  </si>
  <si>
    <t>0024</t>
  </si>
  <si>
    <t>POCATELLO HIGH SCHOOL</t>
  </si>
  <si>
    <t>9034</t>
  </si>
  <si>
    <t>POCATELLO JUVENILE DETENTION</t>
  </si>
  <si>
    <t>1176</t>
  </si>
  <si>
    <t>POCATELLO JUVENILE DETENTION-SUMMER</t>
  </si>
  <si>
    <t>1204</t>
  </si>
  <si>
    <t xml:space="preserve">POCATELLO MIDDLE ALTERNATIVE SUMMER SCHOOL </t>
  </si>
  <si>
    <t>1120</t>
  </si>
  <si>
    <t>POCATELLO SUMMER ALTERNATIVE HIGH SCHOOL</t>
  </si>
  <si>
    <t>0358</t>
  </si>
  <si>
    <t>RULON M ELLIS ELEM SCHOOL</t>
  </si>
  <si>
    <t>0361</t>
  </si>
  <si>
    <t>SYRINGA ELEMENTARY SCHOOL</t>
  </si>
  <si>
    <t>0366</t>
  </si>
  <si>
    <t>TENDOY ELEMENTARY SCHOOL</t>
  </si>
  <si>
    <t>0360</t>
  </si>
  <si>
    <t>TYHEE ELEMENTARY SCHOOL</t>
  </si>
  <si>
    <t>0359</t>
  </si>
  <si>
    <t>POST FALLS DISTRICT</t>
  </si>
  <si>
    <t>3273</t>
  </si>
  <si>
    <t>ADMINISTRATION BUILDING POST FALLS DISTRICT</t>
  </si>
  <si>
    <t>0750</t>
  </si>
  <si>
    <t>FREDERICK POST KINDER CENTER</t>
  </si>
  <si>
    <t>1388</t>
  </si>
  <si>
    <t>GREENSFERRY ELEMENTARY SCHOOL</t>
  </si>
  <si>
    <t>0253</t>
  </si>
  <si>
    <t>MULLAN TRAIL ELEMENTARY SCHOOL</t>
  </si>
  <si>
    <t>1084</t>
  </si>
  <si>
    <t>NEW VISION HIGH SCHOOL ALTERNATIVE</t>
  </si>
  <si>
    <t>0748</t>
  </si>
  <si>
    <t>0126</t>
  </si>
  <si>
    <t>POST FALLS HIGH SCHOOL</t>
  </si>
  <si>
    <t>1188</t>
  </si>
  <si>
    <t>POST FALLS HIGH SCHOOL / RIVER CITY MIDDLE SCHOOL SUMMER ALTERNATIVE</t>
  </si>
  <si>
    <t>0125</t>
  </si>
  <si>
    <t>POST FALLS MIDDLE SCHOOL</t>
  </si>
  <si>
    <t>0736</t>
  </si>
  <si>
    <t>PRAIRIE VIEW ELEMENTARY</t>
  </si>
  <si>
    <t>0268</t>
  </si>
  <si>
    <t>RIVER CITY MIDDLE SCHOOL</t>
  </si>
  <si>
    <t>0749</t>
  </si>
  <si>
    <t>SELTICE ELEMENTARY SCHOOL</t>
  </si>
  <si>
    <t>1445</t>
  </si>
  <si>
    <t>TREATY ROCK ELEMENTARY</t>
  </si>
  <si>
    <t>2517</t>
  </si>
  <si>
    <t>WEST RIDGE ELEMENTARY SCHOOL</t>
  </si>
  <si>
    <t>POTLATCH DISTRICT</t>
  </si>
  <si>
    <t>3024</t>
  </si>
  <si>
    <t>ADMINISTRATION BUILDING POTLATCH DISTRICT</t>
  </si>
  <si>
    <t>0762</t>
  </si>
  <si>
    <t>POTLATCH ELEMENTARY SCHOOL</t>
  </si>
  <si>
    <t>0135</t>
  </si>
  <si>
    <t>POTLATCH JR-SR HIGH SCHOOL</t>
  </si>
  <si>
    <t>191</t>
  </si>
  <si>
    <t>PRAIRIE ELEMENTARY DISTRICT</t>
  </si>
  <si>
    <t>3191</t>
  </si>
  <si>
    <t>ADMINISTRATION BUILDING PRAIRIE ELEMENTARY DISTRICT</t>
  </si>
  <si>
    <t>0491</t>
  </si>
  <si>
    <t>PRAIRIE ELEM-JR HIGH SCHOOL</t>
  </si>
  <si>
    <t>201</t>
  </si>
  <si>
    <t>PRESTON JOINT DISTRICT</t>
  </si>
  <si>
    <t>3201</t>
  </si>
  <si>
    <t>ADMINISTRATION BUILDING PRESTON JOINT DISTRICT</t>
  </si>
  <si>
    <t>1170</t>
  </si>
  <si>
    <t>FRANKLIN COUNTY HIGH SCHOOL SUMMER</t>
  </si>
  <si>
    <t>8844</t>
  </si>
  <si>
    <t>FRANKLIN COUNTY HIGH SCHOOOL</t>
  </si>
  <si>
    <t>0497</t>
  </si>
  <si>
    <t>OAKWOOD ELEMENTARY SCHOOL</t>
  </si>
  <si>
    <t>0499</t>
  </si>
  <si>
    <t>PIONEER ELEMENTARY SCHOOL</t>
  </si>
  <si>
    <t>0096</t>
  </si>
  <si>
    <t>PRESTON HIGH SCHOOL</t>
  </si>
  <si>
    <t>0291</t>
  </si>
  <si>
    <t>PRESTON JR HIGH SCHOOL</t>
  </si>
  <si>
    <t>1278</t>
  </si>
  <si>
    <t>PRESTON JUNIOR HIGH SCHOOL SUMMER ALTERNATIVE</t>
  </si>
  <si>
    <t>513</t>
  </si>
  <si>
    <t>PROJECT IMPACT STEM ACADEMY, INC.</t>
  </si>
  <si>
    <t>1413</t>
  </si>
  <si>
    <t>PROJECT IMPACT STEM ACADEMY</t>
  </si>
  <si>
    <t>619</t>
  </si>
  <si>
    <t>PROMISE ACADEMY, INC</t>
  </si>
  <si>
    <t>1504</t>
  </si>
  <si>
    <t>PROMISE ACADEMY</t>
  </si>
  <si>
    <t>316</t>
  </si>
  <si>
    <t>RICHFIELD DISTRICT</t>
  </si>
  <si>
    <t>ADMINISTRATION BUILDING RICHFIELD DISTRICT</t>
  </si>
  <si>
    <t>0144</t>
  </si>
  <si>
    <t>RICHFIELD SCHOOL</t>
  </si>
  <si>
    <t>RIRIE JOINT DISTRICT</t>
  </si>
  <si>
    <t>3252</t>
  </si>
  <si>
    <t>ADMINISTRATION BUILDING RIRIE JOINT DISTRICT</t>
  </si>
  <si>
    <t>0229</t>
  </si>
  <si>
    <t>RIRIE ELEMENTARY SCHOOL</t>
  </si>
  <si>
    <t>0228</t>
  </si>
  <si>
    <t>RIRIE JR/SR HIGH SCHOOL</t>
  </si>
  <si>
    <t>562</t>
  </si>
  <si>
    <t>RISE CHARTER SCHOOL, INC.</t>
  </si>
  <si>
    <t>1461</t>
  </si>
  <si>
    <t>RISE CHARTER SCHOOL</t>
  </si>
  <si>
    <t>382</t>
  </si>
  <si>
    <t>ROCKLAND DISTRICT</t>
  </si>
  <si>
    <t>3382</t>
  </si>
  <si>
    <t>ADMINISTRATION BUILDING ROCKLAND DISTRICT</t>
  </si>
  <si>
    <t>0169</t>
  </si>
  <si>
    <t>ROCKLAND PUBLIC SCHOOL</t>
  </si>
  <si>
    <t>454</t>
  </si>
  <si>
    <t>ROLLING HILLS PUBLIC CHARTER SCHOOL, INC.</t>
  </si>
  <si>
    <t>0574</t>
  </si>
  <si>
    <t>ROLLING HILLS PUBLIC CHARTER</t>
  </si>
  <si>
    <t>528</t>
  </si>
  <si>
    <t>SAGE INTERNATIONAL SCHOOL MIDDLETON, LLC</t>
  </si>
  <si>
    <t>1422</t>
  </si>
  <si>
    <t>SAGE INTERNATIONAL SCHOOL MIDDLETON</t>
  </si>
  <si>
    <t>291</t>
  </si>
  <si>
    <t>SALMON DISTRICT</t>
  </si>
  <si>
    <t>3291</t>
  </si>
  <si>
    <t>ADMINISTRATION BUILDING SALMON DISTRICT</t>
  </si>
  <si>
    <t>1268</t>
  </si>
  <si>
    <t>C D C</t>
  </si>
  <si>
    <t>9014</t>
  </si>
  <si>
    <t>SALMON ALTERNATIVE HIGH SCHOOL</t>
  </si>
  <si>
    <t>2521</t>
  </si>
  <si>
    <t>SALMON ALTERNATIVE SUMMER SCHOOL</t>
  </si>
  <si>
    <t>0136</t>
  </si>
  <si>
    <t>SALMON JR./SR. HIGH SCHOOL</t>
  </si>
  <si>
    <t>1181</t>
  </si>
  <si>
    <t>SALMON JUVENILE DETENTION (SUMMER)</t>
  </si>
  <si>
    <t>1153</t>
  </si>
  <si>
    <t>SALMON JUVENILE DETENTION CTR</t>
  </si>
  <si>
    <t>0764</t>
  </si>
  <si>
    <t>SALMON PIONEER PRIMARY SCHOOL</t>
  </si>
  <si>
    <t>SALMON RIVER JOINT SCHOOL DIST</t>
  </si>
  <si>
    <t>3036</t>
  </si>
  <si>
    <t>ADMINISTRATION BUILDING SALMON RIVER JOINT SCHOOL DIST</t>
  </si>
  <si>
    <t>1280</t>
  </si>
  <si>
    <t>RIGGINS ELEMENTARY SCHOOL</t>
  </si>
  <si>
    <t>1281</t>
  </si>
  <si>
    <t>SALMON RIVER JR-SR HIGH SCHOOL</t>
  </si>
  <si>
    <t>487</t>
  </si>
  <si>
    <t>SANDPOINT CHARTER SCHOOL, INC.</t>
  </si>
  <si>
    <t>1365</t>
  </si>
  <si>
    <t>FORREST M. BIRD CHARTER SCHOOL</t>
  </si>
  <si>
    <t>SHELLEY JOINT DISTRICT</t>
  </si>
  <si>
    <t>3060</t>
  </si>
  <si>
    <t>ADMINISTRATION BUILDING SHELLEY JOINT DISTRICT</t>
  </si>
  <si>
    <t>1481</t>
  </si>
  <si>
    <t>DEAN GOODSELL ELEMENTARY</t>
  </si>
  <si>
    <t>0039</t>
  </si>
  <si>
    <t>DONALD J HOBBS MIDDLE SCHOOL</t>
  </si>
  <si>
    <t>0392</t>
  </si>
  <si>
    <t>HAZEL STUART ELEMENTARY SCHOOL</t>
  </si>
  <si>
    <t>1251</t>
  </si>
  <si>
    <t xml:space="preserve">RIVERVIEW ELEMENTARY SCHOOL   </t>
  </si>
  <si>
    <t>0035</t>
  </si>
  <si>
    <t>SHELLEY SENIOR HIGH SCHOOL</t>
  </si>
  <si>
    <t>1479</t>
  </si>
  <si>
    <t>SHELLEY WORK BASED ACADEMY</t>
  </si>
  <si>
    <t>0391</t>
  </si>
  <si>
    <t>SUNRISE ELEMENTARY SCHOOL</t>
  </si>
  <si>
    <t>312</t>
  </si>
  <si>
    <t>SHOSHONE JOINT DISTRICT</t>
  </si>
  <si>
    <t>3312</t>
  </si>
  <si>
    <t>ADMINISTRATION BUILDING SHOSHONE JOINT DISTRICT</t>
  </si>
  <si>
    <t>0846</t>
  </si>
  <si>
    <t>HIGH DESERT ALTERNATIVE</t>
  </si>
  <si>
    <t>0770</t>
  </si>
  <si>
    <t>SHOSHONE ELEMENTARY SCHOOL</t>
  </si>
  <si>
    <t>0295</t>
  </si>
  <si>
    <t>SHOSHONE HIGH SCHOOL</t>
  </si>
  <si>
    <t>0294</t>
  </si>
  <si>
    <t>SHOSHONE MIDDLE SCHOOL</t>
  </si>
  <si>
    <t>052</t>
  </si>
  <si>
    <t>SNAKE RIVER DISTRICT</t>
  </si>
  <si>
    <t>3052</t>
  </si>
  <si>
    <t>ADMINISTRATION BUILDING SNAKE RIVER DISTRICT</t>
  </si>
  <si>
    <t>0377</t>
  </si>
  <si>
    <t>MORELAND ELEMENTARY SCHOOL</t>
  </si>
  <si>
    <t>0376</t>
  </si>
  <si>
    <t>0378</t>
  </si>
  <si>
    <t>ROCKFORD ELEMENTARY SCHOOL</t>
  </si>
  <si>
    <t>0032</t>
  </si>
  <si>
    <t>SNAKE RIVER HIGH SCHOOL</t>
  </si>
  <si>
    <t>0031</t>
  </si>
  <si>
    <t>SNAKE RIVER JR HIGH SCHOOL</t>
  </si>
  <si>
    <t>0380</t>
  </si>
  <si>
    <t>SNAKE RIVER MIDDLE SCHOOL</t>
  </si>
  <si>
    <t>1451</t>
  </si>
  <si>
    <t>SNAKE RIVER ONLINE</t>
  </si>
  <si>
    <t>1498</t>
  </si>
  <si>
    <t>SNAKE RIVER OPPORTUNITIES ALTERNATIVE HIGH SCHOOL</t>
  </si>
  <si>
    <t>1507</t>
  </si>
  <si>
    <t>SNAKE RIVER OPPORTUNITIES ALTERNATIVE HIGH SCHOOL SUMMER</t>
  </si>
  <si>
    <t>1484</t>
  </si>
  <si>
    <t>SNAKE RIVER OPPORTUNITIES HIGH SCHOOL</t>
  </si>
  <si>
    <t>150</t>
  </si>
  <si>
    <t>SODA SPRINGS JOINT DISTRICT</t>
  </si>
  <si>
    <t>3150</t>
  </si>
  <si>
    <t>ADMINISTRATION BUILDING SODA SPRINGS JOINT DISTRICT</t>
  </si>
  <si>
    <t>1025</t>
  </si>
  <si>
    <t>BORDER DISTRICT - FREEDOM ELEMENTARY</t>
  </si>
  <si>
    <t>1026</t>
  </si>
  <si>
    <t xml:space="preserve">BORDER DISTRICT - FREEDOM SECONDARY </t>
  </si>
  <si>
    <t>1496</t>
  </si>
  <si>
    <t>CTE PREP SCHOOL</t>
  </si>
  <si>
    <t>1508</t>
  </si>
  <si>
    <t>CTE PREP SCHOOL SUMMER</t>
  </si>
  <si>
    <t>0466</t>
  </si>
  <si>
    <t>HOWARD E THIRKILL PRIMARY SCHOOL</t>
  </si>
  <si>
    <t>0079</t>
  </si>
  <si>
    <t>SODA SPRINGS HIGH SCHOOL</t>
  </si>
  <si>
    <t>0078</t>
  </si>
  <si>
    <t>TIGERT MIDDLE SCHOOL</t>
  </si>
  <si>
    <t>292</t>
  </si>
  <si>
    <t>SOUTH LEMHI DISTRICT</t>
  </si>
  <si>
    <t>3292</t>
  </si>
  <si>
    <t>ADMINISTRATION BUILDING SOUTH LEMHI DISTRICT</t>
  </si>
  <si>
    <t>0137</t>
  </si>
  <si>
    <t>LEADORE SCHOOL</t>
  </si>
  <si>
    <t>0765</t>
  </si>
  <si>
    <t>041</t>
  </si>
  <si>
    <t>ST MARIES JOINT DISTRICT</t>
  </si>
  <si>
    <t>3041</t>
  </si>
  <si>
    <t>ADMINISTRATION BUILDING ST MARIES JOINT DISTRICT</t>
  </si>
  <si>
    <t>0254</t>
  </si>
  <si>
    <t>0029</t>
  </si>
  <si>
    <t>ST MARIES HIGH SCHOOL</t>
  </si>
  <si>
    <t>0028</t>
  </si>
  <si>
    <t>ST MARIES MIDDLE SCHOOL</t>
  </si>
  <si>
    <t>1138</t>
  </si>
  <si>
    <t>ST. MARIES COMMUNITY EDUCATION ALTERNATIVE</t>
  </si>
  <si>
    <t>0374</t>
  </si>
  <si>
    <t>UPRIVER ELEMENTARY SCHOOL</t>
  </si>
  <si>
    <t>322</t>
  </si>
  <si>
    <t>SUGAR-SALEM JOINT DISTRICT</t>
  </si>
  <si>
    <t>3322</t>
  </si>
  <si>
    <t>ADMINISTRATION BUILDING SUGAR SALEM JOINT DISTRICT</t>
  </si>
  <si>
    <t>0781</t>
  </si>
  <si>
    <t>CENTRAL ELEMENTARY SCHOOL</t>
  </si>
  <si>
    <t>0225</t>
  </si>
  <si>
    <t>KERSHAW INTERMEDIATE SCHOOL</t>
  </si>
  <si>
    <t>0147</t>
  </si>
  <si>
    <t>SUGAR-SALEM HIGH SCHOOL</t>
  </si>
  <si>
    <t>0226</t>
  </si>
  <si>
    <t>SUGAR-SALEM JUNIOR HIGH SCHOOL</t>
  </si>
  <si>
    <t>1483</t>
  </si>
  <si>
    <t>SUGAR-SALEM ONLINE</t>
  </si>
  <si>
    <t>0874</t>
  </si>
  <si>
    <t>VALLEY VIEW ALTERNATIVE HIGH SCHOOL</t>
  </si>
  <si>
    <t>092</t>
  </si>
  <si>
    <t>SWAN VALLEY ELEMENTARY DIST</t>
  </si>
  <si>
    <t>3092</t>
  </si>
  <si>
    <t>ADMINISTRATION BUILDING SWAN VALLEY ELEMENTARY DIST</t>
  </si>
  <si>
    <t>1014</t>
  </si>
  <si>
    <t>BORDER DISTRICT - STAR VALLEY ELEMENTARY SCHOOL</t>
  </si>
  <si>
    <t>1015</t>
  </si>
  <si>
    <t>BORDER DISTRICT - STAR VALLEY JR-SR HIGH SCHOOL</t>
  </si>
  <si>
    <t>0424</t>
  </si>
  <si>
    <t>SWAN VALLEY ELEMENTARY SCHOOL</t>
  </si>
  <si>
    <t>488</t>
  </si>
  <si>
    <t>SYRINGA MOUNTAIN SCHOOL, INC.</t>
  </si>
  <si>
    <t>1367</t>
  </si>
  <si>
    <t>SYRINGA MOUNTAIN CHARTER SCHOOL</t>
  </si>
  <si>
    <t>461</t>
  </si>
  <si>
    <t>TAYLOR'S CROSSING PUBLIC CHARTER SCHOOL, INC.</t>
  </si>
  <si>
    <t>0642</t>
  </si>
  <si>
    <t>TAYLORS CROSSING CHARTER SCHOOL</t>
  </si>
  <si>
    <t>401</t>
  </si>
  <si>
    <t>TETON COUNTY DISTRICT</t>
  </si>
  <si>
    <t>ADMINISTRATION BUILDING TETON COUNTY DISTRICT</t>
  </si>
  <si>
    <t>0875</t>
  </si>
  <si>
    <t>BASIN ALTERNATIVE HIGH SCHOOL</t>
  </si>
  <si>
    <t>0249</t>
  </si>
  <si>
    <t>DRIGGS ELEMENTARY SCHOOL</t>
  </si>
  <si>
    <t>1236</t>
  </si>
  <si>
    <t>RENDEZVOUS UPPER ELEMENTARY SCHOOL</t>
  </si>
  <si>
    <t>TETON HIGH SCHOOL</t>
  </si>
  <si>
    <t>0195</t>
  </si>
  <si>
    <t>TETON MIDDLE SCHOOL</t>
  </si>
  <si>
    <t>0822</t>
  </si>
  <si>
    <t>TETONIA ELEMENTARY SCHOOL</t>
  </si>
  <si>
    <t>0823</t>
  </si>
  <si>
    <t>VICTOR ELEMENTARY SCHOOL</t>
  </si>
  <si>
    <t>460</t>
  </si>
  <si>
    <t>THE ACADEMY, INC.</t>
  </si>
  <si>
    <t>1509</t>
  </si>
  <si>
    <t>ALPINE ACADEMY</t>
  </si>
  <si>
    <t>0641</t>
  </si>
  <si>
    <t>THE ACADEMY</t>
  </si>
  <si>
    <t>470</t>
  </si>
  <si>
    <t>THE KOOTENAI BRIDGE ACADEMY, INC.</t>
  </si>
  <si>
    <t>1232</t>
  </si>
  <si>
    <t>KOOTENAI BRIDGE ACADEMY ALTERNATIVE</t>
  </si>
  <si>
    <t>2523</t>
  </si>
  <si>
    <t>KOOTENAI BRIDGE ACADEMY SUMMER ALTERNATIVE</t>
  </si>
  <si>
    <t>494</t>
  </si>
  <si>
    <t>THE POCATELLO COMMUNITY CHARTER SCHOOL, INC.</t>
  </si>
  <si>
    <t>0623</t>
  </si>
  <si>
    <t>POCATELLO COMMUNITY CHARTER</t>
  </si>
  <si>
    <t>475</t>
  </si>
  <si>
    <t>THE SAGE INTERNATIONAL SCHOOL OF BOISE, A PUBLIC CHARTER SCHOOL, INC.</t>
  </si>
  <si>
    <t>1248</t>
  </si>
  <si>
    <t>SAGE INTERNATIONAL SCHOOL OF BOISE</t>
  </si>
  <si>
    <t>559</t>
  </si>
  <si>
    <t>THOMAS JEFFERSON CHARTER SCHOOL, INC.</t>
  </si>
  <si>
    <t>0559</t>
  </si>
  <si>
    <t>THOMAS JEFFERSON CHARTER</t>
  </si>
  <si>
    <t>416</t>
  </si>
  <si>
    <t>THREE CREEK JT ELEM DISTRICT</t>
  </si>
  <si>
    <t>3416</t>
  </si>
  <si>
    <t>ADMINISTRATION BUILDING THREE CREEK</t>
  </si>
  <si>
    <t>0835</t>
  </si>
  <si>
    <t>THREE CREEK ELEM-JR HI SCHOOL</t>
  </si>
  <si>
    <t>TREASURE VALLEY CLASSICAL ACADEMY, INC.</t>
  </si>
  <si>
    <t>1424</t>
  </si>
  <si>
    <t>TREASURE VALLEY CLASSICAL ACADEMY</t>
  </si>
  <si>
    <t>TROY SCHOOL DISTRICT</t>
  </si>
  <si>
    <t>3287</t>
  </si>
  <si>
    <t>ADMINISTRATION BUILDING TROY SCHOOL DISTRICT</t>
  </si>
  <si>
    <t>0766</t>
  </si>
  <si>
    <t>TROY ELEMENTARY SCHOOL</t>
  </si>
  <si>
    <t>0772</t>
  </si>
  <si>
    <t>TROY JR-SR HIGH SCHOOL</t>
  </si>
  <si>
    <t>411</t>
  </si>
  <si>
    <t>TWIN FALLS DISTRICT</t>
  </si>
  <si>
    <t>3411</t>
  </si>
  <si>
    <t>ADMINISTRATION BUILDING TWIN FALLS DISTRICT</t>
  </si>
  <si>
    <t>0828</t>
  </si>
  <si>
    <t>BICKEL ELEMENTARY SCHOOL</t>
  </si>
  <si>
    <t>1147</t>
  </si>
  <si>
    <t>BRIDGE ACADEMY</t>
  </si>
  <si>
    <t>1237</t>
  </si>
  <si>
    <t>CANYON RIDGE HIGH SCHOOL</t>
  </si>
  <si>
    <t>0827</t>
  </si>
  <si>
    <t>0824</t>
  </si>
  <si>
    <t>I B PERRINE ELEMENTARY SCHOOL</t>
  </si>
  <si>
    <t>0829</t>
  </si>
  <si>
    <t>1066</t>
  </si>
  <si>
    <t>MAGIC VALLEY HIGH SCHOOL ALTERNATIVE</t>
  </si>
  <si>
    <t>0825</t>
  </si>
  <si>
    <t>MORNINGSIDE ELEMENTARY SCHOOL</t>
  </si>
  <si>
    <t>0515</t>
  </si>
  <si>
    <t>OREGON TRAIL ELEMENTARY SCHOOL</t>
  </si>
  <si>
    <t>1381</t>
  </si>
  <si>
    <t>PILLAR FALLS ELEMENTARY</t>
  </si>
  <si>
    <t>0176</t>
  </si>
  <si>
    <t>ROBERT STUART MIDDLE SCHOOL</t>
  </si>
  <si>
    <t>1382</t>
  </si>
  <si>
    <t>ROCK CREEK ELEMENTARY</t>
  </si>
  <si>
    <t>0826</t>
  </si>
  <si>
    <t>SAWTOOTH ELEMENTARY SCHOOL</t>
  </si>
  <si>
    <t>1185</t>
  </si>
  <si>
    <t>SNAKE RIVER JUV DET-SUMMER</t>
  </si>
  <si>
    <t>1260</t>
  </si>
  <si>
    <t>SNAKE RIVER JUVENILE DETENTION</t>
  </si>
  <si>
    <t>1393</t>
  </si>
  <si>
    <t>SOUTH HILLS MIDDLE SCHOOL</t>
  </si>
  <si>
    <t>1174</t>
  </si>
  <si>
    <t>TWIN FALLS ALTERNATIVE SUMMER HIGH SCHOOLS</t>
  </si>
  <si>
    <t>0178</t>
  </si>
  <si>
    <t>TWIN FALLS HIGH SCHOOL</t>
  </si>
  <si>
    <t>1135</t>
  </si>
  <si>
    <t>TWIN FALLS MIDDLE SCHOOL SUMMER ALT SCHOOL</t>
  </si>
  <si>
    <t>1402</t>
  </si>
  <si>
    <t>TWIN FALLS VIRTUAL SCHOOLHOUSE</t>
  </si>
  <si>
    <t>0177</t>
  </si>
  <si>
    <t>VERA C O'LEARY MIDDLE SCHOOL</t>
  </si>
  <si>
    <t>VALLEY DISTRICT</t>
  </si>
  <si>
    <t>ADMINISTRATION BUILDING VALLEY DISTRICT</t>
  </si>
  <si>
    <t>1478</t>
  </si>
  <si>
    <t>CORNERSTONE HIGH SCHOOL</t>
  </si>
  <si>
    <t>VALLEY SCHOOL</t>
  </si>
  <si>
    <t>139</t>
  </si>
  <si>
    <t>VALLIVUE SCHOOL DISTRICT</t>
  </si>
  <si>
    <t>3139</t>
  </si>
  <si>
    <t>ADMINISTRATION BUILDING VALLIVUE SCHOOL DISTRICT</t>
  </si>
  <si>
    <t>0519</t>
  </si>
  <si>
    <t>BIRCH ELEMENTARY SCHOOL</t>
  </si>
  <si>
    <t>0505</t>
  </si>
  <si>
    <t>CENTRAL CANYON ELEMENTARY SCHOOL</t>
  </si>
  <si>
    <t>0892</t>
  </si>
  <si>
    <t>DESERT SPRINGS ELEMENTARY SCHOOL</t>
  </si>
  <si>
    <t>0460</t>
  </si>
  <si>
    <t>EAST CANYON ELEMENTARY SCHOOL</t>
  </si>
  <si>
    <t>0646</t>
  </si>
  <si>
    <t>LAKEVUE ELEMENTARY SCHOOL</t>
  </si>
  <si>
    <t>1380</t>
  </si>
  <si>
    <t>RIDGEVUE HIGH SCHOOL</t>
  </si>
  <si>
    <t>0582</t>
  </si>
  <si>
    <t>SAGE VALLEY MIDDLE SCHOOL</t>
  </si>
  <si>
    <t>1397</t>
  </si>
  <si>
    <t>SKYWAY ELEMENTARY</t>
  </si>
  <si>
    <t>1464</t>
  </si>
  <si>
    <t>SUMMITVUE MIDDLE SCHOOL</t>
  </si>
  <si>
    <t>9017</t>
  </si>
  <si>
    <t>0074</t>
  </si>
  <si>
    <t>VALLIVUE HIGH SCHOOL</t>
  </si>
  <si>
    <t>0985</t>
  </si>
  <si>
    <t>VALLIVUE MIDDLE SCHOOL</t>
  </si>
  <si>
    <t>0627</t>
  </si>
  <si>
    <t>VALLIVUE SCHOOL DISTRICT SUMMER SCHOOL</t>
  </si>
  <si>
    <t>0461</t>
  </si>
  <si>
    <t>WEST CANYON ELEMENTARY SCHOOL</t>
  </si>
  <si>
    <t>451</t>
  </si>
  <si>
    <t>VICTORY CHARTER SCHOOL, INC.</t>
  </si>
  <si>
    <t>0868</t>
  </si>
  <si>
    <t>VICTORY CHARTER SCHOOL</t>
  </si>
  <si>
    <t>463</t>
  </si>
  <si>
    <t>VISION CHARTER SCHOOL, INC.</t>
  </si>
  <si>
    <t>0888</t>
  </si>
  <si>
    <t>VISION CHARTER SCHOOL</t>
  </si>
  <si>
    <t>393</t>
  </si>
  <si>
    <t>WALLACE DISTRICT</t>
  </si>
  <si>
    <t>3393</t>
  </si>
  <si>
    <t>ADMINISTRATION BUILDING WALLACE DISTRICT</t>
  </si>
  <si>
    <t>0173</t>
  </si>
  <si>
    <t>SILVER HILLS ELEMENTARY SCHOOL</t>
  </si>
  <si>
    <t>WALLACE JR/SR HIGH SCHOOL</t>
  </si>
  <si>
    <t>431</t>
  </si>
  <si>
    <t>WEISER DISTRICT</t>
  </si>
  <si>
    <t>3431</t>
  </si>
  <si>
    <t>ADMINISTRATION BUILDING WEISER DISTRICT</t>
  </si>
  <si>
    <t>1067</t>
  </si>
  <si>
    <t>INDIANHEAD ACADEMY HIGH SCHOOL ALTERNATIVE</t>
  </si>
  <si>
    <t>0840</t>
  </si>
  <si>
    <t>PARK INTERMEDIATE SCHOOL</t>
  </si>
  <si>
    <t>0839</t>
  </si>
  <si>
    <t>PIONEER PRIMARY SCHOOL</t>
  </si>
  <si>
    <t>0192</t>
  </si>
  <si>
    <t>WEISER HIGH SCHOOL</t>
  </si>
  <si>
    <t>0191</t>
  </si>
  <si>
    <t>WEISER MIDDLE SCHOOL</t>
  </si>
  <si>
    <t>1140</t>
  </si>
  <si>
    <t>WEISER SECONDARY ALTERNATIVE SUMMER SCHOOL</t>
  </si>
  <si>
    <t>WENDELL DISTRICT</t>
  </si>
  <si>
    <t>3232</t>
  </si>
  <si>
    <t>ADMINISTRATION BUILDING WENDELL DISTRICT</t>
  </si>
  <si>
    <t>1433</t>
  </si>
  <si>
    <t>HUB CITY ALTERNATIVE - SUMMER</t>
  </si>
  <si>
    <t>0712</t>
  </si>
  <si>
    <t>WENDELL ELEMENTARY SCHOOL</t>
  </si>
  <si>
    <t>0209</t>
  </si>
  <si>
    <t>WENDELL HIGH SCHOOL</t>
  </si>
  <si>
    <t>0104</t>
  </si>
  <si>
    <t>WENDELL MIDDLE SCHOOL</t>
  </si>
  <si>
    <t>083</t>
  </si>
  <si>
    <t>WEST BONNER COUNTY DISTRICT</t>
  </si>
  <si>
    <t>1203</t>
  </si>
  <si>
    <t>ADMINISTRATION BUILDING WEST BONNER COUNTY DISTRICT</t>
  </si>
  <si>
    <t>0411</t>
  </si>
  <si>
    <t>IDAHO HILL ELEMENTARY SCHOOL</t>
  </si>
  <si>
    <t>0406</t>
  </si>
  <si>
    <t>PRIEST LAKE ELEMENTARY SCHOOL</t>
  </si>
  <si>
    <t>1148</t>
  </si>
  <si>
    <t>PRIEST RIVER EDUCATION PROGRAM SUMMER ALTERNATIVE</t>
  </si>
  <si>
    <t>0407</t>
  </si>
  <si>
    <t>PRIEST RIVER ELEMENTARY SCHOOL</t>
  </si>
  <si>
    <t>0048</t>
  </si>
  <si>
    <t>PRIEST RIVER LAMANNA HIGH</t>
  </si>
  <si>
    <t>WEST JEFFERSON DISTRICT</t>
  </si>
  <si>
    <t>3253</t>
  </si>
  <si>
    <t>ADMINISTRATION BUILDING WEST JEFFERSON DISTRICT</t>
  </si>
  <si>
    <t>0729</t>
  </si>
  <si>
    <t>HAMER ELEMENTARY SCHOOL</t>
  </si>
  <si>
    <t>0728</t>
  </si>
  <si>
    <t>TERRETON ELEMENTARY SCHOOL</t>
  </si>
  <si>
    <t>0115</t>
  </si>
  <si>
    <t>WEST JEFFERSON HIGH SCHOOL</t>
  </si>
  <si>
    <t>1315</t>
  </si>
  <si>
    <t>WEST JEFFERSON JUNIOR HIGH SCHOOL</t>
  </si>
  <si>
    <t>202</t>
  </si>
  <si>
    <t>WEST SIDE JOINT DISTRICT</t>
  </si>
  <si>
    <t>3202</t>
  </si>
  <si>
    <t>ADMINISTRATION BUILDING WEST SIDE JOINT DISTRICT</t>
  </si>
  <si>
    <t>0223</t>
  </si>
  <si>
    <t>BEUTLER MIDDLE SCHOOL</t>
  </si>
  <si>
    <t>0987</t>
  </si>
  <si>
    <t>0227</t>
  </si>
  <si>
    <t>WEST SIDE SENIOR HIGH SCHOOL</t>
  </si>
  <si>
    <t>464</t>
  </si>
  <si>
    <t>WHITE PINE CHARTER SCHOOL, INC.</t>
  </si>
  <si>
    <t>2514</t>
  </si>
  <si>
    <t>WHITE PINE CHARTER SCHOOL</t>
  </si>
  <si>
    <t>WHITEPINE JT SCHOOL DISTRICT</t>
  </si>
  <si>
    <t>3288</t>
  </si>
  <si>
    <t>ADMINISTRATION BUILDING WHITEPINE JT SCHOOL DISTRICT</t>
  </si>
  <si>
    <t>0771</t>
  </si>
  <si>
    <t>BOVILL ELEMENTARY SCHOOL</t>
  </si>
  <si>
    <t>0794</t>
  </si>
  <si>
    <t>DEARY SCHOOL</t>
  </si>
  <si>
    <t>133</t>
  </si>
  <si>
    <t>WILDER DISTRICT</t>
  </si>
  <si>
    <t>3010</t>
  </si>
  <si>
    <t>ADMINISTRATION BUILDING WILDER DISTRICT</t>
  </si>
  <si>
    <t>1022</t>
  </si>
  <si>
    <t>1480</t>
  </si>
  <si>
    <t>WILDER ACADEMY OF VIRTUAL EDUCATION</t>
  </si>
  <si>
    <t>0452</t>
  </si>
  <si>
    <t>WILDER ELEMENTARY SCHOOL</t>
  </si>
  <si>
    <t>0233</t>
  </si>
  <si>
    <t>WILDER HIGH SCHOOL</t>
  </si>
  <si>
    <t>1389</t>
  </si>
  <si>
    <t>WILDER MIDDLE SCHOOL</t>
  </si>
  <si>
    <t>462</t>
  </si>
  <si>
    <t>XAVIER CHARTER SCHOOL, INC.</t>
  </si>
  <si>
    <t>2512</t>
  </si>
  <si>
    <t>XAVIER CHARTER SCHOOL</t>
  </si>
  <si>
    <t>BOISE STATE UNIVERSITY (0602)</t>
  </si>
  <si>
    <t>BYU - IDAHO (8845)</t>
  </si>
  <si>
    <t>BYU - UTAH (2897)</t>
  </si>
  <si>
    <t>COLLEGE OF EASTERN IDAHO (0615)</t>
  </si>
  <si>
    <t>COLLEGE OF IDAHO (8896)</t>
  </si>
  <si>
    <t>COLLEGE OF SOUTHERN IDAHO (0607)</t>
  </si>
  <si>
    <t>COLLEGE OF WESTERN IDAHO (0660)</t>
  </si>
  <si>
    <t>GENERAL CATEGORY - OUT-OF-STATE (9999)</t>
  </si>
  <si>
    <t>IDAHO STATE UNIVERSITY (0608)</t>
  </si>
  <si>
    <t>LEWIS-CLARK STATE COLLEGE (0610)</t>
  </si>
  <si>
    <t>0572</t>
  </si>
  <si>
    <t>MAGIC VALLEY COOP SCHOOL SERVICE AGENCY</t>
  </si>
  <si>
    <t>NORTH IDAHO COLLEGE (0614)</t>
  </si>
  <si>
    <t>NORTHWEST NAZARENE UNIVERSITY (2895)</t>
  </si>
  <si>
    <t>OTHER IDAHO COLLEGE OR UNIVERSITY (0999)</t>
  </si>
  <si>
    <t>TREASURE VALLEY COMMUNITY COLLEGE</t>
  </si>
  <si>
    <t>UNIVERSITY OF IDAHO (0631)</t>
  </si>
  <si>
    <t>Change Date</t>
  </si>
  <si>
    <t>ADD/DEL/MOD</t>
  </si>
  <si>
    <t>Sheet</t>
  </si>
  <si>
    <t>Row</t>
  </si>
  <si>
    <t>Item</t>
  </si>
  <si>
    <t>Change Description</t>
  </si>
  <si>
    <t>Reason</t>
  </si>
  <si>
    <t>NEW HORIZON HIGH SCHOOL</t>
  </si>
  <si>
    <t>Teacher Apprentice</t>
  </si>
  <si>
    <t>Student Activity Program</t>
  </si>
  <si>
    <t>IDAPA 08.02.03.109.03</t>
  </si>
  <si>
    <t>School closure of five or more consecutive school days - MUST PROVIDE THE ACTUAL STATE EXCEPTION RULE REASON IF CHOOSING "SE"</t>
  </si>
  <si>
    <t>0708</t>
  </si>
  <si>
    <t>BUTTE VIEW SCHOOL</t>
  </si>
  <si>
    <t>1485</t>
  </si>
  <si>
    <t>VIRTUAL SCHOOL HOUSE SUMMER ALTERNATIVE</t>
  </si>
  <si>
    <t>A flag indicating if the student was enrolled in the baseSchool for at least 10 school days at any time during the school year, and missed at least 10% of the total school days in which they were enrolled at the baseSchool. Absent means, students who miss at least 50% of a school day, for any reason. Absence for a part-time student is based on the student's schedule instead of the school day. Grades K-12 only. Report upon School Exit.</t>
  </si>
  <si>
    <t>PORTNEUF VALLEY TECHNICAL AND CAREER CENTER</t>
  </si>
  <si>
    <t>CTE OS - Powersports &amp; Outdoor Pwr Equipmnt (6-12)</t>
  </si>
  <si>
    <t>MERIDIAN ACADEMY</t>
  </si>
  <si>
    <t>PATHWAYS MIDDLE SCHOOL</t>
  </si>
  <si>
    <t xml:space="preserve">INITIAL POINT HIGH SCHOOL </t>
  </si>
  <si>
    <t>CLOVER CREEK HIGH SCHOOL</t>
  </si>
  <si>
    <t>SILVER CREEK HIGH SCHOOL</t>
  </si>
  <si>
    <t>LAKE PEND OREILLE HIGH SCHOOL</t>
  </si>
  <si>
    <t>EMERSON HIGH SCHOOL</t>
  </si>
  <si>
    <t>LINCOLN HIGH SCHOOL</t>
  </si>
  <si>
    <t>UNION HIGH SCHOOL</t>
  </si>
  <si>
    <t>CANYON SPRINGS HIGH SCHOOL</t>
  </si>
  <si>
    <t>VALLIVUE ACADEMY</t>
  </si>
  <si>
    <t>CASSIA JR/SR HIGH SCHOOL</t>
  </si>
  <si>
    <t>HAROLD B LEE ELEMENTARY SCHOOL</t>
  </si>
  <si>
    <t>Parent did not provide consent for initial assessment. For ECReferredDhw = Yes only.</t>
  </si>
  <si>
    <t>JEFFERSON HIGH SCHOOL</t>
  </si>
  <si>
    <t>JEFFERSON HIGH SCHOOL (SUMMER)</t>
  </si>
  <si>
    <t>FALLS CITY ACADEMY</t>
  </si>
  <si>
    <t>0232</t>
  </si>
  <si>
    <t>KAMIAH MIDDLE SCHOOL</t>
  </si>
  <si>
    <t>0534</t>
  </si>
  <si>
    <t>Robert Janss School</t>
  </si>
  <si>
    <t>1432</t>
  </si>
  <si>
    <t>COEUR D'ALENE EARLY CHILDHOOD LERNING CENTER</t>
  </si>
  <si>
    <t>50.00</t>
  </si>
  <si>
    <t>15.00</t>
  </si>
  <si>
    <t>The code for how this individual's non-certified assignments are funded - source 1</t>
  </si>
  <si>
    <t>The code for how this individual's non-certified assignments are funded - source 2 - if any</t>
  </si>
  <si>
    <t>The code for how this individual's non-certified assignments are funded - source 3 - if any</t>
  </si>
  <si>
    <t>The code for how this individual's non-certified assignments are funded - source 4 - if any</t>
  </si>
  <si>
    <r>
      <t xml:space="preserve">The predefined </t>
    </r>
    <r>
      <rPr>
        <i/>
        <sz val="10"/>
        <color rgb="FF7030A0"/>
        <rFont val="Arial"/>
        <family val="2"/>
      </rPr>
      <t xml:space="preserve">Revenue Code used for </t>
    </r>
    <r>
      <rPr>
        <sz val="10"/>
        <color rgb="FF7030A0"/>
        <rFont val="Arial"/>
        <family val="2"/>
      </rPr>
      <t>recording Revenues and other receivables by source
Revenue codes are additions to assets of a school which do not increase a liability, do not represent the recovery of an expenditure and do not represent the cancellation of a certain liability without a corresponding increase in other liabilities or a decrease in assets.
Valid Account code range for Financial Transparency 411100-460000</t>
    </r>
  </si>
  <si>
    <t>2025-2026 ISEE Data Collection</t>
  </si>
  <si>
    <t>SY25-26</t>
  </si>
  <si>
    <r>
      <t xml:space="preserve">The predefined </t>
    </r>
    <r>
      <rPr>
        <i/>
        <sz val="10"/>
        <color theme="6" tint="-0.249977111117893"/>
        <rFont val="Arial"/>
        <family val="2"/>
      </rPr>
      <t>Fund Number,</t>
    </r>
    <r>
      <rPr>
        <sz val="10"/>
        <color theme="6" tint="-0.249977111117893"/>
        <rFont val="Arial"/>
        <family val="2"/>
      </rPr>
      <t xml:space="preserve"> accounting entity with a self-balancing set of accounts that includes all cash and other financial resources, together with all related liabilities and residual equities, which are segregated for the purpose of carrying on a specific activity or attaining certain objectives in accordance with special regulations, restrictions, or limitations.</t>
    </r>
  </si>
  <si>
    <r>
      <t xml:space="preserve">The predefined </t>
    </r>
    <r>
      <rPr>
        <i/>
        <sz val="10"/>
        <color theme="6" tint="-0.249977111117893"/>
        <rFont val="Arial"/>
        <family val="2"/>
      </rPr>
      <t xml:space="preserve">Revenue or Balance Sheet Code used for; (a) </t>
    </r>
    <r>
      <rPr>
        <sz val="10"/>
        <color theme="6" tint="-0.249977111117893"/>
        <rFont val="Arial"/>
        <family val="2"/>
      </rPr>
      <t>recording Revenues and other receivables by source; and/or (b) tracking financial transactions for each Balance Sheet fund. 
Revenue codes are additions to assets of a school which do not increase a liability, do not represent the recovery of an expenditure and do not represent the cancellation of a certain liability without a corresponding increase in other liabilities or a decrease in assets.  
Balance sheet account codes only report assets, deferred outflows of resources, liabilities, deferred inflows of resources, and equity accounts and are considered “snapshots” of how these accounts stand as of a certain point in time.</t>
    </r>
  </si>
  <si>
    <r>
      <t xml:space="preserve">The predefined </t>
    </r>
    <r>
      <rPr>
        <i/>
        <sz val="10"/>
        <color theme="6" tint="-0.249977111117893"/>
        <rFont val="Arial"/>
        <family val="2"/>
      </rPr>
      <t>Function Code</t>
    </r>
    <r>
      <rPr>
        <sz val="10"/>
        <color theme="6" tint="-0.249977111117893"/>
        <rFont val="Arial"/>
        <family val="2"/>
      </rPr>
      <t xml:space="preserve"> used for describing the activity or tasks for which services or material objects are acquired. Function codes are classified into five broad areas: instruction, support services, non-instructional services, facilities acquisition and other services.  
The function codes also describe a plan and organization of activities and procedures designed to accomplish a predetermined objective or set of objectives. </t>
    </r>
  </si>
  <si>
    <r>
      <t xml:space="preserve">The predefined </t>
    </r>
    <r>
      <rPr>
        <i/>
        <sz val="10"/>
        <color theme="6" tint="-0.249977111117893"/>
        <rFont val="Arial"/>
        <family val="2"/>
      </rPr>
      <t>Object Code</t>
    </r>
    <r>
      <rPr>
        <sz val="10"/>
        <color theme="6" tint="-0.249977111117893"/>
        <rFont val="Arial"/>
        <family val="2"/>
      </rPr>
      <t xml:space="preserve"> used to describe the service or commodity obtained as a result of a specific expenditure. Eight major categories are used:  salaries, benefits, purchased services, supplies/materials, capital objects, debt retirement, insurance/judgment, transfers.
Major categories are subdivided by schools to obtain more specific detail for their internal accounting purposes.  </t>
    </r>
  </si>
  <si>
    <t xml:space="preserve">A flag indicating if the student is eligible to receive transportation to and from school, by the LEA.
Student eligibility for state funded student transportation services is defined in Idaho Codes 33-1501, 33-1502, and 33-5207(5).
Resides within the LEA boundary, supported by physical address, or resides within the LEA boundaries and meets the safety busing criteria, supported by address, and are registered to ride. 
Students with disability only need meet LEA residence, supported by physical address and are registered to ride. 
If homeless are transported and registered to ride, claim as eligible. 
A student with disabilities whose Individualized Education Plan (IEP) requires transportation is eligible for transportation as a related service (IDEA) under the Student Transportation Support Program regardless of distance from the school.
Students who attend school at an alternate location as assigned by the local board of trustees may be expected to walk reasonable distances between schools (IC Idaho Code 33-1501).  
Transporting or shuttling students between schools or buildings in conjunction with non-reimbursable programs is a non-reimbursable expense and all such mileage shall be documented and tracked as non-reimbursable shuttle miles. 
</t>
  </si>
  <si>
    <t>201140</t>
  </si>
  <si>
    <t>201141</t>
  </si>
  <si>
    <t>201142</t>
  </si>
  <si>
    <t>Supplemental Instruction - Elementary (K-6) (Restricted)</t>
  </si>
  <si>
    <t>ISEE - v16</t>
  </si>
  <si>
    <t>AP Computer Science Principles</t>
  </si>
  <si>
    <t>101570</t>
  </si>
  <si>
    <t>AP Computer Science A</t>
  </si>
  <si>
    <t>Amount to be Provided for Retirement of General Long Term Debt</t>
  </si>
  <si>
    <t>Current Portion - Loans Payable</t>
  </si>
  <si>
    <t>Non-Current Portion - Bonds Payable</t>
  </si>
  <si>
    <t>Non-Current Portion - Loans Payable</t>
  </si>
  <si>
    <t>Other Non-Current Liabilities</t>
  </si>
  <si>
    <t>Membership Type</t>
  </si>
  <si>
    <t>membershipType</t>
  </si>
  <si>
    <t>Concurrent</t>
  </si>
  <si>
    <t>Summer</t>
  </si>
  <si>
    <t>Base School Membership Type</t>
  </si>
  <si>
    <t>The six-digit (7-character), Classification of Instructional Programs (CIP) code, which identifies the major focus of study associated with the highestDegree.</t>
  </si>
  <si>
    <t>The six-digit (7-character), Classification of Instructional Programs (CIP) code, which identifies the minor field of study associated with the highestDegree.</t>
  </si>
  <si>
    <t>The six-digit (7-character), Classification of Instructional Programs (CIP) code, which identifies the major focus of study associated with the addlDegree1.</t>
  </si>
  <si>
    <t>The six-digit (7-character), Classification of Instructional Programs (CIP) code, which identifies the minor field of study associated with the addlDegree1.</t>
  </si>
  <si>
    <t>The six-digit (7-character), Classification of Instructional Programs (CIP) code, which identifies the major focus of study associated with the addlDegree2.</t>
  </si>
  <si>
    <t>The six-digit (7-character), Classification of Instructional Programs (CIP) code, which identifies the minor field of study associated with the addlDegree2.</t>
  </si>
  <si>
    <t>The six-digit (7-character), Classification of Instructional Programs (CIP) code, which identifies the major focus of study associated with the addlDegree3.</t>
  </si>
  <si>
    <t>The six-digit (7-character), Classification of Instructional Programs (CIP) code, which identifies the minor field of study associated with the addlDegree3.</t>
  </si>
  <si>
    <t>The six-digit (7-character), Classification of Instructional Programs (CIP) code, which identifies the major focus of study associated with the addlDegree4.</t>
  </si>
  <si>
    <t>The six-digit (7-character), Classification of Instructional Programs (CIP) code, which identifies the minor field of study associated with the addlDegree4.</t>
  </si>
  <si>
    <t>EbD Engineering Design</t>
  </si>
  <si>
    <t>200530</t>
  </si>
  <si>
    <t>Aviation I</t>
  </si>
  <si>
    <t>200531</t>
  </si>
  <si>
    <t>6042</t>
  </si>
  <si>
    <t>200532</t>
  </si>
  <si>
    <t>Aviation II</t>
  </si>
  <si>
    <t>Aviation III</t>
  </si>
  <si>
    <t>CTE OS - Aviation</t>
  </si>
  <si>
    <t>201485</t>
  </si>
  <si>
    <t>Work-Based Learning - Aviation</t>
  </si>
  <si>
    <t>111510</t>
  </si>
  <si>
    <t>10011</t>
  </si>
  <si>
    <t>10019</t>
  </si>
  <si>
    <t>Gifted and Talented - Support (K-12)</t>
  </si>
  <si>
    <t>Mathematics - Data Science (9-12)</t>
  </si>
  <si>
    <r>
      <t xml:space="preserve">Secondary - Miscellaneous/Exploratory (5-12) </t>
    </r>
    <r>
      <rPr>
        <sz val="10"/>
        <color rgb="FFFF0000"/>
        <rFont val="Arial"/>
        <family val="2"/>
      </rPr>
      <t>(Restricted)</t>
    </r>
  </si>
  <si>
    <t>Online-Teacher (K-12)</t>
  </si>
  <si>
    <t>Humanities (5-9)</t>
  </si>
  <si>
    <t>AP Computer Science Principles (11-12)</t>
  </si>
  <si>
    <t>Business Mathematics (9-12)</t>
  </si>
  <si>
    <t>AP Statistics (11-12)</t>
  </si>
  <si>
    <t>Probability and Statistics (9-12)</t>
  </si>
  <si>
    <t>AP English Language and Composition (11-12)</t>
  </si>
  <si>
    <t>AP English Literature and Composition (11-12)</t>
  </si>
  <si>
    <t>IB Language A: Literature—English (11-12)</t>
  </si>
  <si>
    <t>Algebra I (9-12)</t>
  </si>
  <si>
    <t>Algebra II (9-12)</t>
  </si>
  <si>
    <t>Integrated Mathematics I (9-12)</t>
  </si>
  <si>
    <t>Integrated Mathematics II (9-12)</t>
  </si>
  <si>
    <t>Integrated Mathematics III (9-12)</t>
  </si>
  <si>
    <t>Geometry (9-12)</t>
  </si>
  <si>
    <t>Discrete Mathematics (11-12)</t>
  </si>
  <si>
    <t>Trigonometry (11-12)</t>
  </si>
  <si>
    <t>Pre-Calculus (10-12)</t>
  </si>
  <si>
    <t>AP Pre-Calculus (10-12)</t>
  </si>
  <si>
    <t>Calculus (11-12)</t>
  </si>
  <si>
    <t>AP Calculus AB (11-12)</t>
  </si>
  <si>
    <t>AP Calculus BC (11-12)</t>
  </si>
  <si>
    <t>IB DP Mathematics: Applications and Interpretation Course (11-12)</t>
  </si>
  <si>
    <t>IB DP Mathematics: Analysis and Approaches Course (11-12)</t>
  </si>
  <si>
    <t>AP Biology (11-12)</t>
  </si>
  <si>
    <t>IB Biology (11-12)</t>
  </si>
  <si>
    <t>AP Chemistry (11-12)</t>
  </si>
  <si>
    <t>IB Chemistry (11-12)</t>
  </si>
  <si>
    <t>IB Physics (11-12)</t>
  </si>
  <si>
    <t>Life Science (5-12)</t>
  </si>
  <si>
    <t>AP Physics 1 (11-12)</t>
  </si>
  <si>
    <t>AP Physics 2 (11-12)</t>
  </si>
  <si>
    <t>IB Design Technology (11-12)</t>
  </si>
  <si>
    <t>AP Environmental Science (11-12)</t>
  </si>
  <si>
    <t>IB Geography (11-12)</t>
  </si>
  <si>
    <t>AP Human Geography (11-12)</t>
  </si>
  <si>
    <t>IB History (11-12)</t>
  </si>
  <si>
    <t>AP World History (11-12)</t>
  </si>
  <si>
    <t>AP U.S. Government and Politics (11-12)</t>
  </si>
  <si>
    <t>AP Government (11-12)</t>
  </si>
  <si>
    <t>Financial Literacy (5-12)</t>
  </si>
  <si>
    <t>Economics/Financial Literacy (5-12)</t>
  </si>
  <si>
    <t>AP Microeconomics (11-12)</t>
  </si>
  <si>
    <t>AP Macroeconomics (11-12)</t>
  </si>
  <si>
    <t>AP Economics (11-12)</t>
  </si>
  <si>
    <t>IB Economics (11-12)</t>
  </si>
  <si>
    <t>IB Social and Cultural Anthropology (11-12)</t>
  </si>
  <si>
    <t>AP Psychology (11-12)</t>
  </si>
  <si>
    <t>IB Psychology (11-12)</t>
  </si>
  <si>
    <t>AP Music Theory (11-12)</t>
  </si>
  <si>
    <t>IB Music (11-12)</t>
  </si>
  <si>
    <t>AP Art History (11-12)</t>
  </si>
  <si>
    <t>IB Visual Arts (11-12)</t>
  </si>
  <si>
    <t>AP Computer Science A (11-12)</t>
  </si>
  <si>
    <t>IB Language A: Literature—Spanish (11-12)</t>
  </si>
  <si>
    <t>IB Language B—Spanish (11-12)</t>
  </si>
  <si>
    <t>AP Spanish Language and Culture (11-12)</t>
  </si>
  <si>
    <t>IB Language A: Literature—French (11-12)</t>
  </si>
  <si>
    <t>IB Language B—French (11-12)</t>
  </si>
  <si>
    <t>AP French Language and Culture (11-12)</t>
  </si>
  <si>
    <t>AP German Language and Culture (11-12)</t>
  </si>
  <si>
    <t>AP U.S. History (11-12)</t>
  </si>
  <si>
    <t>Digital Literacy (5-12)</t>
  </si>
  <si>
    <t>02159</t>
  </si>
  <si>
    <t>The type of enrollment membership this student holds at their reported base school during their given enrollment period. This classification helps distinguish the student’s primary relationship to the school for that time frame.</t>
  </si>
  <si>
    <t>Student's base school is the students summer school or enrollment.</t>
  </si>
  <si>
    <t>Use this when the school of enrollment is not the primary responsible school.</t>
  </si>
  <si>
    <t>Student's base school is the students primary or sole responsible school of enrollment.</t>
  </si>
  <si>
    <t xml:space="preserve">Student's base school is the students concurrent or supplemental school of enrollment. </t>
  </si>
  <si>
    <t>97505</t>
  </si>
  <si>
    <t>Paraprofessional - Behavioral Assistant/Intervention</t>
  </si>
  <si>
    <t>Deaf/Hard of Hearing - Special Education (Pre-K-12)</t>
  </si>
  <si>
    <t>Visual Impaired Instruction - Special Education (Pre-K-12)</t>
  </si>
  <si>
    <t>The cumulative number of applications received for the grade level, program type, and school reported on the open enrollment snapshot date.</t>
  </si>
  <si>
    <t>The cumulative number of applications accepted/approved for the grade level, program type, and school reported on the open enrollment snapshot date.</t>
  </si>
  <si>
    <t>The cumulative number of applications denied for the grade level, program type, and school reported on the open enrollment snapshot date.</t>
  </si>
  <si>
    <t>Inactivate Assingment Code</t>
  </si>
  <si>
    <t>Update Assignment Title</t>
  </si>
  <si>
    <t xml:space="preserve">Add New Assignment </t>
  </si>
  <si>
    <t>Add New Assignment</t>
  </si>
  <si>
    <t>Add New Endorsement</t>
  </si>
  <si>
    <t>Update</t>
  </si>
  <si>
    <t>For (grade levels 9-12) during the current school year base school enrollment, has this student earned an industry recognized, CTE approved, certificate? 
CTE Exam/Certifications: https://app.smartsheet.com/b/publish?EQBCT=d89010d2b17b479caefc043b3467c62e
Adv Ops Exam/Certifications: https://view.officeapps.live.com/op/view.aspx?src=https%3A%2F%2Fwww.sde.idaho.gov%2Fstudent-engagement%2Fadvanced-ops%2Fshared%2FAO-Approved-Exams-and-Costs.xlsx
IDAPA 08.02.03.112.03 - College and career readiness is determined by any High School participation in advanced opportunities, earning industry recognized certification(s), and/or participation in recognized high school apprenticeship program(s).</t>
  </si>
  <si>
    <t>The attendance for the given student on the selected day. For most students this should be one of 0, .5 or 1.0. For students in alternative high schools, and private/homeschool students on a DR calendar, this should be the hours of attendance -- All others, this is an FTE for the day. Less than 2.5 hours should be reported as 0, 2.5 hours to less than 4 hours is 0.5 days, and four hours or more of instruction is 1.0 days. IDAPA 08.02.01.250.01</t>
  </si>
  <si>
    <t>PATHWAYS IN EDUCATION - WEST ADA INC.</t>
  </si>
  <si>
    <t>1524</t>
  </si>
  <si>
    <t>UNION HIGH SUMMER SCHOOL</t>
  </si>
  <si>
    <t>WILDER SUMMER SCHOOL</t>
  </si>
  <si>
    <t>1525</t>
  </si>
  <si>
    <t>1526</t>
  </si>
  <si>
    <t>1527</t>
  </si>
  <si>
    <t>PROMISE ACADEMY ALTERNATIVE SUMMER</t>
  </si>
  <si>
    <t>BLACKFOOT SCHOOL DISTRICT ONLINE JR/SR SCHOOL SUMMER</t>
  </si>
  <si>
    <t>644</t>
  </si>
  <si>
    <t>DRY CREEK CHARTER SCHOOL</t>
  </si>
  <si>
    <t>DRY CREEK CHARTER, INC.</t>
  </si>
  <si>
    <t>1516</t>
  </si>
  <si>
    <t>646</t>
  </si>
  <si>
    <t>NORTH IDAHO CLASSICAL ACADEMY</t>
  </si>
  <si>
    <t>1518</t>
  </si>
  <si>
    <t>NORTH IDAHO CLASSICAL ACADEMY, LLC</t>
  </si>
  <si>
    <t>FALCON RIDGE ELEMENTARY SCHOOL</t>
  </si>
  <si>
    <t>1520</t>
  </si>
  <si>
    <t>1521</t>
  </si>
  <si>
    <t>WARHAWK ELEMENTARY SCHOOL</t>
  </si>
  <si>
    <t>HOLLISTER CHARTER SCHOOL</t>
  </si>
  <si>
    <t>647</t>
  </si>
  <si>
    <t>1321</t>
  </si>
  <si>
    <t>HOLLISTER CHARTER SCHOOL, INC.</t>
  </si>
  <si>
    <t>688</t>
  </si>
  <si>
    <t>LAVA HOT SPRINGS ACADEMY</t>
  </si>
  <si>
    <t>1322</t>
  </si>
  <si>
    <t>LAVA HOT SPRINGS ACADEMY, INC.</t>
  </si>
  <si>
    <t>AVERY CALDER CLARKIA (ACC) VIRTUAL SCHOOL</t>
  </si>
  <si>
    <t>1323</t>
  </si>
  <si>
    <t>LAKES MIDDLE SCHOOL</t>
  </si>
  <si>
    <t>OWYHEE EARLY LEARNING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</si>
</sst>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mm/dd/yy;@"/>
    <numFmt numFmtId="166" formatCode="[$-409]d\-mmm;@"/>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MS Reference Sans Serif"/>
      <family val="2"/>
    </font>
    <font>
      <sz val="10"/>
      <name val="MS Sans Serif"/>
      <family val="2"/>
    </font>
    <font>
      <b/>
      <sz val="10"/>
      <color rgb="FFC00000"/>
      <name val="Arial"/>
      <family val="2"/>
    </font>
    <font>
      <b/>
      <sz val="18"/>
      <color theme="3"/>
      <name val="Times New Roman"/>
      <family val="1"/>
    </font>
    <font>
      <sz val="10"/>
      <color rgb="FF7030A0"/>
      <name val="Arial"/>
      <family val="2"/>
    </font>
    <font>
      <sz val="12"/>
      <color theme="3"/>
      <name val="Arial"/>
      <family val="2"/>
    </font>
    <font>
      <sz val="12"/>
      <name val="Arial"/>
      <family val="2"/>
    </font>
    <font>
      <u/>
      <sz val="12"/>
      <color theme="10"/>
      <name val="Arial"/>
      <family val="2"/>
    </font>
    <font>
      <i/>
      <sz val="11"/>
      <name val="Arial"/>
      <family val="2"/>
    </font>
    <font>
      <b/>
      <sz val="10"/>
      <name val="Arial"/>
      <family val="2"/>
    </font>
    <font>
      <sz val="10"/>
      <color theme="1"/>
      <name val="Arial"/>
      <family val="2"/>
    </font>
    <font>
      <b/>
      <sz val="10"/>
      <color indexed="9"/>
      <name val="Arial"/>
      <family val="2"/>
    </font>
    <font>
      <b/>
      <sz val="10"/>
      <color rgb="FFFF0000"/>
      <name val="Arial"/>
      <family val="2"/>
    </font>
    <font>
      <b/>
      <u/>
      <sz val="10"/>
      <color theme="10"/>
      <name val="Arial"/>
      <family val="2"/>
    </font>
    <font>
      <b/>
      <sz val="10"/>
      <color rgb="FF00B050"/>
      <name val="Arial"/>
      <family val="2"/>
    </font>
    <font>
      <sz val="10"/>
      <color rgb="FFFFFFFF"/>
      <name val="Arial"/>
      <family val="2"/>
    </font>
    <font>
      <b/>
      <u/>
      <sz val="10"/>
      <name val="Arial"/>
      <family val="2"/>
    </font>
    <font>
      <sz val="10"/>
      <color indexed="9"/>
      <name val="Arial"/>
      <family val="2"/>
    </font>
    <font>
      <sz val="10"/>
      <color rgb="FF00B050"/>
      <name val="Arial"/>
      <family val="2"/>
    </font>
    <font>
      <i/>
      <sz val="10"/>
      <color rgb="FF7030A0"/>
      <name val="Arial"/>
      <family val="2"/>
    </font>
    <font>
      <sz val="10"/>
      <color rgb="FFFF0000"/>
      <name val="Arial"/>
      <family val="2"/>
    </font>
    <font>
      <i/>
      <sz val="10"/>
      <name val="Arial"/>
      <family val="2"/>
    </font>
    <font>
      <sz val="10"/>
      <color indexed="8"/>
      <name val="Arial"/>
      <family val="2"/>
    </font>
    <font>
      <sz val="10"/>
      <color indexed="10"/>
      <name val="Arial"/>
      <family val="2"/>
    </font>
    <font>
      <b/>
      <sz val="10"/>
      <color indexed="10"/>
      <name val="Arial"/>
      <family val="2"/>
    </font>
    <font>
      <b/>
      <sz val="10"/>
      <color theme="1"/>
      <name val="Arial"/>
      <family val="2"/>
    </font>
    <font>
      <b/>
      <sz val="10"/>
      <color rgb="FF244062"/>
      <name val="Arial"/>
      <family val="2"/>
    </font>
    <font>
      <b/>
      <sz val="10"/>
      <color theme="3"/>
      <name val="Arial"/>
      <family val="2"/>
    </font>
    <font>
      <b/>
      <sz val="10"/>
      <color theme="4" tint="-0.499984740745262"/>
      <name val="Arial"/>
      <family val="2"/>
    </font>
    <font>
      <sz val="10"/>
      <color rgb="FF244062"/>
      <name val="Arial"/>
      <family val="2"/>
    </font>
    <font>
      <sz val="10"/>
      <color theme="3"/>
      <name val="Arial"/>
      <family val="2"/>
    </font>
    <font>
      <sz val="10"/>
      <color theme="4" tint="-0.499984740745262"/>
      <name val="Arial"/>
      <family val="2"/>
    </font>
    <font>
      <sz val="8"/>
      <name val="Arial"/>
      <family val="2"/>
    </font>
    <font>
      <sz val="8"/>
      <name val="Arial"/>
      <family val="2"/>
    </font>
    <font>
      <u/>
      <sz val="10"/>
      <name val="Arial"/>
      <family val="2"/>
    </font>
    <font>
      <b/>
      <sz val="9"/>
      <color indexed="81"/>
      <name val="Tahoma"/>
      <family val="2"/>
    </font>
    <font>
      <sz val="10"/>
      <color rgb="FFC00000"/>
      <name val="Arial"/>
      <family val="2"/>
    </font>
    <font>
      <strike/>
      <sz val="10"/>
      <color rgb="FFC00000"/>
      <name val="Arial"/>
      <family val="2"/>
    </font>
    <font>
      <sz val="11"/>
      <color rgb="FF00B050"/>
      <name val="Calibri"/>
      <family val="2"/>
    </font>
    <font>
      <b/>
      <sz val="10"/>
      <color rgb="FF000000"/>
      <name val="Arial"/>
      <family val="2"/>
    </font>
    <font>
      <sz val="11"/>
      <name val="Calibri"/>
      <family val="2"/>
    </font>
    <font>
      <b/>
      <sz val="10"/>
      <color theme="5" tint="-0.249977111117893"/>
      <name val="Arial"/>
      <family val="2"/>
    </font>
    <font>
      <i/>
      <sz val="9"/>
      <color indexed="81"/>
      <name val="Tahoma"/>
      <family val="2"/>
    </font>
    <font>
      <u/>
      <sz val="10"/>
      <color rgb="FF7030A0"/>
      <name val="Arial"/>
      <family val="2"/>
    </font>
    <font>
      <sz val="10"/>
      <color theme="6" tint="-0.249977111117893"/>
      <name val="Arial"/>
      <family val="2"/>
    </font>
    <font>
      <u/>
      <sz val="10"/>
      <color theme="6" tint="-0.249977111117893"/>
      <name val="Arial"/>
      <family val="2"/>
    </font>
    <font>
      <i/>
      <sz val="10"/>
      <color theme="6" tint="-0.249977111117893"/>
      <name val="Arial"/>
      <family val="2"/>
    </font>
    <font>
      <strike/>
      <sz val="10"/>
      <name val="Arial"/>
      <family val="2"/>
    </font>
    <font>
      <b/>
      <strike/>
      <sz val="10"/>
      <name val="Arial"/>
      <family val="2"/>
    </font>
    <font>
      <sz val="9"/>
      <color indexed="81"/>
      <name val="Tahoma"/>
      <family val="2"/>
    </font>
    <font>
      <b/>
      <strike/>
      <sz val="10"/>
      <color rgb="FFC00000"/>
      <name val="Arial"/>
      <family val="2"/>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7F7F7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BF1DE"/>
        <bgColor indexed="64"/>
      </patternFill>
    </fill>
    <fill>
      <patternFill patternType="solid">
        <fgColor rgb="FFF2DCDB"/>
        <bgColor indexed="64"/>
      </patternFill>
    </fill>
    <fill>
      <patternFill patternType="solid">
        <fgColor theme="6" tint="0.79998168889431442"/>
        <bgColor rgb="FF000000"/>
      </patternFill>
    </fill>
    <fill>
      <patternFill patternType="solid">
        <fgColor rgb="FFFDE9D9"/>
        <bgColor rgb="FF000000"/>
      </patternFill>
    </fill>
    <fill>
      <patternFill patternType="solid">
        <fgColor rgb="FFDAEEF3"/>
        <bgColor rgb="FF000000"/>
      </patternFill>
    </fill>
    <fill>
      <patternFill patternType="solid">
        <fgColor rgb="FFE4DFEC"/>
        <bgColor rgb="FF000000"/>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indexed="64"/>
      </bottom>
      <diagonal/>
    </border>
    <border>
      <left/>
      <right style="thin">
        <color rgb="FF000000"/>
      </right>
      <top/>
      <bottom/>
      <diagonal/>
    </border>
  </borders>
  <cellStyleXfs count="29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2" applyNumberFormat="0" applyAlignment="0" applyProtection="0"/>
    <xf numFmtId="0" fontId="15" fillId="28" borderId="3" applyNumberFormat="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30" borderId="2" applyNumberFormat="0" applyAlignment="0" applyProtection="0"/>
    <xf numFmtId="0" fontId="23" fillId="0" borderId="7" applyNumberFormat="0" applyFill="0" applyAlignment="0" applyProtection="0"/>
    <xf numFmtId="0" fontId="24"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25" fillId="27"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8" applyNumberFormat="0" applyFont="0" applyAlignment="0" applyProtection="0"/>
    <xf numFmtId="0" fontId="6" fillId="32" borderId="8" applyNumberFormat="0" applyFont="0" applyAlignment="0" applyProtection="0"/>
    <xf numFmtId="0" fontId="6" fillId="32" borderId="8" applyNumberFormat="0" applyFont="0" applyAlignment="0" applyProtection="0"/>
    <xf numFmtId="0" fontId="5"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8" applyNumberFormat="0" applyFont="0" applyAlignment="0" applyProtection="0"/>
    <xf numFmtId="0" fontId="3" fillId="0" borderId="0"/>
    <xf numFmtId="0" fontId="8" fillId="0" borderId="0"/>
    <xf numFmtId="0" fontId="2" fillId="0" borderId="0"/>
    <xf numFmtId="0" fontId="8"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32" borderId="8" applyNumberFormat="0" applyFont="0" applyAlignment="0" applyProtection="0"/>
    <xf numFmtId="0" fontId="1" fillId="32" borderId="8"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32" borderId="8" applyNumberFormat="0" applyFont="0" applyAlignment="0" applyProtection="0"/>
    <xf numFmtId="0" fontId="1" fillId="32" borderId="8"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0" borderId="0"/>
    <xf numFmtId="0" fontId="1" fillId="0" borderId="0"/>
    <xf numFmtId="166" fontId="30" fillId="0" borderId="0"/>
    <xf numFmtId="0" fontId="67" fillId="42" borderId="0"/>
    <xf numFmtId="0" fontId="65" fillId="43" borderId="0" applyBorder="0" applyAlignment="0" applyProtection="0"/>
  </cellStyleXfs>
  <cellXfs count="383">
    <xf numFmtId="0" fontId="0" fillId="0" borderId="0" xfId="0"/>
    <xf numFmtId="0" fontId="0" fillId="0" borderId="28" xfId="0" applyBorder="1"/>
    <xf numFmtId="0" fontId="0" fillId="0" borderId="27" xfId="0" applyBorder="1"/>
    <xf numFmtId="0" fontId="31" fillId="0" borderId="0" xfId="0" applyFont="1"/>
    <xf numFmtId="164" fontId="31" fillId="0" borderId="0" xfId="0" applyNumberFormat="1" applyFont="1" applyAlignment="1">
      <alignment horizontal="center"/>
    </xf>
    <xf numFmtId="0" fontId="29" fillId="0" borderId="0" xfId="0" applyFont="1" applyAlignment="1">
      <alignment vertical="center"/>
    </xf>
    <xf numFmtId="0" fontId="29" fillId="0" borderId="0" xfId="0" applyFont="1" applyAlignment="1">
      <alignment horizontal="center" vertical="center"/>
    </xf>
    <xf numFmtId="49" fontId="8" fillId="0" borderId="0" xfId="0" applyNumberFormat="1" applyFont="1" applyAlignment="1">
      <alignment horizontal="center" vertical="top" wrapText="1"/>
    </xf>
    <xf numFmtId="164" fontId="31" fillId="0" borderId="23" xfId="0" applyNumberFormat="1" applyFont="1" applyBorder="1" applyAlignment="1">
      <alignment horizontal="left"/>
    </xf>
    <xf numFmtId="0" fontId="0" fillId="0" borderId="24" xfId="0" applyBorder="1" applyAlignment="1">
      <alignment horizontal="left"/>
    </xf>
    <xf numFmtId="0" fontId="34" fillId="0" borderId="27" xfId="0" applyFont="1" applyBorder="1"/>
    <xf numFmtId="0" fontId="34" fillId="0" borderId="0" xfId="0" applyFont="1"/>
    <xf numFmtId="0" fontId="35" fillId="0" borderId="0" xfId="0" applyFont="1"/>
    <xf numFmtId="0" fontId="36" fillId="0" borderId="0" xfId="34" applyFont="1"/>
    <xf numFmtId="0" fontId="34" fillId="0" borderId="25" xfId="0" applyFont="1" applyBorder="1"/>
    <xf numFmtId="0" fontId="36" fillId="0" borderId="14" xfId="34" applyFont="1" applyBorder="1"/>
    <xf numFmtId="0" fontId="35" fillId="0" borderId="14" xfId="0" applyFont="1" applyBorder="1"/>
    <xf numFmtId="0" fontId="21" fillId="0" borderId="0" xfId="34" applyFill="1" applyAlignment="1" applyProtection="1">
      <alignment horizontal="left" vertical="center"/>
      <protection locked="0"/>
    </xf>
    <xf numFmtId="0" fontId="21" fillId="0" borderId="0" xfId="34" applyFill="1" applyAlignment="1" applyProtection="1">
      <alignment vertical="top" wrapText="1" readingOrder="1"/>
      <protection locked="0"/>
    </xf>
    <xf numFmtId="0" fontId="40" fillId="33" borderId="1" xfId="0" applyFont="1" applyFill="1" applyBorder="1" applyAlignment="1" applyProtection="1">
      <alignment vertical="top" wrapText="1" readingOrder="1"/>
      <protection locked="0"/>
    </xf>
    <xf numFmtId="0" fontId="40" fillId="37" borderId="1" xfId="0" applyFont="1" applyFill="1" applyBorder="1" applyAlignment="1" applyProtection="1">
      <alignment vertical="top" wrapText="1" readingOrder="1"/>
      <protection locked="0"/>
    </xf>
    <xf numFmtId="0" fontId="40" fillId="39" borderId="1" xfId="0" applyFont="1" applyFill="1" applyBorder="1" applyAlignment="1" applyProtection="1">
      <alignment vertical="top" wrapText="1" readingOrder="1"/>
      <protection locked="0"/>
    </xf>
    <xf numFmtId="0" fontId="31" fillId="33" borderId="30"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164" fontId="41" fillId="0" borderId="33" xfId="0" applyNumberFormat="1" applyFont="1" applyBorder="1" applyAlignment="1">
      <alignment horizontal="left" vertical="center"/>
    </xf>
    <xf numFmtId="0" fontId="41" fillId="0" borderId="0" xfId="39" applyFont="1" applyAlignment="1">
      <alignment vertical="center"/>
    </xf>
    <xf numFmtId="0" fontId="8" fillId="0" borderId="31" xfId="0" applyFont="1" applyBorder="1" applyAlignment="1">
      <alignment vertical="center"/>
    </xf>
    <xf numFmtId="0" fontId="40" fillId="0" borderId="11"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0" fontId="21" fillId="33" borderId="11" xfId="34" applyFill="1" applyBorder="1" applyAlignment="1">
      <alignment vertical="center"/>
    </xf>
    <xf numFmtId="0" fontId="8" fillId="33" borderId="11" xfId="0" applyFont="1" applyFill="1" applyBorder="1" applyAlignment="1">
      <alignment horizontal="center" vertical="center"/>
    </xf>
    <xf numFmtId="0" fontId="8" fillId="33" borderId="11" xfId="0" applyFont="1" applyFill="1" applyBorder="1" applyAlignment="1">
      <alignment vertical="center"/>
    </xf>
    <xf numFmtId="0" fontId="21" fillId="0" borderId="11" xfId="34" applyFill="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0" fontId="38" fillId="0" borderId="11" xfId="0" applyFont="1" applyBorder="1" applyAlignment="1">
      <alignment vertical="center"/>
    </xf>
    <xf numFmtId="164" fontId="41" fillId="0" borderId="11" xfId="0" applyNumberFormat="1" applyFont="1" applyBorder="1" applyAlignment="1">
      <alignment horizontal="left" vertical="center"/>
    </xf>
    <xf numFmtId="0" fontId="41" fillId="0" borderId="11" xfId="39" applyFont="1" applyBorder="1" applyAlignment="1">
      <alignment vertical="center"/>
    </xf>
    <xf numFmtId="0" fontId="21" fillId="37" borderId="11" xfId="34" applyFill="1" applyBorder="1" applyAlignment="1">
      <alignment vertical="center"/>
    </xf>
    <xf numFmtId="0" fontId="8" fillId="37" borderId="11" xfId="0" applyFont="1" applyFill="1" applyBorder="1" applyAlignment="1">
      <alignment horizontal="center" vertical="center"/>
    </xf>
    <xf numFmtId="0" fontId="8" fillId="37" borderId="11" xfId="0" applyFont="1" applyFill="1" applyBorder="1" applyAlignment="1">
      <alignment vertical="center"/>
    </xf>
    <xf numFmtId="0" fontId="8" fillId="0" borderId="32" xfId="0" applyFont="1" applyBorder="1" applyAlignment="1">
      <alignment vertical="center"/>
    </xf>
    <xf numFmtId="0" fontId="21" fillId="38" borderId="11" xfId="34" applyFill="1" applyBorder="1" applyAlignment="1">
      <alignment vertical="center"/>
    </xf>
    <xf numFmtId="0" fontId="8" fillId="38" borderId="11" xfId="0" applyFont="1" applyFill="1" applyBorder="1" applyAlignment="1">
      <alignment horizontal="center" vertical="center"/>
    </xf>
    <xf numFmtId="0" fontId="8" fillId="38" borderId="11" xfId="0" applyFont="1" applyFill="1" applyBorder="1" applyAlignment="1">
      <alignment vertical="center"/>
    </xf>
    <xf numFmtId="0" fontId="43" fillId="35" borderId="11" xfId="0" applyFont="1" applyFill="1" applyBorder="1" applyAlignment="1" applyProtection="1">
      <alignment vertical="center"/>
      <protection locked="0"/>
    </xf>
    <xf numFmtId="0" fontId="43" fillId="35" borderId="11" xfId="0" applyFont="1" applyFill="1" applyBorder="1" applyAlignment="1" applyProtection="1">
      <alignment horizontal="center" vertical="center"/>
      <protection locked="0"/>
    </xf>
    <xf numFmtId="0" fontId="21" fillId="39" borderId="11" xfId="34" applyFill="1" applyBorder="1" applyAlignment="1">
      <alignment vertical="center"/>
    </xf>
    <xf numFmtId="0" fontId="8" fillId="39" borderId="11" xfId="0" applyFont="1" applyFill="1" applyBorder="1" applyAlignment="1">
      <alignment horizontal="center" vertical="center"/>
    </xf>
    <xf numFmtId="0" fontId="8" fillId="39" borderId="11" xfId="0" applyFont="1" applyFill="1" applyBorder="1" applyAlignment="1">
      <alignment vertical="center"/>
    </xf>
    <xf numFmtId="0" fontId="38" fillId="0" borderId="0" xfId="0" applyFont="1" applyAlignment="1" applyProtection="1">
      <alignment wrapText="1" readingOrder="1"/>
      <protection locked="0"/>
    </xf>
    <xf numFmtId="0" fontId="38" fillId="0" borderId="0" xfId="0" applyFont="1" applyAlignment="1" applyProtection="1">
      <alignment horizontal="center" wrapText="1" readingOrder="1"/>
      <protection locked="0"/>
    </xf>
    <xf numFmtId="0" fontId="38" fillId="0" borderId="0" xfId="0" applyFont="1" applyAlignment="1" applyProtection="1">
      <alignment horizontal="left" wrapText="1" readingOrder="1"/>
      <protection locked="0"/>
    </xf>
    <xf numFmtId="0" fontId="40" fillId="0" borderId="0" xfId="0" applyFont="1" applyAlignment="1" applyProtection="1">
      <alignment horizontal="right" wrapText="1" readingOrder="1"/>
      <protection locked="0"/>
    </xf>
    <xf numFmtId="0" fontId="38" fillId="0" borderId="12" xfId="0" applyFont="1" applyBorder="1" applyAlignment="1" applyProtection="1">
      <alignment wrapText="1" readingOrder="1"/>
      <protection locked="0"/>
    </xf>
    <xf numFmtId="0" fontId="44" fillId="36" borderId="11" xfId="0" applyFont="1" applyFill="1" applyBorder="1" applyAlignment="1">
      <alignment wrapText="1"/>
    </xf>
    <xf numFmtId="0" fontId="44" fillId="36" borderId="11" xfId="0" applyFont="1" applyFill="1" applyBorder="1" applyAlignment="1">
      <alignment horizontal="center" wrapText="1"/>
    </xf>
    <xf numFmtId="0" fontId="8" fillId="0" borderId="0" xfId="0" applyFont="1"/>
    <xf numFmtId="0" fontId="40" fillId="33" borderId="1" xfId="0" applyFont="1" applyFill="1" applyBorder="1" applyAlignment="1" applyProtection="1">
      <alignment horizontal="center" vertical="top" wrapText="1" readingOrder="1"/>
      <protection locked="0"/>
    </xf>
    <xf numFmtId="0" fontId="38" fillId="33" borderId="1" xfId="0" applyFont="1" applyFill="1" applyBorder="1" applyAlignment="1" applyProtection="1">
      <alignment vertical="top" wrapText="1" readingOrder="1"/>
      <protection locked="0"/>
    </xf>
    <xf numFmtId="0" fontId="40" fillId="33" borderId="1" xfId="0" applyFont="1" applyFill="1" applyBorder="1" applyAlignment="1" applyProtection="1">
      <alignment horizontal="left" vertical="top" wrapText="1" readingOrder="1"/>
      <protection locked="0"/>
    </xf>
    <xf numFmtId="0" fontId="40" fillId="33" borderId="13" xfId="0" applyFont="1" applyFill="1" applyBorder="1" applyAlignment="1" applyProtection="1">
      <alignment vertical="top" wrapText="1" readingOrder="1"/>
      <protection locked="0"/>
    </xf>
    <xf numFmtId="0" fontId="40" fillId="33" borderId="14" xfId="0" applyFont="1" applyFill="1" applyBorder="1" applyAlignment="1" applyProtection="1">
      <alignment vertical="top" wrapText="1" readingOrder="1"/>
      <protection locked="0"/>
    </xf>
    <xf numFmtId="0" fontId="40" fillId="33" borderId="14" xfId="0" applyFont="1" applyFill="1" applyBorder="1" applyAlignment="1" applyProtection="1">
      <alignment horizontal="center" vertical="top" wrapText="1" readingOrder="1"/>
      <protection locked="0"/>
    </xf>
    <xf numFmtId="0" fontId="40" fillId="33" borderId="15" xfId="0" applyFont="1" applyFill="1" applyBorder="1" applyAlignment="1" applyProtection="1">
      <alignment vertical="top" wrapText="1" readingOrder="1"/>
      <protection locked="0"/>
    </xf>
    <xf numFmtId="0" fontId="45" fillId="0" borderId="0" xfId="0" applyFont="1"/>
    <xf numFmtId="0" fontId="8" fillId="0" borderId="0" xfId="0" applyFont="1" applyAlignment="1" applyProtection="1">
      <alignment vertical="top" wrapText="1" readingOrder="1"/>
      <protection locked="0"/>
    </xf>
    <xf numFmtId="49" fontId="8" fillId="0" borderId="0" xfId="0" applyNumberFormat="1" applyFont="1" applyAlignment="1" applyProtection="1">
      <alignment horizontal="center" vertical="top" wrapText="1" readingOrder="1"/>
      <protection locked="0"/>
    </xf>
    <xf numFmtId="49" fontId="8" fillId="0" borderId="0" xfId="0" applyNumberFormat="1"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8" fillId="0" borderId="19" xfId="0" applyFont="1" applyBorder="1" applyAlignment="1">
      <alignment horizontal="left" vertical="top" wrapText="1"/>
    </xf>
    <xf numFmtId="0" fontId="8" fillId="0" borderId="20" xfId="0" applyFont="1" applyBorder="1" applyAlignment="1">
      <alignment horizontal="center" wrapText="1"/>
    </xf>
    <xf numFmtId="0" fontId="8" fillId="0" borderId="20" xfId="0" applyFont="1" applyBorder="1" applyAlignment="1">
      <alignment horizontal="center"/>
    </xf>
    <xf numFmtId="0" fontId="8" fillId="0" borderId="20" xfId="0" applyFont="1" applyBorder="1"/>
    <xf numFmtId="0" fontId="8" fillId="0" borderId="21" xfId="0" applyFont="1" applyBorder="1"/>
    <xf numFmtId="49" fontId="40" fillId="33" borderId="1" xfId="0" applyNumberFormat="1" applyFont="1" applyFill="1" applyBorder="1" applyAlignment="1" applyProtection="1">
      <alignment horizontal="center" vertical="top" wrapText="1" readingOrder="1"/>
      <protection locked="0"/>
    </xf>
    <xf numFmtId="49" fontId="40" fillId="33" borderId="1" xfId="0" applyNumberFormat="1" applyFont="1" applyFill="1" applyBorder="1" applyAlignment="1" applyProtection="1">
      <alignment horizontal="left" vertical="top" wrapText="1" readingOrder="1"/>
      <protection locked="0"/>
    </xf>
    <xf numFmtId="0" fontId="8" fillId="0" borderId="0" xfId="0" applyFont="1" applyAlignment="1">
      <alignment horizontal="center"/>
    </xf>
    <xf numFmtId="0" fontId="8" fillId="0" borderId="0" xfId="0" applyFont="1" applyAlignment="1">
      <alignment horizontal="left" vertical="top" wrapText="1"/>
    </xf>
    <xf numFmtId="49" fontId="40" fillId="37" borderId="1" xfId="0" applyNumberFormat="1" applyFont="1" applyFill="1" applyBorder="1" applyAlignment="1" applyProtection="1">
      <alignment horizontal="center" vertical="top" wrapText="1" readingOrder="1"/>
      <protection locked="0"/>
    </xf>
    <xf numFmtId="0" fontId="38" fillId="37" borderId="1" xfId="0" applyFont="1" applyFill="1" applyBorder="1" applyAlignment="1" applyProtection="1">
      <alignment vertical="top" wrapText="1" readingOrder="1"/>
      <protection locked="0"/>
    </xf>
    <xf numFmtId="0" fontId="40" fillId="37" borderId="1" xfId="0" applyFont="1" applyFill="1" applyBorder="1" applyAlignment="1" applyProtection="1">
      <alignment horizontal="left" vertical="top" wrapText="1" readingOrder="1"/>
      <protection locked="0"/>
    </xf>
    <xf numFmtId="0" fontId="40" fillId="37" borderId="13" xfId="0" applyFont="1" applyFill="1" applyBorder="1" applyAlignment="1" applyProtection="1">
      <alignment vertical="top" wrapText="1" readingOrder="1"/>
      <protection locked="0"/>
    </xf>
    <xf numFmtId="0" fontId="8" fillId="0" borderId="0" xfId="0" applyFont="1" applyAlignment="1">
      <alignment horizontal="left"/>
    </xf>
    <xf numFmtId="0" fontId="8" fillId="0" borderId="0" xfId="0" applyFont="1" applyAlignment="1">
      <alignment horizontal="center" readingOrder="1"/>
    </xf>
    <xf numFmtId="49" fontId="40" fillId="39" borderId="1" xfId="0" applyNumberFormat="1" applyFont="1" applyFill="1" applyBorder="1" applyAlignment="1" applyProtection="1">
      <alignment horizontal="center" vertical="top" wrapText="1" readingOrder="1"/>
      <protection locked="0"/>
    </xf>
    <xf numFmtId="0" fontId="38" fillId="39" borderId="1" xfId="0" applyFont="1" applyFill="1" applyBorder="1" applyAlignment="1" applyProtection="1">
      <alignment vertical="top" wrapText="1" readingOrder="1"/>
      <protection locked="0"/>
    </xf>
    <xf numFmtId="0" fontId="40" fillId="39" borderId="1" xfId="0" applyFont="1" applyFill="1" applyBorder="1" applyAlignment="1" applyProtection="1">
      <alignment horizontal="left" vertical="top" wrapText="1" readingOrder="1"/>
      <protection locked="0"/>
    </xf>
    <xf numFmtId="0" fontId="40" fillId="39" borderId="13" xfId="0" applyFont="1" applyFill="1" applyBorder="1" applyAlignment="1" applyProtection="1">
      <alignment vertical="top" wrapText="1" readingOrder="1"/>
      <protection locked="0"/>
    </xf>
    <xf numFmtId="0" fontId="40" fillId="0" borderId="0" xfId="39" applyFont="1" applyAlignment="1" applyProtection="1">
      <alignment vertical="top"/>
      <protection locked="0"/>
    </xf>
    <xf numFmtId="0" fontId="8" fillId="0" borderId="0" xfId="39"/>
    <xf numFmtId="0" fontId="21" fillId="0" borderId="0" xfId="34" applyAlignment="1"/>
    <xf numFmtId="0" fontId="38" fillId="0" borderId="0" xfId="0" applyFont="1"/>
    <xf numFmtId="0" fontId="38" fillId="0" borderId="0" xfId="39" applyFont="1"/>
    <xf numFmtId="0" fontId="38" fillId="0" borderId="37" xfId="0" applyFont="1" applyBorder="1"/>
    <xf numFmtId="0" fontId="38" fillId="0" borderId="38" xfId="39" applyFont="1" applyBorder="1"/>
    <xf numFmtId="0" fontId="8" fillId="35" borderId="36" xfId="0" applyFont="1" applyFill="1" applyBorder="1" applyAlignment="1">
      <alignment horizontal="center"/>
    </xf>
    <xf numFmtId="0" fontId="8" fillId="39" borderId="35" xfId="0" applyFont="1" applyFill="1" applyBorder="1" applyAlignment="1">
      <alignment horizontal="center"/>
    </xf>
    <xf numFmtId="0" fontId="40" fillId="0" borderId="0" xfId="39" applyFont="1" applyAlignment="1" applyProtection="1">
      <alignment vertical="top" wrapText="1"/>
      <protection locked="0"/>
    </xf>
    <xf numFmtId="49" fontId="8" fillId="0" borderId="0" xfId="0" applyNumberFormat="1" applyFont="1"/>
    <xf numFmtId="0" fontId="8" fillId="0" borderId="0" xfId="39" applyAlignment="1" applyProtection="1">
      <alignment vertical="top" wrapText="1" readingOrder="1"/>
      <protection locked="0"/>
    </xf>
    <xf numFmtId="0" fontId="38" fillId="0" borderId="0" xfId="39" applyFont="1" applyAlignment="1" applyProtection="1">
      <alignment horizontal="center" vertical="top" wrapText="1" readingOrder="1"/>
      <protection locked="0"/>
    </xf>
    <xf numFmtId="0" fontId="49" fillId="0" borderId="0" xfId="0" applyFont="1"/>
    <xf numFmtId="0" fontId="39" fillId="0" borderId="0" xfId="0" applyFont="1"/>
    <xf numFmtId="0" fontId="8" fillId="0" borderId="0" xfId="39" applyAlignment="1" applyProtection="1">
      <alignment horizontal="left" vertical="top" wrapText="1" readingOrder="1"/>
      <protection locked="0"/>
    </xf>
    <xf numFmtId="0" fontId="8" fillId="0" borderId="0" xfId="0" applyFont="1" applyAlignment="1">
      <alignment vertical="top"/>
    </xf>
    <xf numFmtId="0" fontId="38" fillId="0" borderId="0" xfId="0" applyFont="1" applyAlignment="1">
      <alignment horizontal="center"/>
    </xf>
    <xf numFmtId="0" fontId="8" fillId="0" borderId="0" xfId="0" applyFont="1" applyAlignment="1">
      <alignment horizontal="left" vertical="top"/>
    </xf>
    <xf numFmtId="49" fontId="8" fillId="0" borderId="0" xfId="0" applyNumberFormat="1" applyFont="1" applyAlignment="1">
      <alignment horizontal="center" vertical="top"/>
    </xf>
    <xf numFmtId="49" fontId="8" fillId="0" borderId="0" xfId="0" applyNumberFormat="1" applyFont="1" applyAlignment="1">
      <alignment horizontal="left" vertical="top" wrapText="1"/>
    </xf>
    <xf numFmtId="49" fontId="33" fillId="0" borderId="0" xfId="0" applyNumberFormat="1" applyFont="1" applyAlignment="1">
      <alignment horizontal="center" vertical="top" wrapText="1"/>
    </xf>
    <xf numFmtId="49" fontId="33" fillId="0" borderId="0" xfId="0" applyNumberFormat="1" applyFont="1" applyAlignment="1">
      <alignment horizontal="left" vertical="top" wrapText="1"/>
    </xf>
    <xf numFmtId="0" fontId="33" fillId="0" borderId="0" xfId="0" applyFont="1" applyAlignment="1">
      <alignment horizontal="left" vertical="top"/>
    </xf>
    <xf numFmtId="49" fontId="33" fillId="0" borderId="0" xfId="0" applyNumberFormat="1" applyFont="1" applyAlignment="1">
      <alignment horizontal="center" vertical="top"/>
    </xf>
    <xf numFmtId="0" fontId="8" fillId="0" borderId="0" xfId="0" applyFont="1" applyAlignment="1">
      <alignment horizontal="center" vertical="top"/>
    </xf>
    <xf numFmtId="0" fontId="54" fillId="0" borderId="0" xfId="0" applyFont="1" applyAlignment="1">
      <alignment horizontal="left" vertical="center"/>
    </xf>
    <xf numFmtId="0" fontId="33" fillId="0" borderId="0" xfId="0" applyFont="1" applyAlignment="1">
      <alignment horizontal="center" vertical="top"/>
    </xf>
    <xf numFmtId="49" fontId="38" fillId="33" borderId="0" xfId="0" applyNumberFormat="1" applyFont="1" applyFill="1"/>
    <xf numFmtId="0" fontId="38" fillId="33" borderId="0" xfId="0" applyFont="1" applyFill="1"/>
    <xf numFmtId="49" fontId="38" fillId="0" borderId="0" xfId="39" applyNumberFormat="1" applyFont="1" applyAlignment="1">
      <alignment horizontal="center"/>
    </xf>
    <xf numFmtId="165" fontId="55" fillId="0" borderId="0" xfId="0" applyNumberFormat="1" applyFont="1" applyAlignment="1">
      <alignment horizontal="center" vertical="center"/>
    </xf>
    <xf numFmtId="0" fontId="56" fillId="0" borderId="0" xfId="0" applyFont="1" applyAlignment="1">
      <alignment horizontal="left" vertical="center"/>
    </xf>
    <xf numFmtId="49" fontId="57" fillId="0" borderId="0" xfId="0" applyNumberFormat="1" applyFont="1" applyAlignment="1">
      <alignment horizontal="center" vertical="center"/>
    </xf>
    <xf numFmtId="0" fontId="38" fillId="0" borderId="0" xfId="0" applyFont="1" applyAlignment="1">
      <alignment horizontal="left" vertical="center"/>
    </xf>
    <xf numFmtId="49" fontId="60" fillId="0" borderId="0" xfId="0" applyNumberFormat="1" applyFont="1" applyAlignment="1">
      <alignment horizontal="center" vertical="center"/>
    </xf>
    <xf numFmtId="0" fontId="59" fillId="0" borderId="0" xfId="0" applyFont="1"/>
    <xf numFmtId="165" fontId="58" fillId="0" borderId="0" xfId="0" applyNumberFormat="1" applyFont="1" applyAlignment="1">
      <alignment horizontal="center"/>
    </xf>
    <xf numFmtId="0" fontId="8" fillId="37" borderId="36" xfId="0" applyFont="1" applyFill="1" applyBorder="1" applyAlignment="1">
      <alignment horizontal="center"/>
    </xf>
    <xf numFmtId="49" fontId="38" fillId="0" borderId="0" xfId="0" applyNumberFormat="1" applyFont="1" applyAlignment="1">
      <alignment horizontal="center"/>
    </xf>
    <xf numFmtId="0" fontId="8" fillId="0" borderId="0" xfId="0" applyFont="1" applyAlignment="1" applyProtection="1">
      <alignment horizontal="center" vertical="top" wrapText="1" readingOrder="1"/>
      <protection locked="0"/>
    </xf>
    <xf numFmtId="0" fontId="8" fillId="0" borderId="12" xfId="0" applyFont="1" applyBorder="1" applyAlignment="1" applyProtection="1">
      <alignment vertical="top" wrapText="1" readingOrder="1"/>
      <protection locked="0"/>
    </xf>
    <xf numFmtId="0" fontId="8" fillId="0" borderId="16" xfId="0" applyFont="1" applyBorder="1" applyAlignment="1">
      <alignment vertical="top" wrapText="1"/>
    </xf>
    <xf numFmtId="0" fontId="8" fillId="0" borderId="17" xfId="0" applyFont="1" applyBorder="1" applyAlignment="1">
      <alignment horizontal="center" wrapText="1"/>
    </xf>
    <xf numFmtId="0" fontId="8" fillId="0" borderId="17" xfId="0" applyFont="1" applyBorder="1" applyAlignment="1">
      <alignment horizontal="center"/>
    </xf>
    <xf numFmtId="0" fontId="8" fillId="0" borderId="17" xfId="0" applyFont="1" applyBorder="1"/>
    <xf numFmtId="0" fontId="8" fillId="0" borderId="18" xfId="0" applyFont="1" applyBorder="1"/>
    <xf numFmtId="0" fontId="63" fillId="0" borderId="0" xfId="34" applyFont="1" applyFill="1" applyAlignment="1" applyProtection="1">
      <alignment vertical="top" wrapText="1" readingOrder="1"/>
      <protection locked="0"/>
    </xf>
    <xf numFmtId="0" fontId="8" fillId="0" borderId="30" xfId="0" applyFont="1" applyBorder="1" applyAlignment="1" applyProtection="1">
      <alignment vertical="top" wrapText="1" readingOrder="1"/>
      <protection locked="0"/>
    </xf>
    <xf numFmtId="49" fontId="8" fillId="0" borderId="30" xfId="0" applyNumberFormat="1" applyFont="1" applyBorder="1" applyAlignment="1" applyProtection="1">
      <alignment horizontal="center" vertical="top" wrapText="1" readingOrder="1"/>
      <protection locked="0"/>
    </xf>
    <xf numFmtId="49" fontId="8" fillId="0" borderId="30" xfId="0" applyNumberFormat="1" applyFont="1" applyBorder="1" applyAlignment="1" applyProtection="1">
      <alignment horizontal="left" vertical="top" wrapText="1" readingOrder="1"/>
      <protection locked="0"/>
    </xf>
    <xf numFmtId="0" fontId="8" fillId="0" borderId="30" xfId="0" applyFont="1" applyBorder="1" applyAlignment="1" applyProtection="1">
      <alignment horizontal="left" vertical="top" wrapText="1" readingOrder="1"/>
      <protection locked="0"/>
    </xf>
    <xf numFmtId="0" fontId="8" fillId="0" borderId="30" xfId="0" applyFont="1" applyBorder="1" applyAlignment="1" applyProtection="1">
      <alignment horizontal="center" vertical="top" wrapText="1" readingOrder="1"/>
      <protection locked="0"/>
    </xf>
    <xf numFmtId="0" fontId="63" fillId="0" borderId="30" xfId="34" applyFont="1" applyFill="1" applyBorder="1" applyAlignment="1" applyProtection="1">
      <alignment vertical="top" wrapText="1" readingOrder="1"/>
      <protection locked="0"/>
    </xf>
    <xf numFmtId="0" fontId="8" fillId="0" borderId="31" xfId="0" applyFont="1" applyBorder="1" applyAlignment="1" applyProtection="1">
      <alignment vertical="top" wrapText="1" readingOrder="1"/>
      <protection locked="0"/>
    </xf>
    <xf numFmtId="0" fontId="8" fillId="0" borderId="30" xfId="0" applyFont="1" applyBorder="1"/>
    <xf numFmtId="49" fontId="33" fillId="0" borderId="0" xfId="0" applyNumberFormat="1" applyFont="1" applyAlignment="1" applyProtection="1">
      <alignment horizontal="center" vertical="top" wrapText="1" readingOrder="1"/>
      <protection locked="0"/>
    </xf>
    <xf numFmtId="0" fontId="33" fillId="0" borderId="23" xfId="0" applyFont="1" applyBorder="1" applyAlignment="1" applyProtection="1">
      <alignment vertical="top" wrapText="1" readingOrder="1"/>
      <protection locked="0"/>
    </xf>
    <xf numFmtId="49" fontId="33" fillId="0" borderId="23" xfId="0" applyNumberFormat="1" applyFont="1" applyBorder="1" applyAlignment="1" applyProtection="1">
      <alignment horizontal="left" vertical="top" wrapText="1" readingOrder="1"/>
      <protection locked="0"/>
    </xf>
    <xf numFmtId="0" fontId="33" fillId="0" borderId="23" xfId="0" applyFont="1" applyBorder="1" applyAlignment="1" applyProtection="1">
      <alignment horizontal="left" vertical="top" wrapText="1" readingOrder="1"/>
      <protection locked="0"/>
    </xf>
    <xf numFmtId="0" fontId="33" fillId="0" borderId="23" xfId="0" applyFont="1" applyBorder="1" applyAlignment="1">
      <alignment horizontal="left" vertical="top" wrapText="1"/>
    </xf>
    <xf numFmtId="0" fontId="33" fillId="0" borderId="0" xfId="0" applyFont="1" applyAlignment="1" applyProtection="1">
      <alignment vertical="top" wrapText="1" readingOrder="1"/>
      <protection locked="0"/>
    </xf>
    <xf numFmtId="49" fontId="33" fillId="0" borderId="0" xfId="0" applyNumberFormat="1" applyFont="1" applyAlignment="1" applyProtection="1">
      <alignment horizontal="left" vertical="top" wrapText="1" readingOrder="1"/>
      <protection locked="0"/>
    </xf>
    <xf numFmtId="0" fontId="33" fillId="0" borderId="0" xfId="0" applyFont="1" applyAlignment="1" applyProtection="1">
      <alignment horizontal="left" vertical="top" wrapText="1" readingOrder="1"/>
      <protection locked="0"/>
    </xf>
    <xf numFmtId="0" fontId="33" fillId="0" borderId="0" xfId="200" applyFont="1" applyAlignment="1" applyProtection="1">
      <alignment horizontal="left" vertical="top" wrapText="1"/>
      <protection locked="0"/>
    </xf>
    <xf numFmtId="0" fontId="33" fillId="0" borderId="0" xfId="0" applyFont="1" applyAlignment="1">
      <alignment horizontal="left" vertical="top" wrapText="1"/>
    </xf>
    <xf numFmtId="0" fontId="33" fillId="0" borderId="0" xfId="0" applyFont="1" applyAlignment="1" applyProtection="1">
      <alignment horizontal="center" vertical="top" wrapText="1" readingOrder="1"/>
      <protection locked="0"/>
    </xf>
    <xf numFmtId="49" fontId="33" fillId="0" borderId="30" xfId="0" applyNumberFormat="1" applyFont="1" applyBorder="1" applyAlignment="1" applyProtection="1">
      <alignment horizontal="center" vertical="top" wrapText="1" readingOrder="1"/>
      <protection locked="0"/>
    </xf>
    <xf numFmtId="0" fontId="33" fillId="0" borderId="30" xfId="0" applyFont="1" applyBorder="1" applyAlignment="1" applyProtection="1">
      <alignment vertical="top" wrapText="1" readingOrder="1"/>
      <protection locked="0"/>
    </xf>
    <xf numFmtId="0" fontId="33" fillId="0" borderId="30" xfId="0" applyFont="1" applyBorder="1" applyAlignment="1">
      <alignment horizontal="left" vertical="top" wrapText="1"/>
    </xf>
    <xf numFmtId="0" fontId="33" fillId="0" borderId="30" xfId="0" applyFont="1" applyBorder="1" applyAlignment="1" applyProtection="1">
      <alignment horizontal="center" vertical="top" wrapText="1" readingOrder="1"/>
      <protection locked="0"/>
    </xf>
    <xf numFmtId="0" fontId="8" fillId="34" borderId="0" xfId="0" applyFont="1" applyFill="1" applyAlignment="1">
      <alignment horizontal="center" vertical="top"/>
    </xf>
    <xf numFmtId="0" fontId="65" fillId="0" borderId="0" xfId="0" applyFont="1"/>
    <xf numFmtId="49" fontId="66" fillId="41" borderId="0" xfId="0" applyNumberFormat="1" applyFont="1" applyFill="1" applyAlignment="1">
      <alignment horizontal="center" vertical="top"/>
    </xf>
    <xf numFmtId="0" fontId="47" fillId="34" borderId="0" xfId="0" applyFont="1" applyFill="1" applyAlignment="1">
      <alignment horizontal="center" vertical="top"/>
    </xf>
    <xf numFmtId="0" fontId="47" fillId="0" borderId="0" xfId="0" applyFont="1"/>
    <xf numFmtId="0" fontId="47" fillId="35" borderId="0" xfId="0" applyFont="1" applyFill="1" applyAlignment="1">
      <alignment horizontal="center" vertical="top"/>
    </xf>
    <xf numFmtId="49" fontId="47" fillId="35" borderId="0" xfId="0" applyNumberFormat="1" applyFont="1" applyFill="1" applyAlignment="1">
      <alignment horizontal="center" vertical="top"/>
    </xf>
    <xf numFmtId="49" fontId="33" fillId="0" borderId="30" xfId="0" applyNumberFormat="1" applyFont="1" applyBorder="1" applyAlignment="1" applyProtection="1">
      <alignment horizontal="left" vertical="top" wrapText="1" readingOrder="1"/>
      <protection locked="0"/>
    </xf>
    <xf numFmtId="0" fontId="66" fillId="41" borderId="0" xfId="0" applyFont="1" applyFill="1" applyAlignment="1">
      <alignment horizontal="center" vertical="top"/>
    </xf>
    <xf numFmtId="0" fontId="46" fillId="33" borderId="35" xfId="0" applyFont="1" applyFill="1" applyBorder="1" applyAlignment="1" applyProtection="1">
      <alignment vertical="center" wrapText="1" readingOrder="1"/>
      <protection locked="0"/>
    </xf>
    <xf numFmtId="0" fontId="46" fillId="33" borderId="36" xfId="0" applyFont="1" applyFill="1" applyBorder="1" applyAlignment="1" applyProtection="1">
      <alignment vertical="center" wrapText="1" readingOrder="1"/>
      <protection locked="0"/>
    </xf>
    <xf numFmtId="0" fontId="8" fillId="37" borderId="35" xfId="0" applyFont="1" applyFill="1" applyBorder="1" applyAlignment="1">
      <alignment vertical="center"/>
    </xf>
    <xf numFmtId="0" fontId="8" fillId="37" borderId="36" xfId="0" applyFont="1" applyFill="1" applyBorder="1" applyAlignment="1">
      <alignment vertical="center"/>
    </xf>
    <xf numFmtId="0" fontId="8" fillId="35" borderId="35" xfId="0" applyFont="1" applyFill="1" applyBorder="1" applyAlignment="1">
      <alignment vertical="center"/>
    </xf>
    <xf numFmtId="0" fontId="8" fillId="35" borderId="36" xfId="0" applyFont="1" applyFill="1" applyBorder="1" applyAlignment="1">
      <alignment vertical="center"/>
    </xf>
    <xf numFmtId="0" fontId="8" fillId="39" borderId="35" xfId="0" applyFont="1" applyFill="1" applyBorder="1" applyAlignment="1">
      <alignment vertical="center"/>
    </xf>
    <xf numFmtId="0" fontId="8" fillId="39" borderId="36" xfId="0" applyFont="1" applyFill="1" applyBorder="1" applyAlignment="1">
      <alignment vertical="center"/>
    </xf>
    <xf numFmtId="0" fontId="8" fillId="40" borderId="39" xfId="0" applyFont="1" applyFill="1" applyBorder="1" applyAlignment="1">
      <alignment vertical="center"/>
    </xf>
    <xf numFmtId="0" fontId="8" fillId="40" borderId="40" xfId="0" applyFont="1" applyFill="1" applyBorder="1" applyAlignment="1">
      <alignment vertical="center"/>
    </xf>
    <xf numFmtId="0" fontId="33" fillId="0" borderId="0" xfId="0" applyFont="1" applyAlignment="1">
      <alignment vertical="top"/>
    </xf>
    <xf numFmtId="0" fontId="33" fillId="0" borderId="23" xfId="0" applyFont="1" applyBorder="1" applyAlignment="1">
      <alignment vertical="top"/>
    </xf>
    <xf numFmtId="0" fontId="33" fillId="0" borderId="23" xfId="0" applyFont="1" applyBorder="1" applyAlignment="1">
      <alignment horizontal="left" vertical="top" readingOrder="1"/>
    </xf>
    <xf numFmtId="0" fontId="33" fillId="0" borderId="23" xfId="0" applyFont="1" applyBorder="1" applyAlignment="1">
      <alignment horizontal="center" vertical="top"/>
    </xf>
    <xf numFmtId="0" fontId="33" fillId="0" borderId="23"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readingOrder="1"/>
    </xf>
    <xf numFmtId="0" fontId="33" fillId="0" borderId="12" xfId="0" applyFont="1" applyBorder="1" applyAlignment="1">
      <alignment horizontal="left" vertical="top"/>
    </xf>
    <xf numFmtId="14" fontId="33" fillId="0" borderId="0" xfId="0" applyNumberFormat="1" applyFont="1" applyAlignment="1">
      <alignment horizontal="left" vertical="top"/>
    </xf>
    <xf numFmtId="0" fontId="33" fillId="0" borderId="30" xfId="0" applyFont="1" applyBorder="1" applyAlignment="1">
      <alignment vertical="top"/>
    </xf>
    <xf numFmtId="0" fontId="33" fillId="0" borderId="31" xfId="0" applyFont="1" applyBorder="1" applyAlignment="1">
      <alignment horizontal="left" vertical="top"/>
    </xf>
    <xf numFmtId="0" fontId="45" fillId="0" borderId="0" xfId="0" applyFont="1" applyAlignment="1">
      <alignment vertical="top"/>
    </xf>
    <xf numFmtId="0" fontId="68" fillId="33" borderId="1" xfId="0" applyFont="1" applyFill="1" applyBorder="1" applyAlignment="1" applyProtection="1">
      <alignment vertical="top" wrapText="1" readingOrder="1"/>
      <protection locked="0"/>
    </xf>
    <xf numFmtId="0" fontId="38" fillId="0" borderId="0" xfId="0" applyFont="1" applyAlignment="1">
      <alignment horizontal="center" wrapText="1"/>
    </xf>
    <xf numFmtId="0" fontId="38" fillId="0" borderId="0" xfId="39" applyFont="1" applyAlignment="1" applyProtection="1">
      <alignment horizontal="center" vertical="top" readingOrder="1"/>
      <protection locked="0"/>
    </xf>
    <xf numFmtId="0" fontId="8" fillId="0" borderId="0" xfId="39" applyAlignment="1" applyProtection="1">
      <alignment horizontal="left" vertical="top" readingOrder="1"/>
      <protection locked="0"/>
    </xf>
    <xf numFmtId="0" fontId="57" fillId="0" borderId="0" xfId="0" applyFont="1" applyAlignment="1">
      <alignment horizontal="center" vertical="top" wrapText="1"/>
    </xf>
    <xf numFmtId="0" fontId="58" fillId="0" borderId="0" xfId="0" applyFont="1" applyAlignment="1">
      <alignment horizontal="center"/>
    </xf>
    <xf numFmtId="0" fontId="60" fillId="0" borderId="0" xfId="0" applyFont="1" applyAlignment="1">
      <alignment horizontal="center" vertical="top" wrapText="1"/>
    </xf>
    <xf numFmtId="49" fontId="56" fillId="0" borderId="0" xfId="0" applyNumberFormat="1" applyFont="1" applyAlignment="1">
      <alignment horizontal="center" vertical="center"/>
    </xf>
    <xf numFmtId="49" fontId="56" fillId="0" borderId="0" xfId="0" applyNumberFormat="1" applyFont="1" applyAlignment="1">
      <alignment horizontal="left" vertical="center"/>
    </xf>
    <xf numFmtId="49" fontId="57" fillId="0" borderId="0" xfId="0" applyNumberFormat="1" applyFont="1" applyAlignment="1">
      <alignment horizontal="center" vertical="top" wrapText="1"/>
    </xf>
    <xf numFmtId="49" fontId="57" fillId="0" borderId="0" xfId="0" applyNumberFormat="1" applyFont="1" applyAlignment="1">
      <alignment horizontal="left" vertical="center"/>
    </xf>
    <xf numFmtId="49" fontId="58" fillId="0" borderId="0" xfId="0" applyNumberFormat="1" applyFont="1" applyAlignment="1">
      <alignment horizontal="center"/>
    </xf>
    <xf numFmtId="49" fontId="58" fillId="0" borderId="0" xfId="0" applyNumberFormat="1" applyFont="1" applyAlignment="1">
      <alignment horizontal="left"/>
    </xf>
    <xf numFmtId="49" fontId="59" fillId="0" borderId="0" xfId="0" applyNumberFormat="1" applyFont="1" applyAlignment="1">
      <alignment horizontal="center" vertical="top"/>
    </xf>
    <xf numFmtId="49" fontId="59" fillId="0" borderId="0" xfId="0" applyNumberFormat="1" applyFont="1"/>
    <xf numFmtId="49" fontId="60" fillId="0" borderId="0" xfId="0" applyNumberFormat="1" applyFont="1" applyAlignment="1">
      <alignment horizontal="center" vertical="top" wrapText="1"/>
    </xf>
    <xf numFmtId="49" fontId="60" fillId="0" borderId="0" xfId="0" applyNumberFormat="1" applyFont="1" applyAlignment="1">
      <alignment horizontal="left"/>
    </xf>
    <xf numFmtId="49" fontId="8" fillId="0" borderId="0" xfId="0" applyNumberFormat="1" applyFont="1" applyAlignment="1">
      <alignment horizontal="left"/>
    </xf>
    <xf numFmtId="0" fontId="69" fillId="0" borderId="0" xfId="297" applyFont="1" applyFill="1"/>
    <xf numFmtId="0" fontId="69" fillId="0" borderId="0" xfId="297" applyFont="1" applyFill="1" applyAlignment="1">
      <alignment wrapText="1"/>
    </xf>
    <xf numFmtId="0" fontId="70" fillId="33" borderId="0" xfId="39" applyFont="1" applyFill="1" applyAlignment="1" applyProtection="1">
      <alignment vertical="top" wrapText="1" readingOrder="1"/>
      <protection locked="0"/>
    </xf>
    <xf numFmtId="0" fontId="70" fillId="33" borderId="0" xfId="39" applyFont="1" applyFill="1" applyAlignment="1" applyProtection="1">
      <alignment horizontal="center" vertical="top" wrapText="1" readingOrder="1"/>
      <protection locked="0"/>
    </xf>
    <xf numFmtId="0" fontId="70" fillId="33" borderId="0" xfId="0" applyFont="1" applyFill="1" applyAlignment="1">
      <alignment horizontal="left" vertical="top" wrapText="1"/>
    </xf>
    <xf numFmtId="0" fontId="8" fillId="0" borderId="45" xfId="0" applyFont="1" applyBorder="1" applyAlignment="1" applyProtection="1">
      <alignment vertical="top" wrapText="1" readingOrder="1"/>
      <protection locked="0"/>
    </xf>
    <xf numFmtId="0" fontId="8" fillId="0" borderId="42" xfId="0" applyFont="1" applyBorder="1" applyAlignment="1" applyProtection="1">
      <alignment vertical="top" wrapText="1" readingOrder="1"/>
      <protection locked="0"/>
    </xf>
    <xf numFmtId="0" fontId="8" fillId="0" borderId="20" xfId="0" applyFont="1" applyBorder="1" applyAlignment="1">
      <alignment horizontal="center" vertical="top" wrapText="1"/>
    </xf>
    <xf numFmtId="0" fontId="8" fillId="0" borderId="20" xfId="0" applyFont="1" applyBorder="1" applyAlignment="1">
      <alignment horizontal="center" vertical="top"/>
    </xf>
    <xf numFmtId="0" fontId="8" fillId="0" borderId="20" xfId="0" applyFont="1" applyBorder="1" applyAlignment="1">
      <alignment vertical="top"/>
    </xf>
    <xf numFmtId="0" fontId="8" fillId="0" borderId="21" xfId="0" applyFont="1" applyBorder="1" applyAlignment="1">
      <alignment vertical="top"/>
    </xf>
    <xf numFmtId="0" fontId="8" fillId="0" borderId="43" xfId="0" applyFont="1" applyBorder="1" applyAlignment="1" applyProtection="1">
      <alignment vertical="top" wrapText="1" readingOrder="1"/>
      <protection locked="0"/>
    </xf>
    <xf numFmtId="0" fontId="8" fillId="0" borderId="43" xfId="0" applyFont="1" applyBorder="1" applyAlignment="1" applyProtection="1">
      <alignment horizontal="center" vertical="top" wrapText="1" readingOrder="1"/>
      <protection locked="0"/>
    </xf>
    <xf numFmtId="0" fontId="8" fillId="0" borderId="43" xfId="0" applyFont="1" applyBorder="1" applyAlignment="1" applyProtection="1">
      <alignment horizontal="left" vertical="top" wrapText="1" readingOrder="1"/>
      <protection locked="0"/>
    </xf>
    <xf numFmtId="0" fontId="8" fillId="0" borderId="44" xfId="0" applyFont="1" applyBorder="1" applyAlignment="1" applyProtection="1">
      <alignment vertical="top" wrapText="1" readingOrder="1"/>
      <protection locked="0"/>
    </xf>
    <xf numFmtId="0" fontId="8" fillId="34" borderId="0" xfId="0" applyFont="1" applyFill="1" applyAlignment="1" applyProtection="1">
      <alignment vertical="top" wrapText="1" readingOrder="1"/>
      <protection locked="0"/>
    </xf>
    <xf numFmtId="0" fontId="47" fillId="0" borderId="12" xfId="0" applyFont="1" applyBorder="1" applyAlignment="1" applyProtection="1">
      <alignment vertical="top" wrapText="1" readingOrder="1"/>
      <protection locked="0"/>
    </xf>
    <xf numFmtId="0" fontId="47" fillId="0" borderId="19" xfId="0" applyFont="1" applyBorder="1" applyAlignment="1">
      <alignment horizontal="left" vertical="top" wrapText="1"/>
    </xf>
    <xf numFmtId="0" fontId="47" fillId="0" borderId="20" xfId="0" applyFont="1" applyBorder="1" applyAlignment="1">
      <alignment horizontal="center" wrapText="1"/>
    </xf>
    <xf numFmtId="0" fontId="47" fillId="0" borderId="20" xfId="0" applyFont="1" applyBorder="1" applyAlignment="1">
      <alignment horizontal="center"/>
    </xf>
    <xf numFmtId="0" fontId="47" fillId="0" borderId="20" xfId="0" applyFont="1" applyBorder="1"/>
    <xf numFmtId="0" fontId="47" fillId="0" borderId="21" xfId="0" applyFont="1" applyBorder="1"/>
    <xf numFmtId="0" fontId="38" fillId="34" borderId="11" xfId="0" applyFont="1" applyFill="1" applyBorder="1" applyAlignment="1">
      <alignment vertical="center"/>
    </xf>
    <xf numFmtId="0" fontId="8" fillId="34" borderId="11" xfId="0" applyFont="1" applyFill="1" applyBorder="1" applyAlignment="1">
      <alignment horizontal="center" vertical="center"/>
    </xf>
    <xf numFmtId="0" fontId="41" fillId="41" borderId="11" xfId="0" applyFont="1" applyFill="1" applyBorder="1" applyAlignment="1" applyProtection="1">
      <alignment vertical="center"/>
      <protection locked="0"/>
    </xf>
    <xf numFmtId="0" fontId="41" fillId="41" borderId="11" xfId="0" applyFont="1" applyFill="1" applyBorder="1" applyAlignment="1" applyProtection="1">
      <alignment horizontal="center" vertical="center"/>
      <protection locked="0"/>
    </xf>
    <xf numFmtId="49" fontId="8" fillId="0" borderId="0" xfId="0" quotePrefix="1" applyNumberFormat="1" applyFont="1" applyAlignment="1">
      <alignment horizontal="center" vertical="top"/>
    </xf>
    <xf numFmtId="0" fontId="31" fillId="0" borderId="0" xfId="0" applyFont="1" applyAlignment="1">
      <alignment horizontal="center" vertical="top"/>
    </xf>
    <xf numFmtId="49" fontId="33" fillId="0" borderId="0" xfId="0" applyNumberFormat="1" applyFont="1" applyAlignment="1">
      <alignment horizontal="left" vertical="top"/>
    </xf>
    <xf numFmtId="49" fontId="8" fillId="0" borderId="0" xfId="0" applyNumberFormat="1" applyFont="1" applyAlignment="1">
      <alignment horizontal="left" vertical="top"/>
    </xf>
    <xf numFmtId="0" fontId="66" fillId="0" borderId="0" xfId="0" applyFont="1"/>
    <xf numFmtId="0" fontId="8" fillId="34" borderId="0" xfId="0" applyFont="1" applyFill="1" applyAlignment="1">
      <alignment vertical="top"/>
    </xf>
    <xf numFmtId="49" fontId="66" fillId="41" borderId="0" xfId="0" applyNumberFormat="1" applyFont="1" applyFill="1" applyAlignment="1">
      <alignment horizontal="left" vertical="top"/>
    </xf>
    <xf numFmtId="49" fontId="47" fillId="35" borderId="0" xfId="0" applyNumberFormat="1" applyFont="1" applyFill="1" applyAlignment="1">
      <alignment horizontal="left" vertical="top"/>
    </xf>
    <xf numFmtId="0" fontId="47" fillId="35" borderId="0" xfId="0" applyFont="1" applyFill="1" applyAlignment="1">
      <alignment vertical="top"/>
    </xf>
    <xf numFmtId="0" fontId="40" fillId="35" borderId="1" xfId="0" applyFont="1" applyFill="1" applyBorder="1" applyAlignment="1" applyProtection="1">
      <alignment wrapText="1" readingOrder="1"/>
      <protection locked="0"/>
    </xf>
    <xf numFmtId="49" fontId="40" fillId="35" borderId="1" xfId="0" applyNumberFormat="1" applyFont="1" applyFill="1" applyBorder="1" applyAlignment="1" applyProtection="1">
      <alignment horizontal="center" wrapText="1" readingOrder="1"/>
      <protection locked="0"/>
    </xf>
    <xf numFmtId="0" fontId="38" fillId="35" borderId="1" xfId="0" applyFont="1" applyFill="1" applyBorder="1" applyAlignment="1" applyProtection="1">
      <alignment wrapText="1" readingOrder="1"/>
      <protection locked="0"/>
    </xf>
    <xf numFmtId="0" fontId="40" fillId="35" borderId="1" xfId="0" applyFont="1" applyFill="1" applyBorder="1" applyAlignment="1" applyProtection="1">
      <alignment horizontal="left" wrapText="1" readingOrder="1"/>
      <protection locked="0"/>
    </xf>
    <xf numFmtId="0" fontId="40" fillId="35" borderId="13" xfId="0" applyFont="1" applyFill="1" applyBorder="1" applyAlignment="1" applyProtection="1">
      <alignment wrapText="1" readingOrder="1"/>
      <protection locked="0"/>
    </xf>
    <xf numFmtId="0" fontId="63" fillId="0" borderId="0" xfId="34" applyFont="1" applyFill="1" applyBorder="1" applyAlignment="1" applyProtection="1">
      <alignment vertical="top" wrapText="1" readingOrder="1"/>
      <protection locked="0"/>
    </xf>
    <xf numFmtId="0" fontId="31" fillId="34" borderId="22" xfId="0" applyFont="1" applyFill="1" applyBorder="1"/>
    <xf numFmtId="164" fontId="31" fillId="34" borderId="0" xfId="0" applyNumberFormat="1" applyFont="1" applyFill="1" applyAlignment="1">
      <alignment horizontal="left"/>
    </xf>
    <xf numFmtId="0" fontId="8" fillId="34" borderId="0" xfId="0" quotePrefix="1" applyFont="1" applyFill="1" applyAlignment="1" applyProtection="1">
      <alignment vertical="top" wrapText="1" readingOrder="1"/>
      <protection locked="0"/>
    </xf>
    <xf numFmtId="0" fontId="8" fillId="0" borderId="0" xfId="0" quotePrefix="1" applyFont="1" applyAlignment="1" applyProtection="1">
      <alignment vertical="top" wrapText="1" readingOrder="1"/>
      <protection locked="0"/>
    </xf>
    <xf numFmtId="0" fontId="33" fillId="0" borderId="12" xfId="0" applyFont="1" applyBorder="1" applyAlignment="1">
      <alignment horizontal="left" vertical="top" wrapText="1"/>
    </xf>
    <xf numFmtId="0" fontId="72" fillId="0" borderId="0" xfId="34" applyFont="1" applyFill="1" applyAlignment="1" applyProtection="1">
      <alignment vertical="top" wrapText="1" readingOrder="1"/>
      <protection locked="0"/>
    </xf>
    <xf numFmtId="0" fontId="72" fillId="0" borderId="30" xfId="34" applyFont="1" applyFill="1" applyBorder="1" applyAlignment="1" applyProtection="1">
      <alignment vertical="top" wrapText="1" readingOrder="1"/>
      <protection locked="0"/>
    </xf>
    <xf numFmtId="0" fontId="73" fillId="0" borderId="0" xfId="0" applyFont="1" applyAlignment="1">
      <alignment vertical="top"/>
    </xf>
    <xf numFmtId="49" fontId="73" fillId="0" borderId="0" xfId="0" applyNumberFormat="1" applyFont="1" applyAlignment="1" applyProtection="1">
      <alignment horizontal="center" vertical="top" wrapText="1" readingOrder="1"/>
      <protection locked="0"/>
    </xf>
    <xf numFmtId="0" fontId="73" fillId="0" borderId="23" xfId="0" applyFont="1" applyBorder="1" applyAlignment="1" applyProtection="1">
      <alignment vertical="top" wrapText="1" readingOrder="1"/>
      <protection locked="0"/>
    </xf>
    <xf numFmtId="49" fontId="73" fillId="0" borderId="23" xfId="0" applyNumberFormat="1" applyFont="1" applyBorder="1" applyAlignment="1" applyProtection="1">
      <alignment horizontal="left" vertical="top" wrapText="1" readingOrder="1"/>
      <protection locked="0"/>
    </xf>
    <xf numFmtId="0" fontId="73" fillId="0" borderId="23" xfId="0" applyFont="1" applyBorder="1" applyAlignment="1">
      <alignment vertical="top"/>
    </xf>
    <xf numFmtId="0" fontId="73" fillId="0" borderId="23" xfId="0" applyFont="1" applyBorder="1" applyAlignment="1" applyProtection="1">
      <alignment horizontal="left" vertical="top" wrapText="1" readingOrder="1"/>
      <protection locked="0"/>
    </xf>
    <xf numFmtId="0" fontId="73" fillId="0" borderId="23" xfId="0" applyFont="1" applyBorder="1" applyAlignment="1">
      <alignment horizontal="left" vertical="top" wrapText="1"/>
    </xf>
    <xf numFmtId="0" fontId="73" fillId="0" borderId="23" xfId="0" applyFont="1" applyBorder="1" applyAlignment="1">
      <alignment horizontal="left" vertical="top" readingOrder="1"/>
    </xf>
    <xf numFmtId="0" fontId="73" fillId="0" borderId="23" xfId="0" applyFont="1" applyBorder="1" applyAlignment="1">
      <alignment horizontal="center" vertical="top"/>
    </xf>
    <xf numFmtId="0" fontId="73" fillId="0" borderId="23" xfId="0" applyFont="1" applyBorder="1" applyAlignment="1">
      <alignment horizontal="left" vertical="top"/>
    </xf>
    <xf numFmtId="0" fontId="74" fillId="0" borderId="0" xfId="34" applyFont="1" applyFill="1" applyAlignment="1" applyProtection="1">
      <alignment vertical="top" wrapText="1" readingOrder="1"/>
      <protection locked="0"/>
    </xf>
    <xf numFmtId="0" fontId="73" fillId="0" borderId="29" xfId="0" applyFont="1" applyBorder="1" applyAlignment="1">
      <alignment horizontal="left" vertical="top"/>
    </xf>
    <xf numFmtId="0" fontId="73" fillId="0" borderId="0" xfId="0" applyFont="1"/>
    <xf numFmtId="0" fontId="73" fillId="0" borderId="0" xfId="0" applyFont="1" applyAlignment="1" applyProtection="1">
      <alignment vertical="top" wrapText="1" readingOrder="1"/>
      <protection locked="0"/>
    </xf>
    <xf numFmtId="49" fontId="73" fillId="0" borderId="0" xfId="0" applyNumberFormat="1" applyFont="1" applyAlignment="1" applyProtection="1">
      <alignment horizontal="left" vertical="top" wrapText="1" readingOrder="1"/>
      <protection locked="0"/>
    </xf>
    <xf numFmtId="0" fontId="73" fillId="0" borderId="0" xfId="0" applyFont="1" applyAlignment="1" applyProtection="1">
      <alignment horizontal="left" vertical="top" wrapText="1" readingOrder="1"/>
      <protection locked="0"/>
    </xf>
    <xf numFmtId="0" fontId="73" fillId="0" borderId="0" xfId="200" applyFont="1" applyAlignment="1" applyProtection="1">
      <alignment horizontal="left" vertical="top" wrapText="1"/>
      <protection locked="0"/>
    </xf>
    <xf numFmtId="0" fontId="73" fillId="0" borderId="0" xfId="0" applyFont="1" applyAlignment="1">
      <alignment horizontal="left" vertical="top" readingOrder="1"/>
    </xf>
    <xf numFmtId="0" fontId="73" fillId="0" borderId="0" xfId="0" applyFont="1" applyAlignment="1">
      <alignment horizontal="center" vertical="top"/>
    </xf>
    <xf numFmtId="0" fontId="73" fillId="0" borderId="0" xfId="0" applyFont="1" applyAlignment="1">
      <alignment horizontal="left" vertical="top"/>
    </xf>
    <xf numFmtId="0" fontId="73" fillId="0" borderId="12" xfId="0" applyFont="1" applyBorder="1" applyAlignment="1">
      <alignment horizontal="left" vertical="top"/>
    </xf>
    <xf numFmtId="0" fontId="73" fillId="0" borderId="12" xfId="0" applyFont="1" applyBorder="1" applyAlignment="1">
      <alignment horizontal="left" vertical="top" wrapText="1"/>
    </xf>
    <xf numFmtId="0" fontId="73" fillId="0" borderId="0" xfId="0" applyFont="1" applyAlignment="1">
      <alignment horizontal="left" vertical="top" wrapText="1"/>
    </xf>
    <xf numFmtId="0" fontId="73" fillId="0" borderId="30" xfId="0" applyFont="1" applyBorder="1" applyAlignment="1">
      <alignment vertical="top"/>
    </xf>
    <xf numFmtId="49" fontId="73" fillId="0" borderId="30" xfId="0" applyNumberFormat="1" applyFont="1" applyBorder="1" applyAlignment="1" applyProtection="1">
      <alignment horizontal="center" vertical="top" wrapText="1" readingOrder="1"/>
      <protection locked="0"/>
    </xf>
    <xf numFmtId="0" fontId="73" fillId="0" borderId="30" xfId="0" applyFont="1" applyBorder="1" applyAlignment="1" applyProtection="1">
      <alignment vertical="top" wrapText="1" readingOrder="1"/>
      <protection locked="0"/>
    </xf>
    <xf numFmtId="49" fontId="73" fillId="0" borderId="30" xfId="0" applyNumberFormat="1" applyFont="1" applyBorder="1" applyAlignment="1" applyProtection="1">
      <alignment horizontal="left" vertical="top" wrapText="1" readingOrder="1"/>
      <protection locked="0"/>
    </xf>
    <xf numFmtId="0" fontId="73" fillId="0" borderId="30" xfId="0" applyFont="1" applyBorder="1" applyAlignment="1" applyProtection="1">
      <alignment horizontal="left" vertical="top" wrapText="1" readingOrder="1"/>
      <protection locked="0"/>
    </xf>
    <xf numFmtId="0" fontId="73" fillId="0" borderId="30" xfId="0" applyFont="1" applyBorder="1" applyAlignment="1">
      <alignment horizontal="left" vertical="top" wrapText="1"/>
    </xf>
    <xf numFmtId="0" fontId="73" fillId="0" borderId="30" xfId="0" applyFont="1" applyBorder="1" applyAlignment="1">
      <alignment horizontal="left" vertical="top" readingOrder="1"/>
    </xf>
    <xf numFmtId="0" fontId="73" fillId="0" borderId="30" xfId="0" applyFont="1" applyBorder="1" applyAlignment="1">
      <alignment horizontal="center" vertical="top"/>
    </xf>
    <xf numFmtId="1" fontId="73" fillId="0" borderId="30" xfId="0" applyNumberFormat="1" applyFont="1" applyBorder="1" applyAlignment="1">
      <alignment horizontal="left" vertical="top"/>
    </xf>
    <xf numFmtId="0" fontId="74" fillId="0" borderId="30" xfId="34" applyFont="1" applyFill="1" applyBorder="1" applyAlignment="1" applyProtection="1">
      <alignment vertical="top" wrapText="1" readingOrder="1"/>
      <protection locked="0"/>
    </xf>
    <xf numFmtId="0" fontId="73" fillId="0" borderId="31" xfId="0" applyFont="1" applyBorder="1" applyAlignment="1">
      <alignment horizontal="left" vertical="top"/>
    </xf>
    <xf numFmtId="49" fontId="8" fillId="0" borderId="0" xfId="39" applyNumberFormat="1" applyAlignment="1">
      <alignment horizontal="center"/>
    </xf>
    <xf numFmtId="49" fontId="8" fillId="0" borderId="0" xfId="39" applyNumberFormat="1" applyAlignment="1">
      <alignment horizontal="left"/>
    </xf>
    <xf numFmtId="49" fontId="76" fillId="0" borderId="0" xfId="39" applyNumberFormat="1" applyFont="1" applyAlignment="1">
      <alignment horizontal="center"/>
    </xf>
    <xf numFmtId="49" fontId="76" fillId="0" borderId="0" xfId="39" applyNumberFormat="1" applyFont="1" applyAlignment="1">
      <alignment horizontal="left"/>
    </xf>
    <xf numFmtId="49" fontId="8" fillId="0" borderId="0" xfId="39" applyNumberFormat="1"/>
    <xf numFmtId="49" fontId="77" fillId="0" borderId="0" xfId="39" applyNumberFormat="1" applyFont="1" applyAlignment="1">
      <alignment horizontal="center"/>
    </xf>
    <xf numFmtId="49" fontId="76" fillId="0" borderId="0" xfId="39" applyNumberFormat="1" applyFont="1"/>
    <xf numFmtId="0" fontId="8" fillId="0" borderId="0" xfId="297" applyFont="1" applyFill="1"/>
    <xf numFmtId="0" fontId="65" fillId="34" borderId="0" xfId="0" applyFont="1" applyFill="1" applyAlignment="1">
      <alignment horizontal="center" vertical="top"/>
    </xf>
    <xf numFmtId="0" fontId="66" fillId="41" borderId="0" xfId="0" applyFont="1" applyFill="1" applyAlignment="1">
      <alignment vertical="top"/>
    </xf>
    <xf numFmtId="0" fontId="66" fillId="34" borderId="0" xfId="298" applyFont="1" applyFill="1" applyAlignment="1" applyProtection="1">
      <alignment vertical="top" wrapText="1" readingOrder="1"/>
      <protection locked="0"/>
    </xf>
    <xf numFmtId="0" fontId="8" fillId="34" borderId="0" xfId="0" applyFont="1" applyFill="1"/>
    <xf numFmtId="0" fontId="66" fillId="34" borderId="0" xfId="0" applyFont="1" applyFill="1"/>
    <xf numFmtId="0" fontId="79" fillId="41" borderId="0" xfId="39" applyFont="1" applyFill="1" applyAlignment="1" applyProtection="1">
      <alignment horizontal="center" vertical="top" wrapText="1" readingOrder="1"/>
      <protection locked="0"/>
    </xf>
    <xf numFmtId="0" fontId="66" fillId="41" borderId="0" xfId="39" applyFont="1" applyFill="1" applyAlignment="1" applyProtection="1">
      <alignment vertical="top" wrapText="1" readingOrder="1"/>
      <protection locked="0"/>
    </xf>
    <xf numFmtId="0" fontId="47" fillId="34" borderId="0" xfId="0" applyFont="1" applyFill="1" applyAlignment="1" applyProtection="1">
      <alignment vertical="top" wrapText="1" readingOrder="1"/>
      <protection locked="0"/>
    </xf>
    <xf numFmtId="49" fontId="47" fillId="35" borderId="0" xfId="0" applyNumberFormat="1" applyFont="1" applyFill="1" applyAlignment="1" applyProtection="1">
      <alignment horizontal="center" vertical="top" wrapText="1" readingOrder="1"/>
      <protection locked="0"/>
    </xf>
    <xf numFmtId="0" fontId="47" fillId="35" borderId="0" xfId="0" applyFont="1" applyFill="1" applyAlignment="1" applyProtection="1">
      <alignment vertical="top" wrapText="1" readingOrder="1"/>
      <protection locked="0"/>
    </xf>
    <xf numFmtId="49" fontId="47" fillId="35" borderId="0" xfId="0" applyNumberFormat="1" applyFont="1" applyFill="1" applyAlignment="1" applyProtection="1">
      <alignment horizontal="left" vertical="top" wrapText="1" readingOrder="1"/>
      <protection locked="0"/>
    </xf>
    <xf numFmtId="0" fontId="47" fillId="35" borderId="0" xfId="0" applyFont="1" applyFill="1" applyAlignment="1" applyProtection="1">
      <alignment horizontal="left" vertical="top" wrapText="1" readingOrder="1"/>
      <protection locked="0"/>
    </xf>
    <xf numFmtId="0" fontId="47" fillId="35" borderId="0" xfId="0" applyFont="1" applyFill="1" applyAlignment="1" applyProtection="1">
      <alignment horizontal="center" vertical="top" wrapText="1" readingOrder="1"/>
      <protection locked="0"/>
    </xf>
    <xf numFmtId="0" fontId="47" fillId="35" borderId="12" xfId="0" applyFont="1" applyFill="1" applyBorder="1" applyAlignment="1" applyProtection="1">
      <alignment vertical="top" wrapText="1" readingOrder="1"/>
      <protection locked="0"/>
    </xf>
    <xf numFmtId="0" fontId="43" fillId="35" borderId="0" xfId="39" applyFont="1" applyFill="1" applyAlignment="1" applyProtection="1">
      <alignment horizontal="center" vertical="top" wrapText="1" readingOrder="1"/>
      <protection locked="0"/>
    </xf>
    <xf numFmtId="0" fontId="47" fillId="35" borderId="0" xfId="0" applyFont="1" applyFill="1" applyAlignment="1">
      <alignment horizontal="left" vertical="top"/>
    </xf>
    <xf numFmtId="0" fontId="47" fillId="35" borderId="0" xfId="0" applyFont="1" applyFill="1" applyAlignment="1">
      <alignment horizontal="left" vertical="top" wrapText="1"/>
    </xf>
    <xf numFmtId="0" fontId="47" fillId="44" borderId="0" xfId="0" applyFont="1" applyFill="1" applyAlignment="1">
      <alignment horizontal="left" vertical="top" wrapText="1"/>
    </xf>
    <xf numFmtId="0" fontId="47" fillId="35" borderId="0" xfId="297" applyFont="1" applyFill="1"/>
    <xf numFmtId="0" fontId="47" fillId="0" borderId="0" xfId="0" applyFont="1" applyAlignment="1">
      <alignment horizontal="left" vertical="top"/>
    </xf>
    <xf numFmtId="49" fontId="47" fillId="35" borderId="0" xfId="0" applyNumberFormat="1" applyFont="1" applyFill="1" applyAlignment="1">
      <alignment horizontal="left" vertical="top" wrapText="1"/>
    </xf>
    <xf numFmtId="49" fontId="47" fillId="35" borderId="0" xfId="0" quotePrefix="1" applyNumberFormat="1" applyFont="1" applyFill="1" applyAlignment="1">
      <alignment horizontal="center" vertical="top"/>
    </xf>
    <xf numFmtId="49" fontId="47" fillId="35" borderId="0" xfId="0" applyNumberFormat="1" applyFont="1" applyFill="1" applyAlignment="1">
      <alignment horizontal="center" vertical="top" wrapText="1"/>
    </xf>
    <xf numFmtId="49" fontId="8" fillId="34" borderId="0" xfId="0" applyNumberFormat="1" applyFont="1" applyFill="1" applyAlignment="1">
      <alignment horizontal="left" vertical="top" wrapText="1"/>
    </xf>
    <xf numFmtId="0" fontId="21" fillId="35" borderId="0" xfId="34" applyFill="1" applyAlignment="1" applyProtection="1">
      <alignment vertical="top" wrapText="1" readingOrder="1"/>
      <protection locked="0"/>
    </xf>
    <xf numFmtId="0" fontId="43" fillId="35" borderId="0" xfId="0" applyFont="1" applyFill="1" applyAlignment="1">
      <alignment horizontal="center" vertical="top"/>
    </xf>
    <xf numFmtId="0" fontId="8" fillId="34" borderId="30" xfId="0" applyFont="1" applyFill="1" applyBorder="1" applyAlignment="1" applyProtection="1">
      <alignment vertical="top" wrapText="1" readingOrder="1"/>
      <protection locked="0"/>
    </xf>
    <xf numFmtId="0" fontId="43" fillId="35" borderId="11" xfId="0" applyFont="1" applyFill="1" applyBorder="1" applyAlignment="1" applyProtection="1">
      <alignment horizontal="left" vertical="center"/>
      <protection locked="0"/>
    </xf>
    <xf numFmtId="0" fontId="8" fillId="34" borderId="11" xfId="0" applyFont="1" applyFill="1" applyBorder="1" applyAlignment="1">
      <alignment horizontal="left" vertical="center"/>
    </xf>
    <xf numFmtId="0" fontId="41" fillId="41" borderId="11" xfId="0" applyFont="1" applyFill="1" applyBorder="1" applyAlignment="1" applyProtection="1">
      <alignment horizontal="left" vertical="center"/>
      <protection locked="0"/>
    </xf>
    <xf numFmtId="0" fontId="47" fillId="34" borderId="0" xfId="39" applyFont="1" applyFill="1" applyAlignment="1" applyProtection="1">
      <alignment vertical="top" wrapText="1" readingOrder="1"/>
      <protection locked="0"/>
    </xf>
    <xf numFmtId="49" fontId="8" fillId="34" borderId="0" xfId="39" applyNumberFormat="1" applyFill="1" applyAlignment="1">
      <alignment horizontal="center"/>
    </xf>
    <xf numFmtId="49" fontId="47" fillId="0" borderId="0" xfId="39" applyNumberFormat="1" applyFont="1" applyAlignment="1">
      <alignment horizontal="center"/>
    </xf>
    <xf numFmtId="49" fontId="47" fillId="35" borderId="0" xfId="39" applyNumberFormat="1" applyFont="1" applyFill="1" applyAlignment="1">
      <alignment horizontal="center"/>
    </xf>
    <xf numFmtId="49" fontId="47" fillId="35" borderId="0" xfId="39" applyNumberFormat="1" applyFont="1" applyFill="1" applyAlignment="1">
      <alignment horizontal="left"/>
    </xf>
    <xf numFmtId="49" fontId="47" fillId="34" borderId="0" xfId="39" applyNumberFormat="1" applyFont="1" applyFill="1" applyAlignment="1">
      <alignment horizontal="center"/>
    </xf>
    <xf numFmtId="49" fontId="66" fillId="41" borderId="0" xfId="39" applyNumberFormat="1" applyFont="1" applyFill="1" applyAlignment="1">
      <alignment horizontal="center"/>
    </xf>
    <xf numFmtId="49" fontId="66" fillId="41" borderId="0" xfId="39" applyNumberFormat="1" applyFont="1" applyFill="1" applyAlignment="1">
      <alignment horizontal="left"/>
    </xf>
    <xf numFmtId="49" fontId="66" fillId="34" borderId="0" xfId="39" applyNumberFormat="1" applyFont="1" applyFill="1" applyAlignment="1">
      <alignment horizontal="center"/>
    </xf>
    <xf numFmtId="49" fontId="8" fillId="34" borderId="0" xfId="39" applyNumberFormat="1" applyFill="1" applyAlignment="1">
      <alignment horizontal="left"/>
    </xf>
    <xf numFmtId="0" fontId="8" fillId="45" borderId="11" xfId="0" applyFont="1" applyFill="1" applyBorder="1" applyAlignment="1">
      <alignment horizontal="center" vertical="center"/>
    </xf>
    <xf numFmtId="0" fontId="8" fillId="46" borderId="11" xfId="0" applyFont="1" applyFill="1" applyBorder="1" applyAlignment="1">
      <alignment horizontal="center" vertical="center"/>
    </xf>
    <xf numFmtId="0" fontId="8" fillId="47" borderId="11" xfId="0" applyFont="1" applyFill="1" applyBorder="1" applyAlignment="1">
      <alignment horizontal="center" vertical="center"/>
    </xf>
    <xf numFmtId="0" fontId="8" fillId="48" borderId="0" xfId="0" applyFont="1" applyFill="1" applyAlignment="1" applyProtection="1">
      <alignment vertical="top" wrapText="1" readingOrder="1"/>
      <protection locked="0"/>
    </xf>
    <xf numFmtId="0" fontId="37" fillId="0" borderId="14" xfId="0" applyFont="1" applyBorder="1"/>
    <xf numFmtId="0" fontId="37" fillId="0" borderId="26" xfId="0" applyFont="1" applyBorder="1"/>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14" xfId="0" applyFont="1" applyBorder="1" applyAlignment="1">
      <alignment horizontal="center" vertical="center"/>
    </xf>
    <xf numFmtId="0" fontId="32" fillId="0" borderId="26" xfId="0" applyFont="1" applyBorder="1" applyAlignment="1">
      <alignment horizontal="center" vertical="center"/>
    </xf>
    <xf numFmtId="0" fontId="37" fillId="0" borderId="0" xfId="0" applyFont="1"/>
    <xf numFmtId="0" fontId="37" fillId="0" borderId="28" xfId="0" applyFont="1" applyBorder="1"/>
    <xf numFmtId="0" fontId="40" fillId="33" borderId="33" xfId="0" applyFont="1" applyFill="1" applyBorder="1" applyAlignment="1" applyProtection="1">
      <alignment vertical="center" readingOrder="1"/>
      <protection locked="0"/>
    </xf>
    <xf numFmtId="0" fontId="8" fillId="0" borderId="34" xfId="0" applyFont="1" applyBorder="1" applyAlignment="1">
      <alignment vertical="center"/>
    </xf>
    <xf numFmtId="164" fontId="31" fillId="33" borderId="30" xfId="0" applyNumberFormat="1" applyFont="1" applyFill="1" applyBorder="1" applyAlignment="1">
      <alignment horizontal="left" vertical="center"/>
    </xf>
    <xf numFmtId="164" fontId="38" fillId="0" borderId="30" xfId="0" applyNumberFormat="1" applyFont="1" applyBorder="1" applyAlignment="1">
      <alignment horizontal="left" vertical="center"/>
    </xf>
    <xf numFmtId="164" fontId="38" fillId="0" borderId="31" xfId="0" applyNumberFormat="1" applyFont="1" applyBorder="1" applyAlignment="1">
      <alignment horizontal="left" vertical="center"/>
    </xf>
    <xf numFmtId="0" fontId="40" fillId="38" borderId="33" xfId="0" applyFont="1" applyFill="1" applyBorder="1" applyAlignment="1" applyProtection="1">
      <alignment vertical="center" readingOrder="1"/>
      <protection locked="0"/>
    </xf>
    <xf numFmtId="0" fontId="8" fillId="38" borderId="34" xfId="0" applyFont="1" applyFill="1" applyBorder="1" applyAlignment="1">
      <alignment vertical="center"/>
    </xf>
    <xf numFmtId="0" fontId="42" fillId="38" borderId="34" xfId="34" applyFont="1" applyFill="1" applyBorder="1" applyAlignment="1">
      <alignment vertical="center"/>
    </xf>
    <xf numFmtId="0" fontId="42" fillId="38" borderId="32" xfId="34" applyFont="1" applyFill="1" applyBorder="1" applyAlignment="1">
      <alignment vertical="center"/>
    </xf>
    <xf numFmtId="0" fontId="40" fillId="39" borderId="33" xfId="0" applyFont="1" applyFill="1" applyBorder="1" applyAlignment="1" applyProtection="1">
      <alignment vertical="center" readingOrder="1"/>
      <protection locked="0"/>
    </xf>
    <xf numFmtId="0" fontId="8" fillId="39" borderId="34" xfId="0" applyFont="1" applyFill="1" applyBorder="1" applyAlignment="1">
      <alignment vertical="center"/>
    </xf>
    <xf numFmtId="0" fontId="42" fillId="39" borderId="34" xfId="34" applyFont="1" applyFill="1" applyBorder="1" applyAlignment="1">
      <alignment vertical="center"/>
    </xf>
    <xf numFmtId="0" fontId="42" fillId="39" borderId="32" xfId="34" applyFont="1" applyFill="1" applyBorder="1" applyAlignment="1">
      <alignment vertical="center"/>
    </xf>
    <xf numFmtId="0" fontId="40" fillId="37" borderId="33" xfId="0" applyFont="1" applyFill="1" applyBorder="1" applyAlignment="1" applyProtection="1">
      <alignment vertical="center" readingOrder="1"/>
      <protection locked="0"/>
    </xf>
    <xf numFmtId="0" fontId="8" fillId="37" borderId="34" xfId="0" applyFont="1" applyFill="1" applyBorder="1" applyAlignment="1">
      <alignment vertical="center"/>
    </xf>
    <xf numFmtId="0" fontId="42" fillId="37" borderId="34" xfId="34" applyFont="1" applyFill="1" applyBorder="1" applyAlignment="1">
      <alignment vertical="center"/>
    </xf>
    <xf numFmtId="0" fontId="42" fillId="37" borderId="32" xfId="34" applyFont="1" applyFill="1" applyBorder="1" applyAlignment="1">
      <alignment vertical="center"/>
    </xf>
    <xf numFmtId="0" fontId="46" fillId="33" borderId="11" xfId="0" applyFont="1" applyFill="1" applyBorder="1" applyAlignment="1" applyProtection="1">
      <alignment horizontal="center" vertical="top" wrapText="1" readingOrder="1"/>
      <protection locked="0"/>
    </xf>
    <xf numFmtId="0" fontId="8" fillId="0" borderId="11" xfId="0" applyFont="1" applyBorder="1" applyAlignment="1">
      <alignment horizontal="center" vertical="top" wrapText="1" readingOrder="1"/>
    </xf>
    <xf numFmtId="0" fontId="0" fillId="0" borderId="11" xfId="0" applyBorder="1"/>
    <xf numFmtId="0" fontId="8" fillId="35" borderId="33" xfId="0" applyFont="1" applyFill="1" applyBorder="1" applyAlignment="1">
      <alignment horizontal="center"/>
    </xf>
    <xf numFmtId="0" fontId="0" fillId="0" borderId="41" xfId="0" applyBorder="1" applyAlignment="1">
      <alignment horizontal="center"/>
    </xf>
    <xf numFmtId="0" fontId="46" fillId="37" borderId="11" xfId="0" applyFont="1" applyFill="1" applyBorder="1" applyAlignment="1" applyProtection="1">
      <alignment horizontal="center" vertical="top" wrapText="1" readingOrder="1"/>
      <protection locked="0"/>
    </xf>
    <xf numFmtId="0" fontId="8" fillId="37" borderId="11" xfId="0" applyFont="1" applyFill="1" applyBorder="1" applyAlignment="1">
      <alignment horizontal="center" vertical="top" wrapText="1" readingOrder="1"/>
    </xf>
    <xf numFmtId="0" fontId="46" fillId="33" borderId="33" xfId="0" applyFont="1" applyFill="1" applyBorder="1" applyAlignment="1" applyProtection="1">
      <alignment horizontal="center" vertical="top" wrapText="1" readingOrder="1"/>
      <protection locked="0"/>
    </xf>
    <xf numFmtId="0" fontId="38" fillId="0" borderId="30" xfId="39" applyFont="1" applyBorder="1" applyAlignment="1">
      <alignment horizontal="center"/>
    </xf>
    <xf numFmtId="0" fontId="8" fillId="0" borderId="30" xfId="0" applyFont="1" applyBorder="1" applyAlignment="1">
      <alignment horizontal="center"/>
    </xf>
    <xf numFmtId="0" fontId="46" fillId="40" borderId="11" xfId="0" applyFont="1" applyFill="1" applyBorder="1" applyAlignment="1" applyProtection="1">
      <alignment horizontal="center" vertical="top" wrapText="1" readingOrder="1"/>
      <protection locked="0"/>
    </xf>
    <xf numFmtId="0" fontId="8" fillId="40" borderId="11" xfId="0" applyFont="1" applyFill="1" applyBorder="1" applyAlignment="1">
      <alignment horizontal="center" vertical="top" wrapText="1" readingOrder="1"/>
    </xf>
  </cellXfs>
  <cellStyles count="299">
    <cellStyle name="20% - Accent1" xfId="1" builtinId="30" customBuiltin="1"/>
    <cellStyle name="20% - Accent1 2" xfId="143" xr:uid="{00000000-0005-0000-0000-000001000000}"/>
    <cellStyle name="20% - Accent1 2 2" xfId="238" xr:uid="{00000000-0005-0000-0000-000001000000}"/>
    <cellStyle name="20% - Accent1 3" xfId="178" xr:uid="{00000000-0005-0000-0000-000002000000}"/>
    <cellStyle name="20% - Accent1 3 2" xfId="273" xr:uid="{00000000-0005-0000-0000-000002000000}"/>
    <cellStyle name="20% - Accent1 4" xfId="203" xr:uid="{00000000-0005-0000-0000-0000D4000000}"/>
    <cellStyle name="20% - Accent2" xfId="2" builtinId="34" customBuiltin="1"/>
    <cellStyle name="20% - Accent2 2" xfId="144" xr:uid="{00000000-0005-0000-0000-000004000000}"/>
    <cellStyle name="20% - Accent2 2 2" xfId="239" xr:uid="{00000000-0005-0000-0000-000004000000}"/>
    <cellStyle name="20% - Accent2 3" xfId="179" xr:uid="{00000000-0005-0000-0000-000005000000}"/>
    <cellStyle name="20% - Accent2 3 2" xfId="274" xr:uid="{00000000-0005-0000-0000-000005000000}"/>
    <cellStyle name="20% - Accent2 4" xfId="204" xr:uid="{00000000-0005-0000-0000-0000D7000000}"/>
    <cellStyle name="20% - Accent3" xfId="3" builtinId="38" customBuiltin="1"/>
    <cellStyle name="20% - Accent3 2" xfId="145" xr:uid="{00000000-0005-0000-0000-000007000000}"/>
    <cellStyle name="20% - Accent3 2 2" xfId="240" xr:uid="{00000000-0005-0000-0000-000007000000}"/>
    <cellStyle name="20% - Accent3 3" xfId="180" xr:uid="{00000000-0005-0000-0000-000008000000}"/>
    <cellStyle name="20% - Accent3 3 2" xfId="275" xr:uid="{00000000-0005-0000-0000-000008000000}"/>
    <cellStyle name="20% - Accent3 4" xfId="205" xr:uid="{00000000-0005-0000-0000-0000DA000000}"/>
    <cellStyle name="20% - Accent4" xfId="4" builtinId="42" customBuiltin="1"/>
    <cellStyle name="20% - Accent4 2" xfId="146" xr:uid="{00000000-0005-0000-0000-00000A000000}"/>
    <cellStyle name="20% - Accent4 2 2" xfId="241" xr:uid="{00000000-0005-0000-0000-00000A000000}"/>
    <cellStyle name="20% - Accent4 3" xfId="181" xr:uid="{00000000-0005-0000-0000-00000B000000}"/>
    <cellStyle name="20% - Accent4 3 2" xfId="276" xr:uid="{00000000-0005-0000-0000-00000B000000}"/>
    <cellStyle name="20% - Accent4 4" xfId="206" xr:uid="{00000000-0005-0000-0000-0000DD000000}"/>
    <cellStyle name="20% - Accent5" xfId="5" builtinId="46" customBuiltin="1"/>
    <cellStyle name="20% - Accent5 2" xfId="147" xr:uid="{00000000-0005-0000-0000-00000D000000}"/>
    <cellStyle name="20% - Accent5 2 2" xfId="242" xr:uid="{00000000-0005-0000-0000-00000D000000}"/>
    <cellStyle name="20% - Accent5 3" xfId="182" xr:uid="{00000000-0005-0000-0000-00000E000000}"/>
    <cellStyle name="20% - Accent5 3 2" xfId="277" xr:uid="{00000000-0005-0000-0000-00000E000000}"/>
    <cellStyle name="20% - Accent5 4" xfId="207" xr:uid="{00000000-0005-0000-0000-0000E0000000}"/>
    <cellStyle name="20% - Accent6" xfId="6" builtinId="50" customBuiltin="1"/>
    <cellStyle name="20% - Accent6 2" xfId="148" xr:uid="{00000000-0005-0000-0000-000010000000}"/>
    <cellStyle name="20% - Accent6 2 2" xfId="243" xr:uid="{00000000-0005-0000-0000-000010000000}"/>
    <cellStyle name="20% - Accent6 3" xfId="183" xr:uid="{00000000-0005-0000-0000-000011000000}"/>
    <cellStyle name="20% - Accent6 3 2" xfId="278" xr:uid="{00000000-0005-0000-0000-000011000000}"/>
    <cellStyle name="20% - Accent6 4" xfId="208" xr:uid="{00000000-0005-0000-0000-0000E3000000}"/>
    <cellStyle name="40% - Accent1" xfId="7" builtinId="31" customBuiltin="1"/>
    <cellStyle name="40% - Accent1 2" xfId="149" xr:uid="{00000000-0005-0000-0000-000013000000}"/>
    <cellStyle name="40% - Accent1 2 2" xfId="244" xr:uid="{00000000-0005-0000-0000-000013000000}"/>
    <cellStyle name="40% - Accent1 3" xfId="184" xr:uid="{00000000-0005-0000-0000-000014000000}"/>
    <cellStyle name="40% - Accent1 3 2" xfId="279" xr:uid="{00000000-0005-0000-0000-000014000000}"/>
    <cellStyle name="40% - Accent1 4" xfId="209" xr:uid="{00000000-0005-0000-0000-0000E6000000}"/>
    <cellStyle name="40% - Accent2" xfId="8" builtinId="35" customBuiltin="1"/>
    <cellStyle name="40% - Accent2 2" xfId="150" xr:uid="{00000000-0005-0000-0000-000016000000}"/>
    <cellStyle name="40% - Accent2 2 2" xfId="245" xr:uid="{00000000-0005-0000-0000-000016000000}"/>
    <cellStyle name="40% - Accent2 3" xfId="185" xr:uid="{00000000-0005-0000-0000-000017000000}"/>
    <cellStyle name="40% - Accent2 3 2" xfId="280" xr:uid="{00000000-0005-0000-0000-000017000000}"/>
    <cellStyle name="40% - Accent2 4" xfId="210" xr:uid="{00000000-0005-0000-0000-0000E9000000}"/>
    <cellStyle name="40% - Accent3" xfId="9" builtinId="39" customBuiltin="1"/>
    <cellStyle name="40% - Accent3 2" xfId="151" xr:uid="{00000000-0005-0000-0000-000019000000}"/>
    <cellStyle name="40% - Accent3 2 2" xfId="246" xr:uid="{00000000-0005-0000-0000-000019000000}"/>
    <cellStyle name="40% - Accent3 3" xfId="186" xr:uid="{00000000-0005-0000-0000-00001A000000}"/>
    <cellStyle name="40% - Accent3 3 2" xfId="281" xr:uid="{00000000-0005-0000-0000-00001A000000}"/>
    <cellStyle name="40% - Accent3 4" xfId="211" xr:uid="{00000000-0005-0000-0000-0000EC000000}"/>
    <cellStyle name="40% - Accent4" xfId="10" builtinId="43" customBuiltin="1"/>
    <cellStyle name="40% - Accent4 2" xfId="152" xr:uid="{00000000-0005-0000-0000-00001C000000}"/>
    <cellStyle name="40% - Accent4 2 2" xfId="247" xr:uid="{00000000-0005-0000-0000-00001C000000}"/>
    <cellStyle name="40% - Accent4 3" xfId="187" xr:uid="{00000000-0005-0000-0000-00001D000000}"/>
    <cellStyle name="40% - Accent4 3 2" xfId="282" xr:uid="{00000000-0005-0000-0000-00001D000000}"/>
    <cellStyle name="40% - Accent4 4" xfId="212" xr:uid="{00000000-0005-0000-0000-0000EF000000}"/>
    <cellStyle name="40% - Accent5" xfId="11" builtinId="47" customBuiltin="1"/>
    <cellStyle name="40% - Accent5 2" xfId="153" xr:uid="{00000000-0005-0000-0000-00001F000000}"/>
    <cellStyle name="40% - Accent5 2 2" xfId="248" xr:uid="{00000000-0005-0000-0000-00001F000000}"/>
    <cellStyle name="40% - Accent5 3" xfId="188" xr:uid="{00000000-0005-0000-0000-000020000000}"/>
    <cellStyle name="40% - Accent5 3 2" xfId="283" xr:uid="{00000000-0005-0000-0000-000020000000}"/>
    <cellStyle name="40% - Accent5 4" xfId="213" xr:uid="{00000000-0005-0000-0000-0000F2000000}"/>
    <cellStyle name="40% - Accent6" xfId="12" builtinId="51" customBuiltin="1"/>
    <cellStyle name="40% - Accent6 2" xfId="154" xr:uid="{00000000-0005-0000-0000-000022000000}"/>
    <cellStyle name="40% - Accent6 2 2" xfId="249" xr:uid="{00000000-0005-0000-0000-000022000000}"/>
    <cellStyle name="40% - Accent6 3" xfId="189" xr:uid="{00000000-0005-0000-0000-000023000000}"/>
    <cellStyle name="40% - Accent6 3 2" xfId="284" xr:uid="{00000000-0005-0000-0000-000023000000}"/>
    <cellStyle name="40% - Accent6 4" xfId="214" xr:uid="{00000000-0005-0000-0000-0000F5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dd" xfId="297" xr:uid="{77FB3D2C-8030-4290-A086-683C94A533B9}"/>
    <cellStyle name="Bad" xfId="25" builtinId="27" customBuiltin="1"/>
    <cellStyle name="Calculation" xfId="26" builtinId="22" customBuiltin="1"/>
    <cellStyle name="Check Cell" xfId="27" builtinId="23" customBuiltin="1"/>
    <cellStyle name="Delete" xfId="298" xr:uid="{2A195ADA-7D31-4876-BB57-6E0F88B8BEAF}"/>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3A000000}"/>
    <cellStyle name="Input" xfId="36" builtinId="20" customBuiltin="1"/>
    <cellStyle name="Linked Cell" xfId="37" builtinId="24" customBuiltin="1"/>
    <cellStyle name="Neutral" xfId="38" builtinId="28" customBuiltin="1"/>
    <cellStyle name="Normal" xfId="0" builtinId="0"/>
    <cellStyle name="Normal 10" xfId="39" xr:uid="{00000000-0005-0000-0000-00003F000000}"/>
    <cellStyle name="Normal 10 2" xfId="40" xr:uid="{00000000-0005-0000-0000-000040000000}"/>
    <cellStyle name="Normal 10 3" xfId="41" xr:uid="{00000000-0005-0000-0000-000041000000}"/>
    <cellStyle name="Normal 11" xfId="177" xr:uid="{00000000-0005-0000-0000-000042000000}"/>
    <cellStyle name="Normal 11 2" xfId="272" xr:uid="{00000000-0005-0000-0000-000042000000}"/>
    <cellStyle name="Normal 12" xfId="200" xr:uid="{5F3AF86D-3A53-4BF7-ADC4-E75565F9AEC7}"/>
    <cellStyle name="Normal 13" xfId="201" xr:uid="{00000000-0005-0000-0000-0000D2000000}"/>
    <cellStyle name="Normal 13 2" xfId="295" xr:uid="{00000000-0005-0000-0000-0000D2000000}"/>
    <cellStyle name="Normal 14" xfId="42" xr:uid="{00000000-0005-0000-0000-000043000000}"/>
    <cellStyle name="Normal 14 2" xfId="43" xr:uid="{00000000-0005-0000-0000-000044000000}"/>
    <cellStyle name="Normal 14 3" xfId="44" xr:uid="{00000000-0005-0000-0000-000045000000}"/>
    <cellStyle name="Normal 15" xfId="202" xr:uid="{8985F4BE-83FC-4197-829E-7D1D3E752339}"/>
    <cellStyle name="Normal 2" xfId="45" xr:uid="{00000000-0005-0000-0000-000046000000}"/>
    <cellStyle name="Normal 2 10" xfId="46" xr:uid="{00000000-0005-0000-0000-000047000000}"/>
    <cellStyle name="Normal 2 10 2" xfId="155" xr:uid="{00000000-0005-0000-0000-000048000000}"/>
    <cellStyle name="Normal 2 10 2 2" xfId="250" xr:uid="{00000000-0005-0000-0000-000048000000}"/>
    <cellStyle name="Normal 2 10 3" xfId="199" xr:uid="{00000000-0005-0000-0000-000049000000}"/>
    <cellStyle name="Normal 2 10 3 2" xfId="294" xr:uid="{00000000-0005-0000-0000-000049000000}"/>
    <cellStyle name="Normal 2 10 4" xfId="215" xr:uid="{00000000-0005-0000-0000-000047000000}"/>
    <cellStyle name="Normal 2 11" xfId="47" xr:uid="{00000000-0005-0000-0000-00004A000000}"/>
    <cellStyle name="Normal 2 11 2" xfId="156" xr:uid="{00000000-0005-0000-0000-00004B000000}"/>
    <cellStyle name="Normal 2 11 2 2" xfId="251" xr:uid="{00000000-0005-0000-0000-00004B000000}"/>
    <cellStyle name="Normal 2 11 3" xfId="216" xr:uid="{00000000-0005-0000-0000-00004A000000}"/>
    <cellStyle name="Normal 2 12" xfId="48" xr:uid="{00000000-0005-0000-0000-00004C000000}"/>
    <cellStyle name="Normal 2 12 2" xfId="157" xr:uid="{00000000-0005-0000-0000-00004D000000}"/>
    <cellStyle name="Normal 2 12 2 2" xfId="252" xr:uid="{00000000-0005-0000-0000-00004D000000}"/>
    <cellStyle name="Normal 2 12 3" xfId="217" xr:uid="{00000000-0005-0000-0000-00004C000000}"/>
    <cellStyle name="Normal 2 13" xfId="49" xr:uid="{00000000-0005-0000-0000-00004E000000}"/>
    <cellStyle name="Normal 2 13 2" xfId="158" xr:uid="{00000000-0005-0000-0000-00004F000000}"/>
    <cellStyle name="Normal 2 13 2 2" xfId="253" xr:uid="{00000000-0005-0000-0000-00004F000000}"/>
    <cellStyle name="Normal 2 13 3" xfId="218" xr:uid="{00000000-0005-0000-0000-00004E000000}"/>
    <cellStyle name="Normal 2 14" xfId="50" xr:uid="{00000000-0005-0000-0000-000050000000}"/>
    <cellStyle name="Normal 2 14 2" xfId="159" xr:uid="{00000000-0005-0000-0000-000051000000}"/>
    <cellStyle name="Normal 2 14 2 2" xfId="254" xr:uid="{00000000-0005-0000-0000-000051000000}"/>
    <cellStyle name="Normal 2 14 3" xfId="219" xr:uid="{00000000-0005-0000-0000-000050000000}"/>
    <cellStyle name="Normal 2 15" xfId="51" xr:uid="{00000000-0005-0000-0000-000052000000}"/>
    <cellStyle name="Normal 2 15 2" xfId="160" xr:uid="{00000000-0005-0000-0000-000053000000}"/>
    <cellStyle name="Normal 2 15 2 2" xfId="255" xr:uid="{00000000-0005-0000-0000-000053000000}"/>
    <cellStyle name="Normal 2 15 3" xfId="220" xr:uid="{00000000-0005-0000-0000-000052000000}"/>
    <cellStyle name="Normal 2 16" xfId="52" xr:uid="{00000000-0005-0000-0000-000054000000}"/>
    <cellStyle name="Normal 2 16 2" xfId="161" xr:uid="{00000000-0005-0000-0000-000055000000}"/>
    <cellStyle name="Normal 2 16 2 2" xfId="256" xr:uid="{00000000-0005-0000-0000-000055000000}"/>
    <cellStyle name="Normal 2 16 3" xfId="221" xr:uid="{00000000-0005-0000-0000-000054000000}"/>
    <cellStyle name="Normal 2 17" xfId="53" xr:uid="{00000000-0005-0000-0000-000056000000}"/>
    <cellStyle name="Normal 2 17 2" xfId="162" xr:uid="{00000000-0005-0000-0000-000057000000}"/>
    <cellStyle name="Normal 2 17 2 2" xfId="257" xr:uid="{00000000-0005-0000-0000-000057000000}"/>
    <cellStyle name="Normal 2 17 3" xfId="222" xr:uid="{00000000-0005-0000-0000-000056000000}"/>
    <cellStyle name="Normal 2 18" xfId="54" xr:uid="{00000000-0005-0000-0000-000058000000}"/>
    <cellStyle name="Normal 2 18 2" xfId="163" xr:uid="{00000000-0005-0000-0000-000059000000}"/>
    <cellStyle name="Normal 2 18 2 2" xfId="258" xr:uid="{00000000-0005-0000-0000-000059000000}"/>
    <cellStyle name="Normal 2 18 3" xfId="223" xr:uid="{00000000-0005-0000-0000-000058000000}"/>
    <cellStyle name="Normal 2 19" xfId="55" xr:uid="{00000000-0005-0000-0000-00005A000000}"/>
    <cellStyle name="Normal 2 19 2" xfId="164" xr:uid="{00000000-0005-0000-0000-00005B000000}"/>
    <cellStyle name="Normal 2 19 2 2" xfId="259" xr:uid="{00000000-0005-0000-0000-00005B000000}"/>
    <cellStyle name="Normal 2 19 3" xfId="224" xr:uid="{00000000-0005-0000-0000-00005A000000}"/>
    <cellStyle name="Normal 2 2" xfId="56" xr:uid="{00000000-0005-0000-0000-00005C000000}"/>
    <cellStyle name="Normal 2 2 2" xfId="57" xr:uid="{00000000-0005-0000-0000-00005D000000}"/>
    <cellStyle name="Normal 2 2 3" xfId="58" xr:uid="{00000000-0005-0000-0000-00005E000000}"/>
    <cellStyle name="Normal 2 20" xfId="59" xr:uid="{00000000-0005-0000-0000-00005F000000}"/>
    <cellStyle name="Normal 2 20 2" xfId="165" xr:uid="{00000000-0005-0000-0000-000060000000}"/>
    <cellStyle name="Normal 2 20 2 2" xfId="260" xr:uid="{00000000-0005-0000-0000-000060000000}"/>
    <cellStyle name="Normal 2 20 3" xfId="225" xr:uid="{00000000-0005-0000-0000-00005F000000}"/>
    <cellStyle name="Normal 2 3" xfId="60" xr:uid="{00000000-0005-0000-0000-000061000000}"/>
    <cellStyle name="Normal 2 3 2" xfId="61" xr:uid="{00000000-0005-0000-0000-000062000000}"/>
    <cellStyle name="Normal 2 3 3" xfId="62" xr:uid="{00000000-0005-0000-0000-000063000000}"/>
    <cellStyle name="Normal 2 4" xfId="63" xr:uid="{00000000-0005-0000-0000-000064000000}"/>
    <cellStyle name="Normal 2 4 2" xfId="64" xr:uid="{00000000-0005-0000-0000-000065000000}"/>
    <cellStyle name="Normal 2 4 3" xfId="65" xr:uid="{00000000-0005-0000-0000-000066000000}"/>
    <cellStyle name="Normal 2 5" xfId="66" xr:uid="{00000000-0005-0000-0000-000067000000}"/>
    <cellStyle name="Normal 2 6" xfId="67" xr:uid="{00000000-0005-0000-0000-000068000000}"/>
    <cellStyle name="Normal 2 7" xfId="68" xr:uid="{00000000-0005-0000-0000-000069000000}"/>
    <cellStyle name="Normal 2 7 2" xfId="69" xr:uid="{00000000-0005-0000-0000-00006A000000}"/>
    <cellStyle name="Normal 2 7 3" xfId="70" xr:uid="{00000000-0005-0000-0000-00006B000000}"/>
    <cellStyle name="Normal 2 7 3 2" xfId="71" xr:uid="{00000000-0005-0000-0000-00006C000000}"/>
    <cellStyle name="Normal 2 8" xfId="72" xr:uid="{00000000-0005-0000-0000-00006D000000}"/>
    <cellStyle name="Normal 2 9" xfId="73" xr:uid="{00000000-0005-0000-0000-00006E000000}"/>
    <cellStyle name="Normal 2 9 2" xfId="74" xr:uid="{00000000-0005-0000-0000-00006F000000}"/>
    <cellStyle name="Normal 3" xfId="75" xr:uid="{00000000-0005-0000-0000-000070000000}"/>
    <cellStyle name="Normal 3 10" xfId="226" xr:uid="{00000000-0005-0000-0000-000070000000}"/>
    <cellStyle name="Normal 3 2" xfId="76" xr:uid="{00000000-0005-0000-0000-000071000000}"/>
    <cellStyle name="Normal 3 2 2" xfId="167" xr:uid="{00000000-0005-0000-0000-000072000000}"/>
    <cellStyle name="Normal 3 2 2 2" xfId="262" xr:uid="{00000000-0005-0000-0000-000072000000}"/>
    <cellStyle name="Normal 3 2 3" xfId="191" xr:uid="{00000000-0005-0000-0000-000073000000}"/>
    <cellStyle name="Normal 3 2 3 2" xfId="286" xr:uid="{00000000-0005-0000-0000-000073000000}"/>
    <cellStyle name="Normal 3 2 4" xfId="227" xr:uid="{00000000-0005-0000-0000-000071000000}"/>
    <cellStyle name="Normal 3 3" xfId="77" xr:uid="{00000000-0005-0000-0000-000074000000}"/>
    <cellStyle name="Normal 3 3 2" xfId="168" xr:uid="{00000000-0005-0000-0000-000075000000}"/>
    <cellStyle name="Normal 3 3 2 2" xfId="263" xr:uid="{00000000-0005-0000-0000-000075000000}"/>
    <cellStyle name="Normal 3 3 3" xfId="192" xr:uid="{00000000-0005-0000-0000-000076000000}"/>
    <cellStyle name="Normal 3 3 3 2" xfId="287" xr:uid="{00000000-0005-0000-0000-000076000000}"/>
    <cellStyle name="Normal 3 3 34" xfId="296" xr:uid="{CA82A8BD-8EE4-46D3-9A3B-8F2D7F9B1D4F}"/>
    <cellStyle name="Normal 3 3 4" xfId="228" xr:uid="{00000000-0005-0000-0000-000074000000}"/>
    <cellStyle name="Normal 3 4" xfId="78" xr:uid="{00000000-0005-0000-0000-000077000000}"/>
    <cellStyle name="Normal 3 4 2" xfId="169" xr:uid="{00000000-0005-0000-0000-000078000000}"/>
    <cellStyle name="Normal 3 4 2 2" xfId="264" xr:uid="{00000000-0005-0000-0000-000078000000}"/>
    <cellStyle name="Normal 3 4 3" xfId="193" xr:uid="{00000000-0005-0000-0000-000079000000}"/>
    <cellStyle name="Normal 3 4 3 2" xfId="288" xr:uid="{00000000-0005-0000-0000-000079000000}"/>
    <cellStyle name="Normal 3 4 4" xfId="229" xr:uid="{00000000-0005-0000-0000-000077000000}"/>
    <cellStyle name="Normal 3 5" xfId="79" xr:uid="{00000000-0005-0000-0000-00007A000000}"/>
    <cellStyle name="Normal 3 5 2" xfId="170" xr:uid="{00000000-0005-0000-0000-00007B000000}"/>
    <cellStyle name="Normal 3 5 2 2" xfId="265" xr:uid="{00000000-0005-0000-0000-00007B000000}"/>
    <cellStyle name="Normal 3 5 3" xfId="194" xr:uid="{00000000-0005-0000-0000-00007C000000}"/>
    <cellStyle name="Normal 3 5 3 2" xfId="289" xr:uid="{00000000-0005-0000-0000-00007C000000}"/>
    <cellStyle name="Normal 3 5 4" xfId="230" xr:uid="{00000000-0005-0000-0000-00007A000000}"/>
    <cellStyle name="Normal 3 6" xfId="80" xr:uid="{00000000-0005-0000-0000-00007D000000}"/>
    <cellStyle name="Normal 3 6 2" xfId="171" xr:uid="{00000000-0005-0000-0000-00007E000000}"/>
    <cellStyle name="Normal 3 6 2 2" xfId="266" xr:uid="{00000000-0005-0000-0000-00007E000000}"/>
    <cellStyle name="Normal 3 6 3" xfId="195" xr:uid="{00000000-0005-0000-0000-00007F000000}"/>
    <cellStyle name="Normal 3 6 3 2" xfId="290" xr:uid="{00000000-0005-0000-0000-00007F000000}"/>
    <cellStyle name="Normal 3 6 4" xfId="231" xr:uid="{00000000-0005-0000-0000-00007D000000}"/>
    <cellStyle name="Normal 3 7" xfId="81" xr:uid="{00000000-0005-0000-0000-000080000000}"/>
    <cellStyle name="Normal 3 7 2" xfId="172" xr:uid="{00000000-0005-0000-0000-000081000000}"/>
    <cellStyle name="Normal 3 7 2 2" xfId="267" xr:uid="{00000000-0005-0000-0000-000081000000}"/>
    <cellStyle name="Normal 3 7 3" xfId="196" xr:uid="{00000000-0005-0000-0000-000082000000}"/>
    <cellStyle name="Normal 3 7 3 2" xfId="291" xr:uid="{00000000-0005-0000-0000-000082000000}"/>
    <cellStyle name="Normal 3 7 4" xfId="232" xr:uid="{00000000-0005-0000-0000-000080000000}"/>
    <cellStyle name="Normal 3 8" xfId="166" xr:uid="{00000000-0005-0000-0000-000083000000}"/>
    <cellStyle name="Normal 3 8 2" xfId="261" xr:uid="{00000000-0005-0000-0000-000083000000}"/>
    <cellStyle name="Normal 3 9" xfId="190" xr:uid="{00000000-0005-0000-0000-000084000000}"/>
    <cellStyle name="Normal 3 9 2" xfId="285" xr:uid="{00000000-0005-0000-0000-000084000000}"/>
    <cellStyle name="Normal 4" xfId="82" xr:uid="{00000000-0005-0000-0000-000085000000}"/>
    <cellStyle name="Normal 5" xfId="83" xr:uid="{00000000-0005-0000-0000-000086000000}"/>
    <cellStyle name="Normal 6" xfId="84" xr:uid="{00000000-0005-0000-0000-000087000000}"/>
    <cellStyle name="Normal 7" xfId="85" xr:uid="{00000000-0005-0000-0000-000088000000}"/>
    <cellStyle name="Normal 7 2" xfId="86" xr:uid="{00000000-0005-0000-0000-000089000000}"/>
    <cellStyle name="Normal 7 3" xfId="87" xr:uid="{00000000-0005-0000-0000-00008A000000}"/>
    <cellStyle name="Normal 7 4" xfId="88" xr:uid="{00000000-0005-0000-0000-00008B000000}"/>
    <cellStyle name="Normal 7 5" xfId="89" xr:uid="{00000000-0005-0000-0000-00008C000000}"/>
    <cellStyle name="Normal 7 6" xfId="90" xr:uid="{00000000-0005-0000-0000-00008D000000}"/>
    <cellStyle name="Normal 7 7" xfId="91" xr:uid="{00000000-0005-0000-0000-00008E000000}"/>
    <cellStyle name="Normal 8" xfId="92" xr:uid="{00000000-0005-0000-0000-00008F000000}"/>
    <cellStyle name="Normal 8 2" xfId="93" xr:uid="{00000000-0005-0000-0000-000090000000}"/>
    <cellStyle name="Normal 8 2 2" xfId="94" xr:uid="{00000000-0005-0000-0000-000091000000}"/>
    <cellStyle name="Normal 8 2 3" xfId="95" xr:uid="{00000000-0005-0000-0000-000092000000}"/>
    <cellStyle name="Normal 8 3" xfId="96" xr:uid="{00000000-0005-0000-0000-000093000000}"/>
    <cellStyle name="Normal 8 3 2" xfId="97" xr:uid="{00000000-0005-0000-0000-000094000000}"/>
    <cellStyle name="Normal 8 3 3" xfId="98" xr:uid="{00000000-0005-0000-0000-000095000000}"/>
    <cellStyle name="Normal 8 4" xfId="99" xr:uid="{00000000-0005-0000-0000-000096000000}"/>
    <cellStyle name="Normal 8 4 2" xfId="100" xr:uid="{00000000-0005-0000-0000-000097000000}"/>
    <cellStyle name="Normal 8 4 3" xfId="101" xr:uid="{00000000-0005-0000-0000-000098000000}"/>
    <cellStyle name="Normal 8 5" xfId="173" xr:uid="{00000000-0005-0000-0000-000099000000}"/>
    <cellStyle name="Normal 8 5 2" xfId="268" xr:uid="{00000000-0005-0000-0000-000099000000}"/>
    <cellStyle name="Normal 8 6" xfId="197" xr:uid="{00000000-0005-0000-0000-00009A000000}"/>
    <cellStyle name="Normal 8 6 2" xfId="292" xr:uid="{00000000-0005-0000-0000-00009A000000}"/>
    <cellStyle name="Normal 8 7" xfId="233" xr:uid="{00000000-0005-0000-0000-00008F000000}"/>
    <cellStyle name="Normal 9" xfId="142" xr:uid="{00000000-0005-0000-0000-00009B000000}"/>
    <cellStyle name="Normal 9 2" xfId="102" xr:uid="{00000000-0005-0000-0000-00009C000000}"/>
    <cellStyle name="Normal 9 2 2" xfId="103" xr:uid="{00000000-0005-0000-0000-00009D000000}"/>
    <cellStyle name="Normal 9 2 3" xfId="104" xr:uid="{00000000-0005-0000-0000-00009E000000}"/>
    <cellStyle name="Normal 9 3" xfId="105" xr:uid="{00000000-0005-0000-0000-00009F000000}"/>
    <cellStyle name="Normal 9 3 2" xfId="106" xr:uid="{00000000-0005-0000-0000-0000A0000000}"/>
    <cellStyle name="Normal 9 3 3" xfId="107" xr:uid="{00000000-0005-0000-0000-0000A1000000}"/>
    <cellStyle name="Normal 9 4" xfId="237" xr:uid="{00000000-0005-0000-0000-00009B000000}"/>
    <cellStyle name="Note 10" xfId="108" xr:uid="{00000000-0005-0000-0000-0000A3000000}"/>
    <cellStyle name="Note 11" xfId="109" xr:uid="{00000000-0005-0000-0000-0000A4000000}"/>
    <cellStyle name="Note 11 2" xfId="174" xr:uid="{00000000-0005-0000-0000-0000A5000000}"/>
    <cellStyle name="Note 11 2 2" xfId="269" xr:uid="{00000000-0005-0000-0000-0000A5000000}"/>
    <cellStyle name="Note 11 3" xfId="234" xr:uid="{00000000-0005-0000-0000-0000A4000000}"/>
    <cellStyle name="Note 12" xfId="110" xr:uid="{00000000-0005-0000-0000-0000A6000000}"/>
    <cellStyle name="Note 2" xfId="111" xr:uid="{00000000-0005-0000-0000-0000A7000000}"/>
    <cellStyle name="Note 2 10" xfId="112" xr:uid="{00000000-0005-0000-0000-0000A8000000}"/>
    <cellStyle name="Note 2 11" xfId="113" xr:uid="{00000000-0005-0000-0000-0000A9000000}"/>
    <cellStyle name="Note 2 12" xfId="114" xr:uid="{00000000-0005-0000-0000-0000AA000000}"/>
    <cellStyle name="Note 2 13" xfId="115" xr:uid="{00000000-0005-0000-0000-0000AB000000}"/>
    <cellStyle name="Note 2 14" xfId="116" xr:uid="{00000000-0005-0000-0000-0000AC000000}"/>
    <cellStyle name="Note 2 15" xfId="117" xr:uid="{00000000-0005-0000-0000-0000AD000000}"/>
    <cellStyle name="Note 2 16" xfId="118" xr:uid="{00000000-0005-0000-0000-0000AE000000}"/>
    <cellStyle name="Note 2 17" xfId="119" xr:uid="{00000000-0005-0000-0000-0000AF000000}"/>
    <cellStyle name="Note 2 18" xfId="120" xr:uid="{00000000-0005-0000-0000-0000B0000000}"/>
    <cellStyle name="Note 2 19" xfId="121" xr:uid="{00000000-0005-0000-0000-0000B1000000}"/>
    <cellStyle name="Note 2 2" xfId="122" xr:uid="{00000000-0005-0000-0000-0000B2000000}"/>
    <cellStyle name="Note 2 2 2" xfId="176" xr:uid="{00000000-0005-0000-0000-0000B3000000}"/>
    <cellStyle name="Note 2 2 2 2" xfId="271" xr:uid="{00000000-0005-0000-0000-0000B3000000}"/>
    <cellStyle name="Note 2 2 3" xfId="236" xr:uid="{00000000-0005-0000-0000-0000B2000000}"/>
    <cellStyle name="Note 2 20" xfId="123" xr:uid="{00000000-0005-0000-0000-0000B4000000}"/>
    <cellStyle name="Note 2 21" xfId="175" xr:uid="{00000000-0005-0000-0000-0000B5000000}"/>
    <cellStyle name="Note 2 21 2" xfId="270" xr:uid="{00000000-0005-0000-0000-0000B5000000}"/>
    <cellStyle name="Note 2 22" xfId="198" xr:uid="{00000000-0005-0000-0000-0000B6000000}"/>
    <cellStyle name="Note 2 22 2" xfId="293" xr:uid="{00000000-0005-0000-0000-0000B6000000}"/>
    <cellStyle name="Note 2 23" xfId="235" xr:uid="{00000000-0005-0000-0000-0000A7000000}"/>
    <cellStyle name="Note 2 3" xfId="124" xr:uid="{00000000-0005-0000-0000-0000B7000000}"/>
    <cellStyle name="Note 2 4" xfId="125" xr:uid="{00000000-0005-0000-0000-0000B8000000}"/>
    <cellStyle name="Note 2 5" xfId="126" xr:uid="{00000000-0005-0000-0000-0000B9000000}"/>
    <cellStyle name="Note 2 6" xfId="127" xr:uid="{00000000-0005-0000-0000-0000BA000000}"/>
    <cellStyle name="Note 2 7" xfId="128" xr:uid="{00000000-0005-0000-0000-0000BB000000}"/>
    <cellStyle name="Note 2 8" xfId="129" xr:uid="{00000000-0005-0000-0000-0000BC000000}"/>
    <cellStyle name="Note 2 9" xfId="130" xr:uid="{00000000-0005-0000-0000-0000BD000000}"/>
    <cellStyle name="Note 3" xfId="131" xr:uid="{00000000-0005-0000-0000-0000BE000000}"/>
    <cellStyle name="Note 4" xfId="132" xr:uid="{00000000-0005-0000-0000-0000BF000000}"/>
    <cellStyle name="Note 5" xfId="133" xr:uid="{00000000-0005-0000-0000-0000C0000000}"/>
    <cellStyle name="Note 6" xfId="134" xr:uid="{00000000-0005-0000-0000-0000C1000000}"/>
    <cellStyle name="Note 7" xfId="135" xr:uid="{00000000-0005-0000-0000-0000C2000000}"/>
    <cellStyle name="Note 8" xfId="136" xr:uid="{00000000-0005-0000-0000-0000C3000000}"/>
    <cellStyle name="Note 9" xfId="137" xr:uid="{00000000-0005-0000-0000-0000C4000000}"/>
    <cellStyle name="Output" xfId="138" builtinId="21" customBuiltin="1"/>
    <cellStyle name="Title" xfId="139" builtinId="15" customBuiltin="1"/>
    <cellStyle name="Total" xfId="140" builtinId="25" customBuiltin="1"/>
    <cellStyle name="Warning Text" xfId="141" builtinId="11" customBuiltin="1"/>
  </cellStyles>
  <dxfs count="1">
    <dxf>
      <font>
        <b/>
        <i/>
      </font>
      <fill>
        <patternFill>
          <bgColor theme="0" tint="-0.14996795556505021"/>
        </patternFill>
      </fill>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FCEBD4"/>
      <color rgb="FF529ADC"/>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54D9-CA0D-4555-8AAE-FEB230A9400C}">
  <dimension ref="A1:E13"/>
  <sheetViews>
    <sheetView tabSelected="1" zoomScaleNormal="100" workbookViewId="0">
      <selection sqref="A1:E2"/>
    </sheetView>
  </sheetViews>
  <sheetFormatPr defaultRowHeight="13.2" x14ac:dyDescent="0.25"/>
  <cols>
    <col min="1" max="1" width="13.77734375" customWidth="1"/>
    <col min="2" max="2" width="30.21875" bestFit="1" customWidth="1"/>
    <col min="3" max="3" width="2.77734375" customWidth="1"/>
    <col min="4" max="5" width="19.77734375" customWidth="1"/>
    <col min="7" max="7" width="8.77734375" bestFit="1" customWidth="1"/>
  </cols>
  <sheetData>
    <row r="1" spans="1:5" x14ac:dyDescent="0.25">
      <c r="A1" s="346" t="s">
        <v>13383</v>
      </c>
      <c r="B1" s="347"/>
      <c r="C1" s="347"/>
      <c r="D1" s="347"/>
      <c r="E1" s="348"/>
    </row>
    <row r="2" spans="1:5" ht="13.8" thickBot="1" x14ac:dyDescent="0.3">
      <c r="A2" s="349"/>
      <c r="B2" s="350"/>
      <c r="C2" s="350"/>
      <c r="D2" s="350"/>
      <c r="E2" s="351"/>
    </row>
    <row r="3" spans="1:5" x14ac:dyDescent="0.25">
      <c r="A3" s="251" t="s">
        <v>0</v>
      </c>
      <c r="B3" s="252">
        <v>45834</v>
      </c>
      <c r="C3" s="8"/>
      <c r="D3" s="8"/>
      <c r="E3" s="9"/>
    </row>
    <row r="4" spans="1:5" x14ac:dyDescent="0.25">
      <c r="A4" s="2"/>
      <c r="B4" s="3"/>
      <c r="C4" s="4"/>
      <c r="D4" s="4"/>
      <c r="E4" s="1"/>
    </row>
    <row r="5" spans="1:5" s="12" customFormat="1" ht="16.5" customHeight="1" x14ac:dyDescent="0.3">
      <c r="A5" s="10" t="s">
        <v>1</v>
      </c>
      <c r="B5" s="11" t="s">
        <v>2</v>
      </c>
      <c r="D5" s="352" t="s">
        <v>3</v>
      </c>
      <c r="E5" s="353"/>
    </row>
    <row r="6" spans="1:5" s="12" customFormat="1" ht="16.5" customHeight="1" x14ac:dyDescent="0.3">
      <c r="A6" s="10" t="s">
        <v>4</v>
      </c>
      <c r="B6" s="13" t="s">
        <v>5</v>
      </c>
      <c r="D6" s="352" t="s">
        <v>6</v>
      </c>
      <c r="E6" s="353"/>
    </row>
    <row r="7" spans="1:5" s="12" customFormat="1" ht="16.5" customHeight="1" x14ac:dyDescent="0.3">
      <c r="A7" s="10" t="s">
        <v>7</v>
      </c>
      <c r="B7" s="13" t="s">
        <v>8</v>
      </c>
      <c r="D7" s="352" t="s">
        <v>9</v>
      </c>
      <c r="E7" s="353"/>
    </row>
    <row r="8" spans="1:5" s="12" customFormat="1" ht="16.5" customHeight="1" x14ac:dyDescent="0.3">
      <c r="A8" s="10" t="s">
        <v>10</v>
      </c>
      <c r="B8" s="13" t="s">
        <v>11</v>
      </c>
      <c r="D8" s="352" t="s">
        <v>12</v>
      </c>
      <c r="E8" s="353"/>
    </row>
    <row r="9" spans="1:5" s="12" customFormat="1" ht="16.5" customHeight="1" x14ac:dyDescent="0.3">
      <c r="A9" s="10" t="s">
        <v>13</v>
      </c>
      <c r="B9" s="13" t="s">
        <v>14</v>
      </c>
      <c r="D9" s="352" t="s">
        <v>15</v>
      </c>
      <c r="E9" s="353"/>
    </row>
    <row r="10" spans="1:5" s="12" customFormat="1" ht="16.5" customHeight="1" x14ac:dyDescent="0.3">
      <c r="A10" s="10" t="s">
        <v>16</v>
      </c>
      <c r="B10" s="13" t="s">
        <v>17</v>
      </c>
      <c r="D10" s="352" t="s">
        <v>18</v>
      </c>
      <c r="E10" s="353"/>
    </row>
    <row r="11" spans="1:5" s="12" customFormat="1" ht="16.5" customHeight="1" x14ac:dyDescent="0.3">
      <c r="A11" s="10" t="s">
        <v>19</v>
      </c>
      <c r="B11" s="13" t="s">
        <v>20</v>
      </c>
      <c r="D11" s="352" t="s">
        <v>21</v>
      </c>
      <c r="E11" s="353"/>
    </row>
    <row r="12" spans="1:5" s="12" customFormat="1" ht="16.5" customHeight="1" x14ac:dyDescent="0.3">
      <c r="A12" s="10" t="s">
        <v>22</v>
      </c>
      <c r="B12" s="13" t="s">
        <v>23</v>
      </c>
      <c r="D12" s="352" t="s">
        <v>24</v>
      </c>
      <c r="E12" s="353"/>
    </row>
    <row r="13" spans="1:5" s="12" customFormat="1" ht="16.5" customHeight="1" thickBot="1" x14ac:dyDescent="0.35">
      <c r="A13" s="14" t="s">
        <v>25</v>
      </c>
      <c r="B13" s="15" t="s">
        <v>26</v>
      </c>
      <c r="C13" s="16"/>
      <c r="D13" s="344" t="s">
        <v>27</v>
      </c>
      <c r="E13" s="345"/>
    </row>
  </sheetData>
  <mergeCells count="10">
    <mergeCell ref="D13:E13"/>
    <mergeCell ref="A1:E2"/>
    <mergeCell ref="D5:E5"/>
    <mergeCell ref="D6:E6"/>
    <mergeCell ref="D11:E11"/>
    <mergeCell ref="D12:E12"/>
    <mergeCell ref="D7:E7"/>
    <mergeCell ref="D8:E8"/>
    <mergeCell ref="D9:E9"/>
    <mergeCell ref="D10:E10"/>
  </mergeCells>
  <hyperlinks>
    <hyperlink ref="B6" location="'Items Document Map'!A1" display="Items Document Map" xr:uid="{4DD89416-D519-4DB5-9244-880C5DFFB978}"/>
    <hyperlink ref="B7" location="'Items Details'!A1" display="Items Details" xr:uid="{A2AA524E-32C7-4D9D-9CE1-5DE198D326F6}"/>
    <hyperlink ref="B8" location="'Option Sets Map'!A1" display="Option Sets Map" xr:uid="{11F00ECC-6931-469B-BC64-B985AD154130}"/>
    <hyperlink ref="B9" location="'Option Sets Details'!A1" display="Option Sets Details" xr:uid="{5EF5EF0B-ADD9-46C4-9612-2EC384623496}"/>
    <hyperlink ref="B10" location="'Assignment Changes'!A1" display="Assignment Changes" xr:uid="{43D3D604-13BF-42DD-BFED-B53639A2C4C6}"/>
    <hyperlink ref="B11" location="Assignment_Endorsements!A1" display="Assignments_Endorsements" xr:uid="{2581DD42-3A6E-4E02-AEFF-A7F1F7CB7AD3}"/>
    <hyperlink ref="B12" location="'Districts and Schools'!A1" display="Districts and Schools" xr:uid="{3741C7EA-EDDB-4F4D-B92A-DE7DB123A79F}"/>
    <hyperlink ref="B13" location="'Changes (after July)'!A1" display="Changes" xr:uid="{2B1CCE4C-AE2C-4E12-86FF-2015C48902CC}"/>
  </hyperlink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C17E-6F21-493A-A223-A8A5D511BA08}">
  <dimension ref="A1:H90"/>
  <sheetViews>
    <sheetView zoomScaleNormal="100" workbookViewId="0">
      <selection activeCell="C9" sqref="C9"/>
    </sheetView>
  </sheetViews>
  <sheetFormatPr defaultColWidth="8.77734375" defaultRowHeight="14.4" x14ac:dyDescent="0.25"/>
  <cols>
    <col min="1" max="1" width="14.21875" style="5" customWidth="1"/>
    <col min="2" max="2" width="5.21875" style="6" bestFit="1" customWidth="1"/>
    <col min="3" max="3" width="37.21875" style="5" bestFit="1" customWidth="1"/>
    <col min="4" max="4" width="14.21875" style="5" bestFit="1" customWidth="1"/>
    <col min="5" max="5" width="10.77734375" style="5" customWidth="1"/>
    <col min="6" max="6" width="14.77734375" style="5" customWidth="1"/>
    <col min="7" max="7" width="10.77734375" style="5" customWidth="1"/>
    <col min="8" max="8" width="23.21875" style="5" customWidth="1"/>
    <col min="9" max="9" width="8.77734375" style="5"/>
    <col min="10" max="10" width="10.77734375" style="5" bestFit="1" customWidth="1"/>
    <col min="11" max="16384" width="8.77734375" style="5"/>
  </cols>
  <sheetData>
    <row r="1" spans="1:8" ht="17.100000000000001" customHeight="1" x14ac:dyDescent="0.25">
      <c r="A1" s="354" t="s">
        <v>28</v>
      </c>
      <c r="B1" s="355"/>
      <c r="C1" s="355"/>
      <c r="D1" s="22" t="s">
        <v>0</v>
      </c>
      <c r="E1" s="356">
        <f xml:space="preserve"> ('Table of Contents'!B3)</f>
        <v>45834</v>
      </c>
      <c r="F1" s="357"/>
      <c r="G1" s="357"/>
      <c r="H1" s="358"/>
    </row>
    <row r="2" spans="1:8" x14ac:dyDescent="0.25">
      <c r="A2" s="23"/>
      <c r="B2" s="24"/>
      <c r="C2" s="25"/>
      <c r="D2" s="26"/>
      <c r="E2" s="26"/>
      <c r="F2" s="23"/>
      <c r="G2" s="23"/>
      <c r="H2" s="27"/>
    </row>
    <row r="3" spans="1:8" x14ac:dyDescent="0.25">
      <c r="A3" s="23"/>
      <c r="B3" s="24"/>
      <c r="C3" s="28" t="s">
        <v>29</v>
      </c>
      <c r="D3" s="29" t="s">
        <v>13384</v>
      </c>
      <c r="E3" s="28"/>
      <c r="F3" s="29" t="s">
        <v>30</v>
      </c>
      <c r="G3" s="28"/>
      <c r="H3" s="29" t="s">
        <v>31</v>
      </c>
    </row>
    <row r="4" spans="1:8" x14ac:dyDescent="0.25">
      <c r="A4" s="23"/>
      <c r="B4" s="24"/>
      <c r="C4" s="30" t="s">
        <v>33</v>
      </c>
      <c r="D4" s="31">
        <f>COUNTA('Items Details'!D3:D17)</f>
        <v>15</v>
      </c>
      <c r="E4" s="32"/>
      <c r="F4" s="31">
        <v>15</v>
      </c>
      <c r="G4" s="32"/>
      <c r="H4" s="31">
        <f>D4-F4</f>
        <v>0</v>
      </c>
    </row>
    <row r="5" spans="1:8" x14ac:dyDescent="0.25">
      <c r="A5" s="232" t="s">
        <v>13516</v>
      </c>
      <c r="B5" s="233" t="s">
        <v>32</v>
      </c>
      <c r="C5" s="30" t="s">
        <v>34</v>
      </c>
      <c r="D5" s="31">
        <f>COUNTA('Items Details'!D19:D72)</f>
        <v>54</v>
      </c>
      <c r="E5" s="32"/>
      <c r="F5" s="31">
        <v>53</v>
      </c>
      <c r="G5" s="32"/>
      <c r="H5" s="31">
        <f t="shared" ref="H5:H17" si="0">D5-F5</f>
        <v>1</v>
      </c>
    </row>
    <row r="6" spans="1:8" x14ac:dyDescent="0.25">
      <c r="A6" s="23"/>
      <c r="B6" s="24"/>
      <c r="C6" s="30" t="s">
        <v>35</v>
      </c>
      <c r="D6" s="31">
        <f>COUNTA('Items Details'!D74:D90)</f>
        <v>17</v>
      </c>
      <c r="E6" s="32"/>
      <c r="F6" s="31">
        <v>17</v>
      </c>
      <c r="G6" s="32"/>
      <c r="H6" s="31">
        <f t="shared" si="0"/>
        <v>0</v>
      </c>
    </row>
    <row r="7" spans="1:8" x14ac:dyDescent="0.25">
      <c r="A7" s="232" t="s">
        <v>13516</v>
      </c>
      <c r="B7" s="233" t="s">
        <v>32</v>
      </c>
      <c r="C7" s="30" t="s">
        <v>451</v>
      </c>
      <c r="D7" s="31">
        <f>COUNTA('Items Details'!D92:D98)</f>
        <v>7</v>
      </c>
      <c r="E7" s="32"/>
      <c r="F7" s="31">
        <v>7</v>
      </c>
      <c r="G7" s="32"/>
      <c r="H7" s="31">
        <f t="shared" si="0"/>
        <v>0</v>
      </c>
    </row>
    <row r="8" spans="1:8" x14ac:dyDescent="0.25">
      <c r="A8" s="23"/>
      <c r="B8" s="24"/>
      <c r="C8" s="30" t="s">
        <v>37</v>
      </c>
      <c r="D8" s="31">
        <f>COUNTA('Items Details'!D100:D106)</f>
        <v>7</v>
      </c>
      <c r="E8" s="32"/>
      <c r="F8" s="31">
        <v>7</v>
      </c>
      <c r="G8" s="32"/>
      <c r="H8" s="31">
        <f t="shared" si="0"/>
        <v>0</v>
      </c>
    </row>
    <row r="9" spans="1:8" x14ac:dyDescent="0.25">
      <c r="A9" s="23"/>
      <c r="B9" s="24"/>
      <c r="C9" s="30" t="s">
        <v>38</v>
      </c>
      <c r="D9" s="31">
        <f>COUNTA('Items Details'!D108:D133)</f>
        <v>26</v>
      </c>
      <c r="E9" s="32"/>
      <c r="F9" s="31">
        <v>26</v>
      </c>
      <c r="G9" s="32"/>
      <c r="H9" s="31">
        <f t="shared" si="0"/>
        <v>0</v>
      </c>
    </row>
    <row r="10" spans="1:8" x14ac:dyDescent="0.25">
      <c r="A10" s="23"/>
      <c r="B10" s="24"/>
      <c r="C10" s="30" t="s">
        <v>39</v>
      </c>
      <c r="D10" s="31">
        <f>COUNTA('Items Details'!D135:D146)</f>
        <v>12</v>
      </c>
      <c r="E10" s="32"/>
      <c r="F10" s="31">
        <v>12</v>
      </c>
      <c r="G10" s="32"/>
      <c r="H10" s="31">
        <f t="shared" si="0"/>
        <v>0</v>
      </c>
    </row>
    <row r="11" spans="1:8" x14ac:dyDescent="0.25">
      <c r="A11" s="232" t="s">
        <v>13516</v>
      </c>
      <c r="B11" s="233" t="s">
        <v>32</v>
      </c>
      <c r="C11" s="30" t="s">
        <v>40</v>
      </c>
      <c r="D11" s="31">
        <f>COUNTA('Items Details'!D148:D273)</f>
        <v>126</v>
      </c>
      <c r="E11" s="32"/>
      <c r="F11" s="31">
        <v>126</v>
      </c>
      <c r="G11" s="32"/>
      <c r="H11" s="31">
        <f t="shared" si="0"/>
        <v>0</v>
      </c>
    </row>
    <row r="12" spans="1:8" x14ac:dyDescent="0.25">
      <c r="A12" s="23"/>
      <c r="B12" s="24"/>
      <c r="C12" s="30" t="s">
        <v>41</v>
      </c>
      <c r="D12" s="31">
        <f>COUNTA('Items Details'!D275:D289)</f>
        <v>15</v>
      </c>
      <c r="E12" s="32"/>
      <c r="F12" s="31">
        <v>15</v>
      </c>
      <c r="G12" s="32"/>
      <c r="H12" s="31">
        <f t="shared" si="0"/>
        <v>0</v>
      </c>
    </row>
    <row r="13" spans="1:8" x14ac:dyDescent="0.25">
      <c r="A13" s="23"/>
      <c r="B13" s="24"/>
      <c r="C13" s="30" t="s">
        <v>42</v>
      </c>
      <c r="D13" s="31">
        <f>COUNTA('Items Details'!D291:D309)</f>
        <v>19</v>
      </c>
      <c r="E13" s="32"/>
      <c r="F13" s="31">
        <v>19</v>
      </c>
      <c r="G13" s="32"/>
      <c r="H13" s="31">
        <f t="shared" si="0"/>
        <v>0</v>
      </c>
    </row>
    <row r="14" spans="1:8" x14ac:dyDescent="0.25">
      <c r="A14" s="23"/>
      <c r="B14" s="24"/>
      <c r="C14" s="30" t="s">
        <v>43</v>
      </c>
      <c r="D14" s="31">
        <f>COUNTA('Items Details'!F311:F318)</f>
        <v>8</v>
      </c>
      <c r="E14" s="32"/>
      <c r="F14" s="31">
        <v>8</v>
      </c>
      <c r="G14" s="32"/>
      <c r="H14" s="31">
        <f t="shared" si="0"/>
        <v>0</v>
      </c>
    </row>
    <row r="15" spans="1:8" x14ac:dyDescent="0.25">
      <c r="A15" s="232" t="s">
        <v>13516</v>
      </c>
      <c r="B15" s="233" t="s">
        <v>32</v>
      </c>
      <c r="C15" s="30" t="s">
        <v>44</v>
      </c>
      <c r="D15" s="31">
        <f>COUNTA('Items Details'!F320:F328)</f>
        <v>9</v>
      </c>
      <c r="E15" s="32"/>
      <c r="F15" s="31">
        <v>9</v>
      </c>
      <c r="G15" s="32"/>
      <c r="H15" s="31">
        <f t="shared" si="0"/>
        <v>0</v>
      </c>
    </row>
    <row r="16" spans="1:8" x14ac:dyDescent="0.25">
      <c r="A16" s="23"/>
      <c r="B16" s="24"/>
      <c r="C16" s="33"/>
      <c r="D16" s="35" t="s">
        <v>45</v>
      </c>
      <c r="E16" s="34"/>
      <c r="F16" s="35" t="s">
        <v>45</v>
      </c>
      <c r="G16" s="34"/>
      <c r="H16" s="35" t="s">
        <v>45</v>
      </c>
    </row>
    <row r="17" spans="1:8" x14ac:dyDescent="0.25">
      <c r="A17" s="23"/>
      <c r="B17" s="24"/>
      <c r="C17" s="36" t="s">
        <v>46</v>
      </c>
      <c r="D17" s="35">
        <f>SUM(D4:D15)</f>
        <v>315</v>
      </c>
      <c r="E17" s="34"/>
      <c r="F17" s="35">
        <f>SUM(F4:F15)</f>
        <v>314</v>
      </c>
      <c r="G17" s="34"/>
      <c r="H17" s="31">
        <f t="shared" si="0"/>
        <v>1</v>
      </c>
    </row>
    <row r="18" spans="1:8" x14ac:dyDescent="0.25">
      <c r="A18" s="23"/>
      <c r="B18" s="24"/>
      <c r="C18" s="23"/>
      <c r="D18" s="23"/>
      <c r="E18" s="23"/>
      <c r="F18" s="23"/>
      <c r="G18" s="23"/>
      <c r="H18" s="23"/>
    </row>
    <row r="19" spans="1:8" x14ac:dyDescent="0.25">
      <c r="A19" s="367" t="s">
        <v>47</v>
      </c>
      <c r="B19" s="368"/>
      <c r="C19" s="368"/>
      <c r="D19" s="368"/>
      <c r="E19" s="368"/>
      <c r="F19" s="369"/>
      <c r="G19" s="369"/>
      <c r="H19" s="370"/>
    </row>
    <row r="20" spans="1:8" x14ac:dyDescent="0.25">
      <c r="A20" s="23"/>
      <c r="B20" s="24"/>
      <c r="C20" s="37"/>
      <c r="D20" s="38"/>
      <c r="E20" s="38"/>
      <c r="F20" s="34"/>
      <c r="G20" s="34"/>
      <c r="H20" s="34"/>
    </row>
    <row r="21" spans="1:8" x14ac:dyDescent="0.25">
      <c r="A21" s="23"/>
      <c r="B21" s="24"/>
      <c r="C21" s="28" t="s">
        <v>29</v>
      </c>
      <c r="D21" s="29" t="s">
        <v>13384</v>
      </c>
      <c r="E21" s="28"/>
      <c r="F21" s="29" t="s">
        <v>30</v>
      </c>
      <c r="G21" s="28"/>
      <c r="H21" s="29" t="s">
        <v>31</v>
      </c>
    </row>
    <row r="22" spans="1:8" x14ac:dyDescent="0.25">
      <c r="A22" s="23"/>
      <c r="B22" s="24"/>
      <c r="C22" s="39" t="s">
        <v>48</v>
      </c>
      <c r="D22" s="40">
        <f>COUNTA('Items Details'!D331:D352)</f>
        <v>22</v>
      </c>
      <c r="E22" s="41"/>
      <c r="F22" s="340">
        <v>22</v>
      </c>
      <c r="G22" s="41"/>
      <c r="H22" s="40">
        <f t="shared" ref="H22" si="1">D22-F22</f>
        <v>0</v>
      </c>
    </row>
    <row r="23" spans="1:8" x14ac:dyDescent="0.25">
      <c r="A23" s="23"/>
      <c r="B23" s="24"/>
      <c r="C23" s="33"/>
      <c r="D23" s="35"/>
      <c r="E23" s="34"/>
      <c r="F23" s="35"/>
      <c r="G23" s="34"/>
      <c r="H23" s="35"/>
    </row>
    <row r="24" spans="1:8" x14ac:dyDescent="0.25">
      <c r="A24" s="23"/>
      <c r="B24" s="24"/>
      <c r="C24" s="36" t="s">
        <v>46</v>
      </c>
      <c r="D24" s="35">
        <f>SUM(D22)</f>
        <v>22</v>
      </c>
      <c r="E24" s="34"/>
      <c r="F24" s="35">
        <f>SUM(F22)</f>
        <v>22</v>
      </c>
      <c r="G24" s="34"/>
      <c r="H24" s="40">
        <f t="shared" ref="H24" si="2">D24-F24</f>
        <v>0</v>
      </c>
    </row>
    <row r="25" spans="1:8" x14ac:dyDescent="0.25">
      <c r="A25" s="23"/>
      <c r="B25" s="24"/>
      <c r="C25" s="23"/>
      <c r="D25" s="23"/>
      <c r="E25" s="23"/>
      <c r="F25" s="23"/>
      <c r="G25" s="23"/>
      <c r="H25" s="23"/>
    </row>
    <row r="26" spans="1:8" x14ac:dyDescent="0.25">
      <c r="A26" s="359" t="s">
        <v>49</v>
      </c>
      <c r="B26" s="360"/>
      <c r="C26" s="360"/>
      <c r="D26" s="360"/>
      <c r="E26" s="360"/>
      <c r="F26" s="361"/>
      <c r="G26" s="361"/>
      <c r="H26" s="362"/>
    </row>
    <row r="27" spans="1:8" x14ac:dyDescent="0.25">
      <c r="A27" s="23"/>
      <c r="B27" s="24"/>
      <c r="C27" s="25"/>
      <c r="D27" s="26"/>
      <c r="E27" s="26"/>
      <c r="F27" s="23"/>
      <c r="G27" s="23"/>
      <c r="H27" s="42"/>
    </row>
    <row r="28" spans="1:8" x14ac:dyDescent="0.25">
      <c r="A28" s="23"/>
      <c r="B28" s="24"/>
      <c r="C28" s="28" t="s">
        <v>29</v>
      </c>
      <c r="D28" s="29" t="s">
        <v>13384</v>
      </c>
      <c r="E28" s="28"/>
      <c r="F28" s="29" t="s">
        <v>30</v>
      </c>
      <c r="G28" s="28"/>
      <c r="H28" s="29" t="s">
        <v>31</v>
      </c>
    </row>
    <row r="29" spans="1:8" x14ac:dyDescent="0.25">
      <c r="A29" s="23"/>
      <c r="B29" s="24"/>
      <c r="C29" s="43" t="s">
        <v>50</v>
      </c>
      <c r="D29" s="44">
        <f>COUNTA('Items Details'!D355:D364)</f>
        <v>10</v>
      </c>
      <c r="E29" s="45"/>
      <c r="F29" s="341">
        <v>10</v>
      </c>
      <c r="G29" s="45"/>
      <c r="H29" s="44">
        <f t="shared" ref="H29" si="3">D29-F29</f>
        <v>0</v>
      </c>
    </row>
    <row r="30" spans="1:8" x14ac:dyDescent="0.25">
      <c r="A30" s="23"/>
      <c r="B30" s="24"/>
      <c r="C30" s="33"/>
      <c r="D30" s="35"/>
      <c r="E30" s="34"/>
      <c r="F30" s="35"/>
      <c r="G30" s="34"/>
      <c r="H30" s="35"/>
    </row>
    <row r="31" spans="1:8" x14ac:dyDescent="0.25">
      <c r="A31" s="23"/>
      <c r="B31" s="24"/>
      <c r="C31" s="36" t="s">
        <v>46</v>
      </c>
      <c r="D31" s="35">
        <f>SUM(D29)</f>
        <v>10</v>
      </c>
      <c r="E31" s="34"/>
      <c r="F31" s="35">
        <f>SUM(F29)</f>
        <v>10</v>
      </c>
      <c r="G31" s="34"/>
      <c r="H31" s="44">
        <f t="shared" ref="H31" si="4">D31-F31</f>
        <v>0</v>
      </c>
    </row>
    <row r="33" spans="1:8" x14ac:dyDescent="0.25">
      <c r="A33" s="363" t="s">
        <v>51</v>
      </c>
      <c r="B33" s="364"/>
      <c r="C33" s="364"/>
      <c r="D33" s="364"/>
      <c r="E33" s="364"/>
      <c r="F33" s="365"/>
      <c r="G33" s="365"/>
      <c r="H33" s="366"/>
    </row>
    <row r="34" spans="1:8" x14ac:dyDescent="0.25">
      <c r="A34" s="23"/>
      <c r="B34" s="24"/>
      <c r="C34" s="25"/>
      <c r="D34" s="26"/>
      <c r="E34" s="26"/>
      <c r="F34" s="23"/>
      <c r="G34" s="23"/>
      <c r="H34" s="42"/>
    </row>
    <row r="35" spans="1:8" x14ac:dyDescent="0.25">
      <c r="A35" s="23"/>
      <c r="B35" s="24"/>
      <c r="C35" s="28" t="s">
        <v>29</v>
      </c>
      <c r="D35" s="29" t="s">
        <v>13384</v>
      </c>
      <c r="E35" s="28"/>
      <c r="F35" s="29" t="s">
        <v>30</v>
      </c>
      <c r="G35" s="28"/>
      <c r="H35" s="29" t="s">
        <v>31</v>
      </c>
    </row>
    <row r="36" spans="1:8" x14ac:dyDescent="0.25">
      <c r="A36" s="23"/>
      <c r="B36" s="24"/>
      <c r="C36" s="48" t="s">
        <v>52</v>
      </c>
      <c r="D36" s="49">
        <f>COUNTA('Items Details'!D367:D383)</f>
        <v>17</v>
      </c>
      <c r="E36" s="50"/>
      <c r="F36" s="342">
        <v>17</v>
      </c>
      <c r="G36" s="50"/>
      <c r="H36" s="49">
        <f>D36-F36</f>
        <v>0</v>
      </c>
    </row>
    <row r="37" spans="1:8" x14ac:dyDescent="0.25">
      <c r="A37" s="23"/>
      <c r="B37" s="24"/>
      <c r="C37" s="33"/>
      <c r="D37" s="35"/>
      <c r="E37" s="34"/>
      <c r="F37" s="35"/>
      <c r="G37" s="34"/>
      <c r="H37" s="35"/>
    </row>
    <row r="38" spans="1:8" x14ac:dyDescent="0.25">
      <c r="A38" s="23"/>
      <c r="B38" s="24"/>
      <c r="C38" s="36" t="s">
        <v>46</v>
      </c>
      <c r="D38" s="35">
        <f>SUM(D36)</f>
        <v>17</v>
      </c>
      <c r="E38" s="34"/>
      <c r="F38" s="35">
        <f>SUM(F36)</f>
        <v>17</v>
      </c>
      <c r="G38" s="34"/>
      <c r="H38" s="49">
        <f>D38-F38</f>
        <v>0</v>
      </c>
    </row>
    <row r="40" spans="1:8" x14ac:dyDescent="0.25">
      <c r="A40" s="46" t="s">
        <v>53</v>
      </c>
      <c r="B40" s="47" t="s">
        <v>32</v>
      </c>
    </row>
    <row r="41" spans="1:8" x14ac:dyDescent="0.25">
      <c r="A41" s="232" t="s">
        <v>13516</v>
      </c>
      <c r="B41" s="233" t="s">
        <v>32</v>
      </c>
    </row>
    <row r="42" spans="1:8" x14ac:dyDescent="0.25">
      <c r="A42" s="234" t="s">
        <v>54</v>
      </c>
      <c r="B42" s="235" t="s">
        <v>32</v>
      </c>
    </row>
    <row r="90" spans="8:8" x14ac:dyDescent="0.25">
      <c r="H90" s="5" t="s">
        <v>55</v>
      </c>
    </row>
  </sheetData>
  <mergeCells count="8">
    <mergeCell ref="A1:C1"/>
    <mergeCell ref="E1:H1"/>
    <mergeCell ref="A26:E26"/>
    <mergeCell ref="F26:H26"/>
    <mergeCell ref="A33:E33"/>
    <mergeCell ref="F33:H33"/>
    <mergeCell ref="A19:E19"/>
    <mergeCell ref="F19:H19"/>
  </mergeCells>
  <hyperlinks>
    <hyperlink ref="C13" location="Disciplinary_Actions" display="Disciplinary Action" xr:uid="{90DD6980-AF5F-4170-9518-420B241EACB6}"/>
    <hyperlink ref="C6" location="Student_Course_Enrollment" display="Student Course Enrollment" xr:uid="{3AAF25DF-CE3A-47C4-8758-BAB385DB0A89}"/>
    <hyperlink ref="C12" location="Staff_Assignments" display="Staff Assignments" xr:uid="{3A62003A-4C79-43ED-994F-A8001D9E84AB}"/>
    <hyperlink ref="C11" location="Staff_Demographics" display="Staff Demographics and Employment" xr:uid="{D1C2C0B8-A223-426A-B5D3-E63CFAF4B372}"/>
    <hyperlink ref="C10" location="Gifted_Students" display="Gifted Students" xr:uid="{7CA1D4B4-F68D-44AC-BA1A-3B3BDE6BAC85}"/>
    <hyperlink ref="C9" location="Special_Education_Students" display="Special Education Students" xr:uid="{5B801EC8-9405-4CE7-B9AF-8191F4B2FEE9}"/>
    <hyperlink ref="C8" location="District_Calendars" display="District Calendars" xr:uid="{B03CC9D4-A5D4-42ED-8A1C-3BD6A97B4720}"/>
    <hyperlink ref="C7" location="Student_Attendance" display="Student Attendance" xr:uid="{26B65B13-4FDD-44A4-A8C6-85C3166FBF9D}"/>
    <hyperlink ref="C5" location="Student_Demographics" display="Student Demographics" xr:uid="{222D395D-1311-4C34-B43B-70A758B5ECE2}"/>
    <hyperlink ref="C4" location="Master_Course_Schedule" display="Master Course Schedule" xr:uid="{A7F2F3CC-9E4F-46DB-977A-1A0C29653795}"/>
    <hyperlink ref="C22" location="Program_Contacts" display="Program Contacts" xr:uid="{B8CDF429-E2DD-4F38-BC65-C0A6A1586950}"/>
    <hyperlink ref="C29" location="Annual_School_Finance" display="Annual School Finance" xr:uid="{256150FB-52DD-43BB-BE24-45095B78C7B6}"/>
    <hyperlink ref="C36" location="Fiscal_Transparency" display="Fiscal Tranparency" xr:uid="{119B72B7-C130-48E0-A73C-E130CF39BCC6}"/>
    <hyperlink ref="C14" location="Person_Addresses" display="Person Addresses" xr:uid="{11B206EA-C211-4D1F-9AFA-CEF45AB366F9}"/>
    <hyperlink ref="C15" location="Open_Enrollment" display="Open Enrollment" xr:uid="{9F8FB1C0-7105-430C-9750-BCF62F782362}"/>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383"/>
  <sheetViews>
    <sheetView showGridLines="0" zoomScaleNormal="100" workbookViewId="0">
      <pane ySplit="1" topLeftCell="A2" activePane="bottomLeft" state="frozen"/>
      <selection pane="bottomLeft"/>
    </sheetView>
  </sheetViews>
  <sheetFormatPr defaultColWidth="9.21875" defaultRowHeight="15" customHeight="1" x14ac:dyDescent="0.25"/>
  <cols>
    <col min="1" max="1" width="23" style="58" customWidth="1"/>
    <col min="2" max="2" width="12.21875" style="78" bestFit="1" customWidth="1"/>
    <col min="3" max="3" width="24.77734375" style="58" customWidth="1"/>
    <col min="4" max="4" width="4.21875" style="84" customWidth="1"/>
    <col min="5" max="5" width="28.77734375" style="58" customWidth="1"/>
    <col min="6" max="6" width="21.77734375" style="58" bestFit="1" customWidth="1"/>
    <col min="7" max="7" width="1.77734375" style="58" customWidth="1"/>
    <col min="8" max="8" width="88.44140625" style="58" customWidth="1"/>
    <col min="9" max="9" width="20.21875" style="58" customWidth="1"/>
    <col min="10" max="10" width="3.5546875" style="58" customWidth="1"/>
    <col min="11" max="11" width="15.5546875" style="58" bestFit="1" customWidth="1"/>
    <col min="12" max="12" width="9.21875" style="85" customWidth="1"/>
    <col min="13" max="13" width="16.77734375" style="84" customWidth="1"/>
    <col min="14" max="14" width="30.21875" style="18" customWidth="1"/>
    <col min="15" max="15" width="5.44140625" style="58" customWidth="1"/>
    <col min="16" max="16" width="5.21875" style="58" customWidth="1"/>
    <col min="17" max="17" width="13.5546875" style="58" bestFit="1" customWidth="1"/>
    <col min="18" max="18" width="82.21875" style="58" customWidth="1"/>
    <col min="19" max="19" width="57.77734375" style="58" customWidth="1"/>
    <col min="20" max="20" width="7.77734375" style="78" customWidth="1"/>
    <col min="21" max="21" width="5.5546875" style="78" customWidth="1"/>
    <col min="22" max="22" width="17.5546875" style="78" customWidth="1"/>
    <col min="23" max="23" width="18.77734375" style="58" customWidth="1"/>
    <col min="24" max="24" width="65.21875" style="58" customWidth="1"/>
    <col min="25" max="16384" width="9.21875" style="58"/>
  </cols>
  <sheetData>
    <row r="1" spans="1:24" ht="15" customHeight="1" thickBot="1" x14ac:dyDescent="0.3">
      <c r="A1" s="51" t="s">
        <v>56</v>
      </c>
      <c r="B1" s="52" t="s">
        <v>57</v>
      </c>
      <c r="C1" s="51" t="s">
        <v>58</v>
      </c>
      <c r="D1" s="53" t="s">
        <v>59</v>
      </c>
      <c r="E1" s="51" t="s">
        <v>60</v>
      </c>
      <c r="F1" s="51" t="s">
        <v>61</v>
      </c>
      <c r="G1" s="51" t="s">
        <v>62</v>
      </c>
      <c r="H1" s="51" t="s">
        <v>63</v>
      </c>
      <c r="I1" s="51" t="s">
        <v>64</v>
      </c>
      <c r="J1" s="51" t="s">
        <v>65</v>
      </c>
      <c r="K1" s="51" t="s">
        <v>66</v>
      </c>
      <c r="L1" s="52" t="s">
        <v>67</v>
      </c>
      <c r="M1" s="53" t="s">
        <v>68</v>
      </c>
      <c r="N1" s="51" t="s">
        <v>69</v>
      </c>
      <c r="O1" s="54" t="s">
        <v>70</v>
      </c>
      <c r="P1" s="54" t="s">
        <v>71</v>
      </c>
      <c r="Q1" s="55" t="s">
        <v>72</v>
      </c>
      <c r="R1" s="55" t="s">
        <v>73</v>
      </c>
      <c r="S1" s="56" t="s">
        <v>74</v>
      </c>
      <c r="T1" s="57" t="s">
        <v>75</v>
      </c>
      <c r="U1" s="57" t="s">
        <v>76</v>
      </c>
      <c r="V1" s="57" t="s">
        <v>77</v>
      </c>
      <c r="W1" s="56" t="s">
        <v>78</v>
      </c>
      <c r="X1" s="56" t="s">
        <v>79</v>
      </c>
    </row>
    <row r="2" spans="1:24" s="66" customFormat="1" ht="15" customHeight="1" thickBot="1" x14ac:dyDescent="0.3">
      <c r="A2" s="19" t="s">
        <v>13394</v>
      </c>
      <c r="B2" s="59">
        <v>1</v>
      </c>
      <c r="C2" s="19" t="s">
        <v>33</v>
      </c>
      <c r="D2" s="19" t="s">
        <v>80</v>
      </c>
      <c r="E2" s="19" t="s">
        <v>60</v>
      </c>
      <c r="F2" s="60" t="s">
        <v>61</v>
      </c>
      <c r="G2" s="19" t="b">
        <v>0</v>
      </c>
      <c r="H2" s="19" t="s">
        <v>63</v>
      </c>
      <c r="I2" s="19"/>
      <c r="J2" s="19"/>
      <c r="K2" s="19"/>
      <c r="L2" s="19"/>
      <c r="M2" s="61"/>
      <c r="N2" s="19"/>
      <c r="O2" s="19"/>
      <c r="P2" s="19"/>
      <c r="Q2" s="62"/>
      <c r="R2" s="62"/>
      <c r="S2" s="63"/>
      <c r="T2" s="64"/>
      <c r="U2" s="64"/>
      <c r="V2" s="64"/>
      <c r="W2" s="63"/>
      <c r="X2" s="65"/>
    </row>
    <row r="3" spans="1:24" ht="15" customHeight="1" x14ac:dyDescent="0.25">
      <c r="A3" s="67" t="s">
        <v>13394</v>
      </c>
      <c r="B3" s="68" t="s">
        <v>81</v>
      </c>
      <c r="C3" s="67" t="s">
        <v>33</v>
      </c>
      <c r="D3" s="69" t="s">
        <v>81</v>
      </c>
      <c r="E3" s="67" t="s">
        <v>82</v>
      </c>
      <c r="F3" s="67" t="s">
        <v>83</v>
      </c>
      <c r="G3" s="51"/>
      <c r="H3" s="67" t="s">
        <v>84</v>
      </c>
      <c r="I3" s="67"/>
      <c r="J3" s="67"/>
      <c r="K3" s="67" t="s">
        <v>85</v>
      </c>
      <c r="L3" s="130">
        <v>4</v>
      </c>
      <c r="M3" s="70">
        <v>9999</v>
      </c>
      <c r="N3" s="250" t="s">
        <v>86</v>
      </c>
      <c r="O3" s="67"/>
      <c r="P3" s="67"/>
      <c r="Q3" s="131" t="s">
        <v>72</v>
      </c>
      <c r="R3" s="131"/>
      <c r="S3" s="132" t="s">
        <v>87</v>
      </c>
      <c r="T3" s="133" t="s">
        <v>88</v>
      </c>
      <c r="U3" s="133" t="s">
        <v>88</v>
      </c>
      <c r="V3" s="134" t="s">
        <v>89</v>
      </c>
      <c r="W3" s="135"/>
      <c r="X3" s="136"/>
    </row>
    <row r="4" spans="1:24" ht="15" customHeight="1" x14ac:dyDescent="0.25">
      <c r="A4" s="67" t="s">
        <v>13394</v>
      </c>
      <c r="B4" s="68" t="s">
        <v>81</v>
      </c>
      <c r="C4" s="67" t="s">
        <v>33</v>
      </c>
      <c r="D4" s="69" t="s">
        <v>90</v>
      </c>
      <c r="E4" s="67" t="s">
        <v>91</v>
      </c>
      <c r="F4" s="67" t="s">
        <v>92</v>
      </c>
      <c r="G4" s="51"/>
      <c r="H4" s="67" t="s">
        <v>93</v>
      </c>
      <c r="I4" s="67"/>
      <c r="J4" s="67"/>
      <c r="K4" s="67" t="s">
        <v>85</v>
      </c>
      <c r="L4" s="130">
        <v>6</v>
      </c>
      <c r="M4" s="70">
        <v>999999</v>
      </c>
      <c r="N4" s="137" t="s">
        <v>91</v>
      </c>
      <c r="O4" s="67"/>
      <c r="P4" s="67"/>
      <c r="Q4" s="131" t="s">
        <v>72</v>
      </c>
      <c r="R4" s="131"/>
      <c r="S4" s="132" t="s">
        <v>94</v>
      </c>
      <c r="T4" s="133" t="s">
        <v>88</v>
      </c>
      <c r="U4" s="133" t="s">
        <v>88</v>
      </c>
      <c r="V4" s="134" t="s">
        <v>89</v>
      </c>
      <c r="W4" s="135"/>
      <c r="X4" s="136"/>
    </row>
    <row r="5" spans="1:24" ht="15" customHeight="1" x14ac:dyDescent="0.25">
      <c r="A5" s="67" t="s">
        <v>13394</v>
      </c>
      <c r="B5" s="68" t="s">
        <v>81</v>
      </c>
      <c r="C5" s="67" t="s">
        <v>33</v>
      </c>
      <c r="D5" s="69" t="s">
        <v>95</v>
      </c>
      <c r="E5" s="67" t="s">
        <v>96</v>
      </c>
      <c r="F5" s="67" t="s">
        <v>97</v>
      </c>
      <c r="G5" s="51"/>
      <c r="H5" s="67" t="s">
        <v>98</v>
      </c>
      <c r="I5" s="67"/>
      <c r="J5" s="67"/>
      <c r="K5" s="67" t="s">
        <v>85</v>
      </c>
      <c r="L5" s="130">
        <v>1</v>
      </c>
      <c r="M5" s="70" t="s">
        <v>99</v>
      </c>
      <c r="N5" s="137" t="s">
        <v>96</v>
      </c>
      <c r="O5" s="67"/>
      <c r="P5" s="67"/>
      <c r="Q5" s="131" t="s">
        <v>72</v>
      </c>
      <c r="R5" s="131"/>
      <c r="S5" s="132" t="s">
        <v>100</v>
      </c>
      <c r="T5" s="133" t="s">
        <v>88</v>
      </c>
      <c r="U5" s="133" t="s">
        <v>88</v>
      </c>
      <c r="V5" s="134" t="s">
        <v>89</v>
      </c>
      <c r="W5" s="135"/>
      <c r="X5" s="136"/>
    </row>
    <row r="6" spans="1:24" ht="15" customHeight="1" x14ac:dyDescent="0.25">
      <c r="A6" s="67" t="s">
        <v>13394</v>
      </c>
      <c r="B6" s="68" t="s">
        <v>81</v>
      </c>
      <c r="C6" s="67" t="s">
        <v>33</v>
      </c>
      <c r="D6" s="69" t="s">
        <v>101</v>
      </c>
      <c r="E6" s="67" t="s">
        <v>102</v>
      </c>
      <c r="F6" s="67" t="s">
        <v>103</v>
      </c>
      <c r="G6" s="51"/>
      <c r="H6" s="67" t="s">
        <v>104</v>
      </c>
      <c r="I6" s="67"/>
      <c r="J6" s="67"/>
      <c r="K6" s="67" t="s">
        <v>85</v>
      </c>
      <c r="L6" s="130">
        <v>2</v>
      </c>
      <c r="M6" s="70" t="s">
        <v>105</v>
      </c>
      <c r="N6" s="137" t="s">
        <v>102</v>
      </c>
      <c r="O6" s="67"/>
      <c r="P6" s="67"/>
      <c r="Q6" s="131" t="s">
        <v>72</v>
      </c>
      <c r="R6" s="131"/>
      <c r="S6" s="132" t="s">
        <v>106</v>
      </c>
      <c r="T6" s="133" t="s">
        <v>88</v>
      </c>
      <c r="U6" s="133" t="s">
        <v>88</v>
      </c>
      <c r="V6" s="134" t="s">
        <v>89</v>
      </c>
      <c r="W6" s="135"/>
      <c r="X6" s="136"/>
    </row>
    <row r="7" spans="1:24" ht="15" customHeight="1" x14ac:dyDescent="0.25">
      <c r="A7" s="67" t="s">
        <v>13394</v>
      </c>
      <c r="B7" s="68" t="s">
        <v>81</v>
      </c>
      <c r="C7" s="67" t="s">
        <v>33</v>
      </c>
      <c r="D7" s="69" t="s">
        <v>107</v>
      </c>
      <c r="E7" s="67" t="s">
        <v>108</v>
      </c>
      <c r="F7" s="67" t="s">
        <v>109</v>
      </c>
      <c r="G7" s="51"/>
      <c r="H7" s="67" t="s">
        <v>110</v>
      </c>
      <c r="I7" s="67"/>
      <c r="J7" s="67"/>
      <c r="K7" s="67" t="s">
        <v>111</v>
      </c>
      <c r="L7" s="130">
        <v>4</v>
      </c>
      <c r="M7" s="70" t="s">
        <v>112</v>
      </c>
      <c r="N7" s="137"/>
      <c r="O7" s="67">
        <v>0</v>
      </c>
      <c r="P7" s="67">
        <v>2000</v>
      </c>
      <c r="Q7" s="131" t="s">
        <v>72</v>
      </c>
      <c r="R7" s="131"/>
      <c r="S7" s="132" t="s">
        <v>113</v>
      </c>
      <c r="T7" s="133" t="s">
        <v>114</v>
      </c>
      <c r="U7" s="133" t="s">
        <v>88</v>
      </c>
      <c r="V7" s="134" t="s">
        <v>89</v>
      </c>
      <c r="W7" s="135"/>
      <c r="X7" s="136" t="s">
        <v>115</v>
      </c>
    </row>
    <row r="8" spans="1:24" ht="15" customHeight="1" x14ac:dyDescent="0.25">
      <c r="A8" s="67" t="s">
        <v>13394</v>
      </c>
      <c r="B8" s="68" t="s">
        <v>81</v>
      </c>
      <c r="C8" s="67" t="s">
        <v>33</v>
      </c>
      <c r="D8" s="69" t="s">
        <v>116</v>
      </c>
      <c r="E8" s="67" t="s">
        <v>117</v>
      </c>
      <c r="F8" s="67" t="s">
        <v>118</v>
      </c>
      <c r="G8" s="51"/>
      <c r="H8" s="67" t="s">
        <v>119</v>
      </c>
      <c r="I8" s="67"/>
      <c r="J8" s="67"/>
      <c r="K8" s="67" t="s">
        <v>85</v>
      </c>
      <c r="L8" s="130">
        <v>2</v>
      </c>
      <c r="M8" s="70" t="s">
        <v>105</v>
      </c>
      <c r="N8" s="137" t="s">
        <v>117</v>
      </c>
      <c r="O8" s="67"/>
      <c r="P8" s="67"/>
      <c r="Q8" s="131" t="s">
        <v>72</v>
      </c>
      <c r="R8" s="131"/>
      <c r="S8" s="132" t="s">
        <v>120</v>
      </c>
      <c r="T8" s="133" t="s">
        <v>88</v>
      </c>
      <c r="U8" s="133" t="s">
        <v>88</v>
      </c>
      <c r="V8" s="134" t="s">
        <v>89</v>
      </c>
      <c r="W8" s="135"/>
      <c r="X8" s="136"/>
    </row>
    <row r="9" spans="1:24" ht="15" customHeight="1" x14ac:dyDescent="0.25">
      <c r="A9" s="67" t="s">
        <v>13394</v>
      </c>
      <c r="B9" s="68" t="s">
        <v>81</v>
      </c>
      <c r="C9" s="67" t="s">
        <v>33</v>
      </c>
      <c r="D9" s="69" t="s">
        <v>121</v>
      </c>
      <c r="E9" s="67" t="s">
        <v>122</v>
      </c>
      <c r="F9" s="67" t="s">
        <v>123</v>
      </c>
      <c r="G9" s="51"/>
      <c r="H9" s="67" t="s">
        <v>124</v>
      </c>
      <c r="I9" s="67"/>
      <c r="J9" s="67"/>
      <c r="K9" s="67" t="s">
        <v>125</v>
      </c>
      <c r="L9" s="130">
        <v>15</v>
      </c>
      <c r="M9" s="70"/>
      <c r="N9" s="137"/>
      <c r="O9" s="67"/>
      <c r="P9" s="67"/>
      <c r="Q9" s="131" t="s">
        <v>72</v>
      </c>
      <c r="R9" s="131"/>
      <c r="S9" s="132" t="s">
        <v>126</v>
      </c>
      <c r="T9" s="133" t="s">
        <v>88</v>
      </c>
      <c r="U9" s="133" t="s">
        <v>88</v>
      </c>
      <c r="V9" s="134" t="s">
        <v>89</v>
      </c>
      <c r="W9" s="135"/>
      <c r="X9" s="136"/>
    </row>
    <row r="10" spans="1:24" ht="15" customHeight="1" x14ac:dyDescent="0.25">
      <c r="A10" s="67" t="s">
        <v>13394</v>
      </c>
      <c r="B10" s="68" t="s">
        <v>81</v>
      </c>
      <c r="C10" s="67" t="s">
        <v>33</v>
      </c>
      <c r="D10" s="69" t="s">
        <v>127</v>
      </c>
      <c r="E10" s="67" t="s">
        <v>128</v>
      </c>
      <c r="F10" s="67" t="s">
        <v>129</v>
      </c>
      <c r="G10" s="51"/>
      <c r="H10" s="67" t="s">
        <v>130</v>
      </c>
      <c r="I10" s="67"/>
      <c r="J10" s="67"/>
      <c r="K10" s="67" t="s">
        <v>125</v>
      </c>
      <c r="L10" s="130">
        <v>25</v>
      </c>
      <c r="M10" s="70"/>
      <c r="N10" s="137"/>
      <c r="O10" s="67"/>
      <c r="P10" s="67"/>
      <c r="Q10" s="131" t="s">
        <v>72</v>
      </c>
      <c r="R10" s="131"/>
      <c r="S10" s="132" t="s">
        <v>131</v>
      </c>
      <c r="T10" s="133" t="s">
        <v>88</v>
      </c>
      <c r="U10" s="133" t="s">
        <v>88</v>
      </c>
      <c r="V10" s="134" t="s">
        <v>89</v>
      </c>
      <c r="W10" s="135"/>
      <c r="X10" s="136"/>
    </row>
    <row r="11" spans="1:24" ht="15" customHeight="1" x14ac:dyDescent="0.25">
      <c r="A11" s="67" t="s">
        <v>13394</v>
      </c>
      <c r="B11" s="68" t="s">
        <v>81</v>
      </c>
      <c r="C11" s="67" t="s">
        <v>33</v>
      </c>
      <c r="D11" s="69" t="s">
        <v>132</v>
      </c>
      <c r="E11" s="67" t="s">
        <v>133</v>
      </c>
      <c r="F11" s="67" t="s">
        <v>134</v>
      </c>
      <c r="G11" s="51"/>
      <c r="H11" s="67" t="s">
        <v>135</v>
      </c>
      <c r="I11" s="67"/>
      <c r="J11" s="67"/>
      <c r="K11" s="67" t="s">
        <v>125</v>
      </c>
      <c r="L11" s="130">
        <v>50</v>
      </c>
      <c r="M11" s="70"/>
      <c r="N11" s="137"/>
      <c r="O11" s="67"/>
      <c r="P11" s="67"/>
      <c r="Q11" s="131" t="s">
        <v>72</v>
      </c>
      <c r="R11" s="131"/>
      <c r="S11" s="132" t="s">
        <v>126</v>
      </c>
      <c r="T11" s="133" t="s">
        <v>88</v>
      </c>
      <c r="U11" s="133" t="s">
        <v>88</v>
      </c>
      <c r="V11" s="134" t="s">
        <v>89</v>
      </c>
      <c r="W11" s="135"/>
      <c r="X11" s="136"/>
    </row>
    <row r="12" spans="1:24" ht="15" customHeight="1" x14ac:dyDescent="0.25">
      <c r="A12" s="67" t="s">
        <v>13394</v>
      </c>
      <c r="B12" s="68" t="s">
        <v>81</v>
      </c>
      <c r="C12" s="67" t="s">
        <v>33</v>
      </c>
      <c r="D12" s="69" t="s">
        <v>136</v>
      </c>
      <c r="E12" s="67" t="s">
        <v>137</v>
      </c>
      <c r="F12" s="67" t="s">
        <v>138</v>
      </c>
      <c r="G12" s="51"/>
      <c r="H12" s="67" t="s">
        <v>139</v>
      </c>
      <c r="I12" s="67"/>
      <c r="J12" s="67"/>
      <c r="K12" s="67" t="s">
        <v>140</v>
      </c>
      <c r="L12" s="130"/>
      <c r="M12" s="70" t="s">
        <v>141</v>
      </c>
      <c r="N12" s="137"/>
      <c r="O12" s="67"/>
      <c r="P12" s="67"/>
      <c r="Q12" s="131" t="s">
        <v>72</v>
      </c>
      <c r="R12" s="131"/>
      <c r="S12" s="132" t="s">
        <v>126</v>
      </c>
      <c r="T12" s="133" t="s">
        <v>88</v>
      </c>
      <c r="U12" s="133" t="s">
        <v>88</v>
      </c>
      <c r="V12" s="134" t="s">
        <v>89</v>
      </c>
      <c r="W12" s="135"/>
      <c r="X12" s="136"/>
    </row>
    <row r="13" spans="1:24" ht="15" customHeight="1" x14ac:dyDescent="0.25">
      <c r="A13" s="67" t="s">
        <v>13394</v>
      </c>
      <c r="B13" s="68" t="s">
        <v>81</v>
      </c>
      <c r="C13" s="67" t="s">
        <v>33</v>
      </c>
      <c r="D13" s="69" t="s">
        <v>142</v>
      </c>
      <c r="E13" s="67" t="s">
        <v>143</v>
      </c>
      <c r="F13" s="67" t="s">
        <v>144</v>
      </c>
      <c r="G13" s="51"/>
      <c r="H13" s="67" t="s">
        <v>145</v>
      </c>
      <c r="I13" s="67"/>
      <c r="J13" s="67"/>
      <c r="K13" s="67" t="s">
        <v>140</v>
      </c>
      <c r="L13" s="130"/>
      <c r="M13" s="70" t="s">
        <v>141</v>
      </c>
      <c r="N13" s="137"/>
      <c r="O13" s="67"/>
      <c r="P13" s="67"/>
      <c r="Q13" s="131" t="s">
        <v>72</v>
      </c>
      <c r="R13" s="131"/>
      <c r="S13" s="132" t="s">
        <v>126</v>
      </c>
      <c r="T13" s="133" t="s">
        <v>88</v>
      </c>
      <c r="U13" s="133" t="s">
        <v>88</v>
      </c>
      <c r="V13" s="134" t="s">
        <v>89</v>
      </c>
      <c r="W13" s="135"/>
      <c r="X13" s="136"/>
    </row>
    <row r="14" spans="1:24" ht="15" customHeight="1" x14ac:dyDescent="0.25">
      <c r="A14" s="67" t="s">
        <v>13394</v>
      </c>
      <c r="B14" s="68" t="s">
        <v>81</v>
      </c>
      <c r="C14" s="67" t="s">
        <v>33</v>
      </c>
      <c r="D14" s="69" t="s">
        <v>146</v>
      </c>
      <c r="E14" s="67" t="s">
        <v>147</v>
      </c>
      <c r="F14" s="67" t="s">
        <v>148</v>
      </c>
      <c r="G14" s="51"/>
      <c r="H14" s="67" t="s">
        <v>149</v>
      </c>
      <c r="I14" s="67"/>
      <c r="J14" s="67"/>
      <c r="K14" s="67" t="s">
        <v>85</v>
      </c>
      <c r="L14" s="130">
        <v>4</v>
      </c>
      <c r="M14" s="70">
        <v>9999</v>
      </c>
      <c r="N14" s="137" t="s">
        <v>86</v>
      </c>
      <c r="O14" s="67"/>
      <c r="P14" s="67"/>
      <c r="Q14" s="131" t="s">
        <v>150</v>
      </c>
      <c r="R14" s="131"/>
      <c r="S14" s="132" t="s">
        <v>151</v>
      </c>
      <c r="T14" s="133" t="s">
        <v>88</v>
      </c>
      <c r="U14" s="133" t="s">
        <v>88</v>
      </c>
      <c r="V14" s="134" t="s">
        <v>89</v>
      </c>
      <c r="W14" s="135"/>
      <c r="X14" s="136"/>
    </row>
    <row r="15" spans="1:24" ht="15" customHeight="1" x14ac:dyDescent="0.25">
      <c r="A15" s="67" t="s">
        <v>13394</v>
      </c>
      <c r="B15" s="68" t="s">
        <v>81</v>
      </c>
      <c r="C15" s="67" t="s">
        <v>33</v>
      </c>
      <c r="D15" s="69" t="s">
        <v>152</v>
      </c>
      <c r="E15" s="67" t="s">
        <v>153</v>
      </c>
      <c r="F15" s="67" t="s">
        <v>154</v>
      </c>
      <c r="G15" s="51"/>
      <c r="H15" s="67" t="s">
        <v>155</v>
      </c>
      <c r="I15" s="67"/>
      <c r="J15" s="67"/>
      <c r="K15" s="67" t="s">
        <v>125</v>
      </c>
      <c r="L15" s="130">
        <v>50</v>
      </c>
      <c r="M15" s="70"/>
      <c r="N15" s="137"/>
      <c r="O15" s="67"/>
      <c r="P15" s="67"/>
      <c r="Q15" s="131" t="s">
        <v>150</v>
      </c>
      <c r="R15" s="131"/>
      <c r="S15" s="132" t="s">
        <v>126</v>
      </c>
      <c r="T15" s="133" t="s">
        <v>88</v>
      </c>
      <c r="U15" s="133" t="s">
        <v>88</v>
      </c>
      <c r="V15" s="134" t="s">
        <v>89</v>
      </c>
      <c r="W15" s="135"/>
      <c r="X15" s="136"/>
    </row>
    <row r="16" spans="1:24" ht="15" customHeight="1" x14ac:dyDescent="0.25">
      <c r="A16" s="67" t="s">
        <v>13394</v>
      </c>
      <c r="B16" s="68" t="s">
        <v>81</v>
      </c>
      <c r="C16" s="67" t="s">
        <v>33</v>
      </c>
      <c r="D16" s="69" t="s">
        <v>156</v>
      </c>
      <c r="E16" s="67" t="s">
        <v>157</v>
      </c>
      <c r="F16" s="67" t="s">
        <v>158</v>
      </c>
      <c r="G16" s="51"/>
      <c r="H16" s="67" t="s">
        <v>159</v>
      </c>
      <c r="I16" s="67"/>
      <c r="J16" s="67"/>
      <c r="K16" s="67" t="s">
        <v>160</v>
      </c>
      <c r="L16" s="130">
        <v>9</v>
      </c>
      <c r="M16" s="70">
        <v>999999999</v>
      </c>
      <c r="N16" s="137"/>
      <c r="O16" s="67"/>
      <c r="P16" s="67"/>
      <c r="Q16" s="131" t="s">
        <v>150</v>
      </c>
      <c r="R16" s="131"/>
      <c r="S16" s="132" t="s">
        <v>151</v>
      </c>
      <c r="T16" s="133" t="s">
        <v>88</v>
      </c>
      <c r="U16" s="133" t="s">
        <v>88</v>
      </c>
      <c r="V16" s="134" t="s">
        <v>89</v>
      </c>
      <c r="W16" s="135"/>
      <c r="X16" s="136"/>
    </row>
    <row r="17" spans="1:24" ht="15" customHeight="1" thickBot="1" x14ac:dyDescent="0.3">
      <c r="A17" s="67" t="s">
        <v>13394</v>
      </c>
      <c r="B17" s="68" t="s">
        <v>81</v>
      </c>
      <c r="C17" s="67" t="s">
        <v>33</v>
      </c>
      <c r="D17" s="69" t="s">
        <v>161</v>
      </c>
      <c r="E17" s="67" t="s">
        <v>162</v>
      </c>
      <c r="F17" s="67" t="s">
        <v>163</v>
      </c>
      <c r="G17" s="51"/>
      <c r="H17" s="67" t="s">
        <v>164</v>
      </c>
      <c r="I17" s="67"/>
      <c r="J17" s="67"/>
      <c r="K17" s="67" t="s">
        <v>125</v>
      </c>
      <c r="L17" s="130">
        <v>50</v>
      </c>
      <c r="M17" s="70"/>
      <c r="O17" s="67"/>
      <c r="P17" s="67"/>
      <c r="Q17" s="131" t="s">
        <v>150</v>
      </c>
      <c r="R17" s="131"/>
      <c r="S17" s="132" t="s">
        <v>126</v>
      </c>
      <c r="T17" s="133" t="s">
        <v>114</v>
      </c>
      <c r="U17" s="133" t="s">
        <v>88</v>
      </c>
      <c r="V17" s="134" t="s">
        <v>89</v>
      </c>
      <c r="W17" s="135"/>
      <c r="X17" s="136"/>
    </row>
    <row r="18" spans="1:24" s="66" customFormat="1" ht="15" customHeight="1" thickBot="1" x14ac:dyDescent="0.3">
      <c r="A18" s="19" t="s">
        <v>13394</v>
      </c>
      <c r="B18" s="59">
        <v>2</v>
      </c>
      <c r="C18" s="19" t="s">
        <v>34</v>
      </c>
      <c r="D18" s="77" t="s">
        <v>80</v>
      </c>
      <c r="E18" s="19" t="s">
        <v>60</v>
      </c>
      <c r="F18" s="60" t="s">
        <v>61</v>
      </c>
      <c r="G18" s="19" t="b">
        <v>0</v>
      </c>
      <c r="H18" s="19" t="s">
        <v>63</v>
      </c>
      <c r="I18" s="19"/>
      <c r="J18" s="19"/>
      <c r="K18" s="19"/>
      <c r="L18" s="19"/>
      <c r="M18" s="61"/>
      <c r="N18" s="19"/>
      <c r="O18" s="19"/>
      <c r="P18" s="19"/>
      <c r="Q18" s="19"/>
      <c r="R18" s="62"/>
      <c r="S18" s="63"/>
      <c r="T18" s="64"/>
      <c r="U18" s="64"/>
      <c r="V18" s="64"/>
      <c r="W18" s="63"/>
      <c r="X18" s="65"/>
    </row>
    <row r="19" spans="1:24" ht="15" customHeight="1" thickBot="1" x14ac:dyDescent="0.3">
      <c r="A19" s="67" t="s">
        <v>13394</v>
      </c>
      <c r="B19" s="68" t="s">
        <v>90</v>
      </c>
      <c r="C19" s="67" t="s">
        <v>34</v>
      </c>
      <c r="D19" s="69" t="s">
        <v>81</v>
      </c>
      <c r="E19" s="67" t="s">
        <v>165</v>
      </c>
      <c r="F19" s="67" t="s">
        <v>166</v>
      </c>
      <c r="G19" s="70"/>
      <c r="H19" s="67" t="s">
        <v>167</v>
      </c>
      <c r="I19" s="67"/>
      <c r="J19" s="67"/>
      <c r="K19" s="67" t="s">
        <v>160</v>
      </c>
      <c r="L19" s="130">
        <v>9</v>
      </c>
      <c r="M19" s="70">
        <v>999999999</v>
      </c>
      <c r="N19" s="137"/>
      <c r="O19" s="67"/>
      <c r="P19" s="67"/>
      <c r="Q19" s="131" t="s">
        <v>72</v>
      </c>
      <c r="R19" s="131"/>
      <c r="S19" s="71" t="s">
        <v>168</v>
      </c>
      <c r="T19" s="72" t="s">
        <v>88</v>
      </c>
      <c r="U19" s="72" t="s">
        <v>88</v>
      </c>
      <c r="V19" s="73" t="s">
        <v>89</v>
      </c>
      <c r="W19" s="74"/>
      <c r="X19" s="75" t="s">
        <v>169</v>
      </c>
    </row>
    <row r="20" spans="1:24" ht="15" customHeight="1" thickBot="1" x14ac:dyDescent="0.3">
      <c r="A20" s="67" t="s">
        <v>13394</v>
      </c>
      <c r="B20" s="68" t="s">
        <v>90</v>
      </c>
      <c r="C20" s="67" t="s">
        <v>34</v>
      </c>
      <c r="D20" s="69" t="s">
        <v>90</v>
      </c>
      <c r="E20" s="67" t="s">
        <v>170</v>
      </c>
      <c r="F20" s="67" t="s">
        <v>171</v>
      </c>
      <c r="G20" s="70"/>
      <c r="H20" s="67" t="s">
        <v>172</v>
      </c>
      <c r="I20" s="67"/>
      <c r="J20" s="67"/>
      <c r="K20" s="67" t="s">
        <v>125</v>
      </c>
      <c r="L20" s="130">
        <v>35</v>
      </c>
      <c r="M20" s="70"/>
      <c r="N20" s="137"/>
      <c r="O20" s="67"/>
      <c r="P20" s="67"/>
      <c r="Q20" s="131" t="s">
        <v>72</v>
      </c>
      <c r="R20" s="131"/>
      <c r="S20" s="71" t="s">
        <v>126</v>
      </c>
      <c r="T20" s="72" t="s">
        <v>88</v>
      </c>
      <c r="U20" s="72" t="s">
        <v>88</v>
      </c>
      <c r="V20" s="73" t="s">
        <v>89</v>
      </c>
      <c r="W20" s="74"/>
      <c r="X20" s="75" t="s">
        <v>173</v>
      </c>
    </row>
    <row r="21" spans="1:24" ht="15" customHeight="1" thickBot="1" x14ac:dyDescent="0.3">
      <c r="A21" s="67" t="s">
        <v>13394</v>
      </c>
      <c r="B21" s="68" t="s">
        <v>90</v>
      </c>
      <c r="C21" s="67" t="s">
        <v>34</v>
      </c>
      <c r="D21" s="69" t="s">
        <v>95</v>
      </c>
      <c r="E21" s="67" t="s">
        <v>174</v>
      </c>
      <c r="F21" s="67" t="s">
        <v>175</v>
      </c>
      <c r="G21" s="70"/>
      <c r="H21" s="67" t="s">
        <v>176</v>
      </c>
      <c r="I21" s="67"/>
      <c r="J21" s="67"/>
      <c r="K21" s="67" t="s">
        <v>125</v>
      </c>
      <c r="L21" s="130">
        <v>35</v>
      </c>
      <c r="M21" s="70"/>
      <c r="N21" s="137"/>
      <c r="O21" s="67"/>
      <c r="P21" s="67"/>
      <c r="Q21" s="131" t="s">
        <v>72</v>
      </c>
      <c r="R21" s="131"/>
      <c r="S21" s="71" t="s">
        <v>126</v>
      </c>
      <c r="T21" s="72" t="s">
        <v>88</v>
      </c>
      <c r="U21" s="72" t="s">
        <v>88</v>
      </c>
      <c r="V21" s="73" t="s">
        <v>89</v>
      </c>
      <c r="W21" s="74"/>
      <c r="X21" s="75" t="s">
        <v>173</v>
      </c>
    </row>
    <row r="22" spans="1:24" ht="15" customHeight="1" thickBot="1" x14ac:dyDescent="0.3">
      <c r="A22" s="67" t="s">
        <v>13394</v>
      </c>
      <c r="B22" s="68" t="s">
        <v>90</v>
      </c>
      <c r="C22" s="67" t="s">
        <v>34</v>
      </c>
      <c r="D22" s="69" t="s">
        <v>101</v>
      </c>
      <c r="E22" s="67" t="s">
        <v>177</v>
      </c>
      <c r="F22" s="67" t="s">
        <v>178</v>
      </c>
      <c r="G22" s="70"/>
      <c r="H22" s="67" t="s">
        <v>179</v>
      </c>
      <c r="I22" s="67"/>
      <c r="J22" s="67"/>
      <c r="K22" s="67" t="s">
        <v>125</v>
      </c>
      <c r="L22" s="130">
        <v>40</v>
      </c>
      <c r="M22" s="70"/>
      <c r="N22" s="137"/>
      <c r="O22" s="67"/>
      <c r="P22" s="67"/>
      <c r="Q22" s="131" t="s">
        <v>180</v>
      </c>
      <c r="R22" s="131"/>
      <c r="S22" s="71" t="s">
        <v>126</v>
      </c>
      <c r="T22" s="72" t="s">
        <v>88</v>
      </c>
      <c r="U22" s="72" t="s">
        <v>88</v>
      </c>
      <c r="V22" s="73" t="s">
        <v>89</v>
      </c>
      <c r="W22" s="74"/>
      <c r="X22" s="75" t="s">
        <v>173</v>
      </c>
    </row>
    <row r="23" spans="1:24" ht="15" customHeight="1" thickBot="1" x14ac:dyDescent="0.3">
      <c r="A23" s="67" t="s">
        <v>13394</v>
      </c>
      <c r="B23" s="68" t="s">
        <v>90</v>
      </c>
      <c r="C23" s="67" t="s">
        <v>34</v>
      </c>
      <c r="D23" s="69" t="s">
        <v>107</v>
      </c>
      <c r="E23" s="67" t="s">
        <v>181</v>
      </c>
      <c r="F23" s="67" t="s">
        <v>182</v>
      </c>
      <c r="G23" s="70"/>
      <c r="H23" s="67" t="s">
        <v>183</v>
      </c>
      <c r="I23" s="67"/>
      <c r="J23" s="67"/>
      <c r="K23" s="67" t="s">
        <v>125</v>
      </c>
      <c r="L23" s="130">
        <v>8</v>
      </c>
      <c r="M23" s="70"/>
      <c r="N23" s="137"/>
      <c r="O23" s="67"/>
      <c r="P23" s="67"/>
      <c r="Q23" s="131" t="s">
        <v>180</v>
      </c>
      <c r="R23" s="131"/>
      <c r="S23" s="71" t="s">
        <v>126</v>
      </c>
      <c r="T23" s="72" t="s">
        <v>88</v>
      </c>
      <c r="U23" s="72" t="s">
        <v>88</v>
      </c>
      <c r="V23" s="73" t="s">
        <v>89</v>
      </c>
      <c r="W23" s="74"/>
      <c r="X23" s="75" t="s">
        <v>173</v>
      </c>
    </row>
    <row r="24" spans="1:24" ht="15" customHeight="1" thickBot="1" x14ac:dyDescent="0.3">
      <c r="A24" s="67" t="s">
        <v>13394</v>
      </c>
      <c r="B24" s="68" t="s">
        <v>90</v>
      </c>
      <c r="C24" s="67" t="s">
        <v>34</v>
      </c>
      <c r="D24" s="69" t="s">
        <v>116</v>
      </c>
      <c r="E24" s="67" t="s">
        <v>184</v>
      </c>
      <c r="F24" s="67" t="s">
        <v>185</v>
      </c>
      <c r="G24" s="70"/>
      <c r="H24" s="67" t="s">
        <v>186</v>
      </c>
      <c r="I24" s="67"/>
      <c r="J24" s="67"/>
      <c r="K24" s="67" t="s">
        <v>140</v>
      </c>
      <c r="L24" s="130">
        <v>10</v>
      </c>
      <c r="M24" s="70" t="s">
        <v>141</v>
      </c>
      <c r="N24" s="137"/>
      <c r="O24" s="67"/>
      <c r="P24" s="67"/>
      <c r="Q24" s="131" t="s">
        <v>72</v>
      </c>
      <c r="R24" s="131"/>
      <c r="S24" s="71" t="s">
        <v>187</v>
      </c>
      <c r="T24" s="72" t="s">
        <v>88</v>
      </c>
      <c r="U24" s="72" t="s">
        <v>88</v>
      </c>
      <c r="V24" s="73" t="s">
        <v>89</v>
      </c>
      <c r="W24" s="74"/>
      <c r="X24" s="75" t="s">
        <v>173</v>
      </c>
    </row>
    <row r="25" spans="1:24" ht="15" customHeight="1" thickBot="1" x14ac:dyDescent="0.3">
      <c r="A25" s="67" t="s">
        <v>13394</v>
      </c>
      <c r="B25" s="68" t="s">
        <v>90</v>
      </c>
      <c r="C25" s="67" t="s">
        <v>34</v>
      </c>
      <c r="D25" s="69" t="s">
        <v>121</v>
      </c>
      <c r="E25" s="67" t="s">
        <v>188</v>
      </c>
      <c r="F25" s="67" t="s">
        <v>189</v>
      </c>
      <c r="G25" s="70"/>
      <c r="H25" s="67" t="s">
        <v>190</v>
      </c>
      <c r="I25" s="67"/>
      <c r="J25" s="67"/>
      <c r="K25" s="67" t="s">
        <v>85</v>
      </c>
      <c r="L25" s="130">
        <v>1</v>
      </c>
      <c r="M25" s="70" t="s">
        <v>99</v>
      </c>
      <c r="N25" s="137" t="s">
        <v>188</v>
      </c>
      <c r="O25" s="67"/>
      <c r="P25" s="67"/>
      <c r="Q25" s="131" t="s">
        <v>72</v>
      </c>
      <c r="R25" s="131"/>
      <c r="S25" s="71" t="s">
        <v>191</v>
      </c>
      <c r="T25" s="72" t="s">
        <v>88</v>
      </c>
      <c r="U25" s="72" t="s">
        <v>88</v>
      </c>
      <c r="V25" s="73" t="s">
        <v>89</v>
      </c>
      <c r="W25" s="74"/>
      <c r="X25" s="75" t="s">
        <v>169</v>
      </c>
    </row>
    <row r="26" spans="1:24" ht="15" customHeight="1" thickBot="1" x14ac:dyDescent="0.3">
      <c r="A26" s="67" t="s">
        <v>13394</v>
      </c>
      <c r="B26" s="68" t="s">
        <v>90</v>
      </c>
      <c r="C26" s="67" t="s">
        <v>34</v>
      </c>
      <c r="D26" s="69" t="s">
        <v>127</v>
      </c>
      <c r="E26" s="67" t="s">
        <v>192</v>
      </c>
      <c r="F26" s="67" t="s">
        <v>193</v>
      </c>
      <c r="G26" s="70"/>
      <c r="H26" s="67" t="s">
        <v>194</v>
      </c>
      <c r="I26" s="67"/>
      <c r="J26" s="67"/>
      <c r="K26" s="67" t="s">
        <v>85</v>
      </c>
      <c r="L26" s="130">
        <v>1</v>
      </c>
      <c r="M26" s="70" t="s">
        <v>99</v>
      </c>
      <c r="N26" s="137" t="s">
        <v>195</v>
      </c>
      <c r="O26" s="67"/>
      <c r="P26" s="67"/>
      <c r="Q26" s="131" t="s">
        <v>150</v>
      </c>
      <c r="R26" s="131"/>
      <c r="S26" s="71" t="s">
        <v>191</v>
      </c>
      <c r="T26" s="72" t="s">
        <v>88</v>
      </c>
      <c r="U26" s="72" t="s">
        <v>88</v>
      </c>
      <c r="V26" s="73" t="s">
        <v>89</v>
      </c>
      <c r="W26" s="74"/>
      <c r="X26" s="75" t="s">
        <v>169</v>
      </c>
    </row>
    <row r="27" spans="1:24" ht="15" customHeight="1" thickBot="1" x14ac:dyDescent="0.3">
      <c r="A27" s="67" t="s">
        <v>13394</v>
      </c>
      <c r="B27" s="68" t="s">
        <v>90</v>
      </c>
      <c r="C27" s="67" t="s">
        <v>34</v>
      </c>
      <c r="D27" s="69" t="s">
        <v>132</v>
      </c>
      <c r="E27" s="67" t="s">
        <v>196</v>
      </c>
      <c r="F27" s="67" t="s">
        <v>197</v>
      </c>
      <c r="G27" s="70"/>
      <c r="H27" s="67" t="s">
        <v>198</v>
      </c>
      <c r="I27" s="67"/>
      <c r="J27" s="67"/>
      <c r="K27" s="67" t="s">
        <v>85</v>
      </c>
      <c r="L27" s="130">
        <v>1</v>
      </c>
      <c r="M27" s="70" t="s">
        <v>99</v>
      </c>
      <c r="N27" s="137" t="s">
        <v>195</v>
      </c>
      <c r="O27" s="67"/>
      <c r="P27" s="67"/>
      <c r="Q27" s="131" t="s">
        <v>150</v>
      </c>
      <c r="R27" s="131"/>
      <c r="S27" s="71" t="s">
        <v>191</v>
      </c>
      <c r="T27" s="72" t="s">
        <v>88</v>
      </c>
      <c r="U27" s="72" t="s">
        <v>88</v>
      </c>
      <c r="V27" s="73" t="s">
        <v>89</v>
      </c>
      <c r="W27" s="74"/>
      <c r="X27" s="75" t="s">
        <v>169</v>
      </c>
    </row>
    <row r="28" spans="1:24" ht="15" customHeight="1" thickBot="1" x14ac:dyDescent="0.3">
      <c r="A28" s="67" t="s">
        <v>13394</v>
      </c>
      <c r="B28" s="68" t="s">
        <v>90</v>
      </c>
      <c r="C28" s="67" t="s">
        <v>34</v>
      </c>
      <c r="D28" s="69" t="s">
        <v>136</v>
      </c>
      <c r="E28" s="67" t="s">
        <v>199</v>
      </c>
      <c r="F28" s="67" t="s">
        <v>200</v>
      </c>
      <c r="G28" s="70"/>
      <c r="H28" s="67" t="s">
        <v>201</v>
      </c>
      <c r="I28" s="67"/>
      <c r="J28" s="67"/>
      <c r="K28" s="67" t="s">
        <v>85</v>
      </c>
      <c r="L28" s="130">
        <v>1</v>
      </c>
      <c r="M28" s="70" t="s">
        <v>99</v>
      </c>
      <c r="N28" s="137" t="s">
        <v>195</v>
      </c>
      <c r="O28" s="67"/>
      <c r="P28" s="67"/>
      <c r="Q28" s="131" t="s">
        <v>150</v>
      </c>
      <c r="R28" s="131"/>
      <c r="S28" s="71" t="s">
        <v>191</v>
      </c>
      <c r="T28" s="72" t="s">
        <v>88</v>
      </c>
      <c r="U28" s="72" t="s">
        <v>88</v>
      </c>
      <c r="V28" s="73" t="s">
        <v>89</v>
      </c>
      <c r="W28" s="74"/>
      <c r="X28" s="75" t="s">
        <v>169</v>
      </c>
    </row>
    <row r="29" spans="1:24" ht="15" customHeight="1" thickBot="1" x14ac:dyDescent="0.3">
      <c r="A29" s="67" t="s">
        <v>13394</v>
      </c>
      <c r="B29" s="68" t="s">
        <v>90</v>
      </c>
      <c r="C29" s="67" t="s">
        <v>34</v>
      </c>
      <c r="D29" s="69" t="s">
        <v>142</v>
      </c>
      <c r="E29" s="67" t="s">
        <v>202</v>
      </c>
      <c r="F29" s="67" t="s">
        <v>203</v>
      </c>
      <c r="G29" s="70"/>
      <c r="H29" s="67" t="s">
        <v>204</v>
      </c>
      <c r="I29" s="67"/>
      <c r="J29" s="67"/>
      <c r="K29" s="67" t="s">
        <v>85</v>
      </c>
      <c r="L29" s="130">
        <v>1</v>
      </c>
      <c r="M29" s="70" t="s">
        <v>99</v>
      </c>
      <c r="N29" s="137" t="s">
        <v>195</v>
      </c>
      <c r="O29" s="67"/>
      <c r="P29" s="67"/>
      <c r="Q29" s="131" t="s">
        <v>150</v>
      </c>
      <c r="R29" s="131"/>
      <c r="S29" s="71" t="s">
        <v>191</v>
      </c>
      <c r="T29" s="72" t="s">
        <v>88</v>
      </c>
      <c r="U29" s="72" t="s">
        <v>88</v>
      </c>
      <c r="V29" s="73" t="s">
        <v>89</v>
      </c>
      <c r="W29" s="74"/>
      <c r="X29" s="75" t="s">
        <v>169</v>
      </c>
    </row>
    <row r="30" spans="1:24" ht="15" customHeight="1" thickBot="1" x14ac:dyDescent="0.3">
      <c r="A30" s="67" t="s">
        <v>13394</v>
      </c>
      <c r="B30" s="68" t="s">
        <v>90</v>
      </c>
      <c r="C30" s="67" t="s">
        <v>34</v>
      </c>
      <c r="D30" s="69" t="s">
        <v>146</v>
      </c>
      <c r="E30" s="67" t="s">
        <v>205</v>
      </c>
      <c r="F30" s="67" t="s">
        <v>206</v>
      </c>
      <c r="G30" s="70"/>
      <c r="H30" s="67" t="s">
        <v>207</v>
      </c>
      <c r="I30" s="67"/>
      <c r="J30" s="67"/>
      <c r="K30" s="67" t="s">
        <v>85</v>
      </c>
      <c r="L30" s="130">
        <v>1</v>
      </c>
      <c r="M30" s="70" t="s">
        <v>99</v>
      </c>
      <c r="N30" s="137" t="s">
        <v>195</v>
      </c>
      <c r="O30" s="67"/>
      <c r="P30" s="67"/>
      <c r="Q30" s="131" t="s">
        <v>150</v>
      </c>
      <c r="R30" s="131"/>
      <c r="S30" s="71" t="s">
        <v>191</v>
      </c>
      <c r="T30" s="72" t="s">
        <v>88</v>
      </c>
      <c r="U30" s="72" t="s">
        <v>88</v>
      </c>
      <c r="V30" s="73" t="s">
        <v>89</v>
      </c>
      <c r="W30" s="74"/>
      <c r="X30" s="75" t="s">
        <v>169</v>
      </c>
    </row>
    <row r="31" spans="1:24" ht="15" customHeight="1" thickBot="1" x14ac:dyDescent="0.3">
      <c r="A31" s="67" t="s">
        <v>13394</v>
      </c>
      <c r="B31" s="68" t="s">
        <v>90</v>
      </c>
      <c r="C31" s="67" t="s">
        <v>34</v>
      </c>
      <c r="D31" s="69" t="s">
        <v>152</v>
      </c>
      <c r="E31" s="67" t="s">
        <v>208</v>
      </c>
      <c r="F31" s="67" t="s">
        <v>209</v>
      </c>
      <c r="G31" s="70"/>
      <c r="H31" s="67" t="s">
        <v>210</v>
      </c>
      <c r="I31" s="67"/>
      <c r="J31" s="67"/>
      <c r="K31" s="67" t="s">
        <v>85</v>
      </c>
      <c r="L31" s="130">
        <v>1</v>
      </c>
      <c r="M31" s="70" t="s">
        <v>99</v>
      </c>
      <c r="N31" s="137" t="s">
        <v>195</v>
      </c>
      <c r="O31" s="67"/>
      <c r="P31" s="67"/>
      <c r="Q31" s="131" t="s">
        <v>150</v>
      </c>
      <c r="R31" s="131"/>
      <c r="S31" s="71" t="s">
        <v>191</v>
      </c>
      <c r="T31" s="72" t="s">
        <v>88</v>
      </c>
      <c r="U31" s="72" t="s">
        <v>88</v>
      </c>
      <c r="V31" s="73" t="s">
        <v>89</v>
      </c>
      <c r="W31" s="74"/>
      <c r="X31" s="75" t="s">
        <v>169</v>
      </c>
    </row>
    <row r="32" spans="1:24" ht="15" customHeight="1" thickBot="1" x14ac:dyDescent="0.3">
      <c r="A32" s="67" t="s">
        <v>13394</v>
      </c>
      <c r="B32" s="130">
        <v>2</v>
      </c>
      <c r="C32" s="67" t="s">
        <v>34</v>
      </c>
      <c r="D32" s="67" t="s">
        <v>156</v>
      </c>
      <c r="E32" s="67" t="s">
        <v>211</v>
      </c>
      <c r="F32" s="67" t="s">
        <v>212</v>
      </c>
      <c r="G32" s="67"/>
      <c r="H32" s="67" t="s">
        <v>213</v>
      </c>
      <c r="I32" s="67"/>
      <c r="J32" s="67"/>
      <c r="K32" s="67" t="s">
        <v>85</v>
      </c>
      <c r="L32" s="130">
        <v>1</v>
      </c>
      <c r="M32" s="67" t="s">
        <v>99</v>
      </c>
      <c r="N32" s="67" t="s">
        <v>195</v>
      </c>
      <c r="O32" s="67"/>
      <c r="P32" s="67"/>
      <c r="Q32" s="215" t="s">
        <v>72</v>
      </c>
      <c r="R32" s="131"/>
      <c r="S32" s="71" t="s">
        <v>214</v>
      </c>
      <c r="T32" s="72" t="s">
        <v>88</v>
      </c>
      <c r="U32" s="72" t="s">
        <v>88</v>
      </c>
      <c r="V32" s="73"/>
      <c r="W32" s="74"/>
      <c r="X32" s="75"/>
    </row>
    <row r="33" spans="1:24" ht="15" customHeight="1" thickBot="1" x14ac:dyDescent="0.3">
      <c r="A33" s="67" t="s">
        <v>13394</v>
      </c>
      <c r="B33" s="68" t="s">
        <v>90</v>
      </c>
      <c r="C33" s="67" t="s">
        <v>34</v>
      </c>
      <c r="D33" s="69" t="s">
        <v>161</v>
      </c>
      <c r="E33" s="67" t="s">
        <v>215</v>
      </c>
      <c r="F33" s="67" t="s">
        <v>216</v>
      </c>
      <c r="G33" s="70"/>
      <c r="H33" s="67" t="s">
        <v>217</v>
      </c>
      <c r="I33" s="67"/>
      <c r="J33" s="67"/>
      <c r="K33" s="67" t="s">
        <v>85</v>
      </c>
      <c r="L33" s="130">
        <v>4</v>
      </c>
      <c r="M33" s="70">
        <v>9999</v>
      </c>
      <c r="N33" s="137" t="s">
        <v>86</v>
      </c>
      <c r="O33" s="67"/>
      <c r="P33" s="67"/>
      <c r="Q33" s="131" t="s">
        <v>72</v>
      </c>
      <c r="R33" s="131"/>
      <c r="S33" s="71" t="s">
        <v>214</v>
      </c>
      <c r="T33" s="72" t="s">
        <v>88</v>
      </c>
      <c r="U33" s="72" t="s">
        <v>88</v>
      </c>
      <c r="V33" s="73"/>
      <c r="W33" s="74"/>
      <c r="X33" s="75"/>
    </row>
    <row r="34" spans="1:24" s="165" customFormat="1" ht="15" customHeight="1" thickBot="1" x14ac:dyDescent="0.3">
      <c r="A34" s="307" t="s">
        <v>13394</v>
      </c>
      <c r="B34" s="308" t="s">
        <v>90</v>
      </c>
      <c r="C34" s="309" t="s">
        <v>34</v>
      </c>
      <c r="D34" s="310" t="s">
        <v>218</v>
      </c>
      <c r="E34" s="309" t="s">
        <v>13407</v>
      </c>
      <c r="F34" s="309" t="s">
        <v>13404</v>
      </c>
      <c r="G34" s="311"/>
      <c r="H34" s="309" t="s">
        <v>13499</v>
      </c>
      <c r="I34" s="309"/>
      <c r="J34" s="309"/>
      <c r="K34" s="309" t="s">
        <v>85</v>
      </c>
      <c r="L34" s="312"/>
      <c r="M34" s="311"/>
      <c r="N34" s="324" t="s">
        <v>13403</v>
      </c>
      <c r="O34" s="309"/>
      <c r="P34" s="309"/>
      <c r="Q34" s="313" t="s">
        <v>72</v>
      </c>
      <c r="R34" s="226"/>
      <c r="S34" s="227" t="s">
        <v>214</v>
      </c>
      <c r="T34" s="228" t="s">
        <v>88</v>
      </c>
      <c r="U34" s="228" t="s">
        <v>88</v>
      </c>
      <c r="V34" s="229"/>
      <c r="W34" s="230"/>
      <c r="X34" s="231"/>
    </row>
    <row r="35" spans="1:24" ht="15" customHeight="1" thickBot="1" x14ac:dyDescent="0.3">
      <c r="A35" s="67" t="s">
        <v>13394</v>
      </c>
      <c r="B35" s="68" t="s">
        <v>90</v>
      </c>
      <c r="C35" s="67" t="s">
        <v>34</v>
      </c>
      <c r="D35" s="69" t="s">
        <v>224</v>
      </c>
      <c r="E35" s="67" t="s">
        <v>219</v>
      </c>
      <c r="F35" s="67" t="s">
        <v>220</v>
      </c>
      <c r="G35" s="70"/>
      <c r="H35" s="67" t="s">
        <v>221</v>
      </c>
      <c r="I35" s="67"/>
      <c r="J35" s="67"/>
      <c r="K35" s="67" t="s">
        <v>85</v>
      </c>
      <c r="L35" s="130">
        <v>2</v>
      </c>
      <c r="M35" s="70" t="s">
        <v>105</v>
      </c>
      <c r="N35" s="137" t="s">
        <v>222</v>
      </c>
      <c r="O35" s="67"/>
      <c r="P35" s="67"/>
      <c r="Q35" s="131" t="s">
        <v>150</v>
      </c>
      <c r="R35" s="131"/>
      <c r="S35" s="71" t="s">
        <v>223</v>
      </c>
      <c r="T35" s="72" t="s">
        <v>114</v>
      </c>
      <c r="U35" s="72" t="s">
        <v>88</v>
      </c>
      <c r="V35" s="73"/>
      <c r="W35" s="74"/>
      <c r="X35" s="75"/>
    </row>
    <row r="36" spans="1:24" ht="15" customHeight="1" thickBot="1" x14ac:dyDescent="0.3">
      <c r="A36" s="67" t="s">
        <v>13394</v>
      </c>
      <c r="B36" s="68" t="s">
        <v>90</v>
      </c>
      <c r="C36" s="67" t="s">
        <v>34</v>
      </c>
      <c r="D36" s="69" t="s">
        <v>230</v>
      </c>
      <c r="E36" s="67" t="s">
        <v>225</v>
      </c>
      <c r="F36" s="67" t="s">
        <v>226</v>
      </c>
      <c r="G36" s="70"/>
      <c r="H36" s="67" t="s">
        <v>227</v>
      </c>
      <c r="I36" s="67"/>
      <c r="J36" s="67"/>
      <c r="K36" s="67" t="s">
        <v>160</v>
      </c>
      <c r="L36" s="130">
        <v>9</v>
      </c>
      <c r="M36" s="70" t="s">
        <v>228</v>
      </c>
      <c r="N36" s="137"/>
      <c r="O36" s="67"/>
      <c r="P36" s="67"/>
      <c r="Q36" s="131" t="s">
        <v>150</v>
      </c>
      <c r="R36" s="131"/>
      <c r="S36" s="71" t="s">
        <v>229</v>
      </c>
      <c r="T36" s="72" t="s">
        <v>88</v>
      </c>
      <c r="U36" s="72" t="s">
        <v>114</v>
      </c>
      <c r="V36" s="73"/>
      <c r="W36" s="74"/>
      <c r="X36" s="75"/>
    </row>
    <row r="37" spans="1:24" ht="15" customHeight="1" thickBot="1" x14ac:dyDescent="0.3">
      <c r="A37" s="67" t="s">
        <v>13394</v>
      </c>
      <c r="B37" s="68" t="s">
        <v>90</v>
      </c>
      <c r="C37" s="67" t="s">
        <v>34</v>
      </c>
      <c r="D37" s="69" t="s">
        <v>236</v>
      </c>
      <c r="E37" s="67" t="s">
        <v>231</v>
      </c>
      <c r="F37" s="67" t="s">
        <v>232</v>
      </c>
      <c r="G37" s="70"/>
      <c r="H37" s="67" t="s">
        <v>233</v>
      </c>
      <c r="I37" s="67"/>
      <c r="J37" s="67"/>
      <c r="K37" s="67" t="s">
        <v>85</v>
      </c>
      <c r="L37" s="130">
        <v>1</v>
      </c>
      <c r="M37" s="70" t="s">
        <v>99</v>
      </c>
      <c r="N37" s="137" t="s">
        <v>234</v>
      </c>
      <c r="O37" s="67"/>
      <c r="P37" s="67"/>
      <c r="Q37" s="131" t="s">
        <v>72</v>
      </c>
      <c r="R37" s="131"/>
      <c r="S37" s="71" t="s">
        <v>235</v>
      </c>
      <c r="T37" s="72" t="s">
        <v>88</v>
      </c>
      <c r="U37" s="72" t="s">
        <v>88</v>
      </c>
      <c r="V37" s="73"/>
      <c r="W37" s="74"/>
      <c r="X37" s="75"/>
    </row>
    <row r="38" spans="1:24" ht="15" customHeight="1" thickBot="1" x14ac:dyDescent="0.3">
      <c r="A38" s="67" t="s">
        <v>13394</v>
      </c>
      <c r="B38" s="68" t="s">
        <v>90</v>
      </c>
      <c r="C38" s="67" t="s">
        <v>34</v>
      </c>
      <c r="D38" s="69" t="s">
        <v>241</v>
      </c>
      <c r="E38" s="67" t="s">
        <v>237</v>
      </c>
      <c r="F38" s="67" t="s">
        <v>118</v>
      </c>
      <c r="G38" s="70"/>
      <c r="H38" s="67" t="s">
        <v>238</v>
      </c>
      <c r="I38" s="67"/>
      <c r="J38" s="67"/>
      <c r="K38" s="67" t="s">
        <v>85</v>
      </c>
      <c r="L38" s="130">
        <v>2</v>
      </c>
      <c r="M38" s="70" t="s">
        <v>239</v>
      </c>
      <c r="N38" s="137" t="s">
        <v>237</v>
      </c>
      <c r="O38" s="67"/>
      <c r="P38" s="67"/>
      <c r="Q38" s="131" t="s">
        <v>72</v>
      </c>
      <c r="R38" s="131"/>
      <c r="S38" s="71" t="s">
        <v>214</v>
      </c>
      <c r="T38" s="72" t="s">
        <v>88</v>
      </c>
      <c r="U38" s="72" t="s">
        <v>88</v>
      </c>
      <c r="V38" s="73"/>
      <c r="W38" s="74"/>
      <c r="X38" s="75" t="s">
        <v>240</v>
      </c>
    </row>
    <row r="39" spans="1:24" ht="15" customHeight="1" thickBot="1" x14ac:dyDescent="0.3">
      <c r="A39" s="67" t="s">
        <v>13394</v>
      </c>
      <c r="B39" s="68" t="s">
        <v>90</v>
      </c>
      <c r="C39" s="67" t="s">
        <v>34</v>
      </c>
      <c r="D39" s="69" t="s">
        <v>251</v>
      </c>
      <c r="E39" s="67" t="s">
        <v>242</v>
      </c>
      <c r="F39" s="67" t="s">
        <v>243</v>
      </c>
      <c r="G39" s="70"/>
      <c r="H39" s="67" t="s">
        <v>244</v>
      </c>
      <c r="I39" s="67" t="s">
        <v>245</v>
      </c>
      <c r="J39" s="67"/>
      <c r="K39" s="67" t="s">
        <v>246</v>
      </c>
      <c r="L39" s="130">
        <v>4</v>
      </c>
      <c r="M39" s="70" t="s">
        <v>247</v>
      </c>
      <c r="N39" s="137"/>
      <c r="O39" s="67" t="s">
        <v>248</v>
      </c>
      <c r="P39" s="67" t="s">
        <v>249</v>
      </c>
      <c r="Q39" s="131" t="s">
        <v>150</v>
      </c>
      <c r="R39" s="131"/>
      <c r="S39" s="71" t="s">
        <v>250</v>
      </c>
      <c r="T39" s="72" t="s">
        <v>114</v>
      </c>
      <c r="U39" s="72" t="s">
        <v>88</v>
      </c>
      <c r="V39" s="73"/>
      <c r="W39" s="74"/>
      <c r="X39" s="75"/>
    </row>
    <row r="40" spans="1:24" ht="15" customHeight="1" thickBot="1" x14ac:dyDescent="0.3">
      <c r="A40" s="67" t="s">
        <v>13394</v>
      </c>
      <c r="B40" s="68" t="s">
        <v>90</v>
      </c>
      <c r="C40" s="67" t="s">
        <v>34</v>
      </c>
      <c r="D40" s="69" t="s">
        <v>258</v>
      </c>
      <c r="E40" s="67" t="s">
        <v>252</v>
      </c>
      <c r="F40" s="67" t="s">
        <v>253</v>
      </c>
      <c r="G40" s="70"/>
      <c r="H40" s="67" t="s">
        <v>254</v>
      </c>
      <c r="I40" s="67"/>
      <c r="J40" s="67"/>
      <c r="K40" s="67" t="s">
        <v>85</v>
      </c>
      <c r="L40" s="130">
        <v>3</v>
      </c>
      <c r="M40" s="70" t="s">
        <v>255</v>
      </c>
      <c r="N40" s="137" t="s">
        <v>256</v>
      </c>
      <c r="O40" s="67"/>
      <c r="P40" s="67"/>
      <c r="Q40" s="131" t="s">
        <v>150</v>
      </c>
      <c r="R40" s="131"/>
      <c r="S40" s="71" t="s">
        <v>257</v>
      </c>
      <c r="T40" s="72" t="s">
        <v>88</v>
      </c>
      <c r="U40" s="72" t="s">
        <v>88</v>
      </c>
      <c r="V40" s="73"/>
      <c r="W40" s="74"/>
      <c r="X40" s="75" t="s">
        <v>169</v>
      </c>
    </row>
    <row r="41" spans="1:24" ht="15" customHeight="1" thickBot="1" x14ac:dyDescent="0.3">
      <c r="A41" s="67" t="s">
        <v>13394</v>
      </c>
      <c r="B41" s="68" t="s">
        <v>90</v>
      </c>
      <c r="C41" s="67" t="s">
        <v>34</v>
      </c>
      <c r="D41" s="69" t="s">
        <v>262</v>
      </c>
      <c r="E41" s="67" t="s">
        <v>259</v>
      </c>
      <c r="F41" s="67" t="s">
        <v>260</v>
      </c>
      <c r="G41" s="70"/>
      <c r="H41" s="67" t="s">
        <v>261</v>
      </c>
      <c r="I41" s="67"/>
      <c r="J41" s="67"/>
      <c r="K41" s="67" t="s">
        <v>85</v>
      </c>
      <c r="L41" s="130">
        <v>1</v>
      </c>
      <c r="M41" s="70" t="s">
        <v>99</v>
      </c>
      <c r="N41" s="137" t="s">
        <v>195</v>
      </c>
      <c r="O41" s="67"/>
      <c r="P41" s="67"/>
      <c r="Q41" s="131" t="s">
        <v>72</v>
      </c>
      <c r="R41" s="131"/>
      <c r="S41" s="71" t="s">
        <v>126</v>
      </c>
      <c r="T41" s="72" t="s">
        <v>88</v>
      </c>
      <c r="U41" s="72" t="s">
        <v>88</v>
      </c>
      <c r="V41" s="73"/>
      <c r="W41" s="74"/>
      <c r="X41" s="75" t="s">
        <v>169</v>
      </c>
    </row>
    <row r="42" spans="1:24" ht="15" customHeight="1" thickBot="1" x14ac:dyDescent="0.3">
      <c r="A42" s="67" t="s">
        <v>13394</v>
      </c>
      <c r="B42" s="68" t="s">
        <v>90</v>
      </c>
      <c r="C42" s="67" t="s">
        <v>34</v>
      </c>
      <c r="D42" s="69" t="s">
        <v>266</v>
      </c>
      <c r="E42" s="67" t="s">
        <v>263</v>
      </c>
      <c r="F42" s="70">
        <v>504</v>
      </c>
      <c r="G42" s="70"/>
      <c r="H42" s="67" t="s">
        <v>264</v>
      </c>
      <c r="I42" s="67"/>
      <c r="J42" s="67"/>
      <c r="K42" s="67" t="s">
        <v>85</v>
      </c>
      <c r="L42" s="130">
        <v>1</v>
      </c>
      <c r="M42" s="70" t="s">
        <v>99</v>
      </c>
      <c r="N42" s="250" t="s">
        <v>195</v>
      </c>
      <c r="O42" s="67"/>
      <c r="P42" s="67"/>
      <c r="Q42" s="131" t="s">
        <v>150</v>
      </c>
      <c r="R42" s="131"/>
      <c r="S42" s="71" t="s">
        <v>265</v>
      </c>
      <c r="T42" s="72" t="s">
        <v>88</v>
      </c>
      <c r="U42" s="72" t="s">
        <v>114</v>
      </c>
      <c r="V42" s="73"/>
      <c r="W42" s="74"/>
      <c r="X42" s="75" t="s">
        <v>169</v>
      </c>
    </row>
    <row r="43" spans="1:24" ht="15" customHeight="1" thickBot="1" x14ac:dyDescent="0.3">
      <c r="A43" s="67" t="s">
        <v>13394</v>
      </c>
      <c r="B43" s="68" t="s">
        <v>90</v>
      </c>
      <c r="C43" s="67" t="s">
        <v>34</v>
      </c>
      <c r="D43" s="69" t="s">
        <v>271</v>
      </c>
      <c r="E43" s="67" t="s">
        <v>267</v>
      </c>
      <c r="F43" s="67" t="s">
        <v>268</v>
      </c>
      <c r="G43" s="70"/>
      <c r="H43" s="67" t="s">
        <v>269</v>
      </c>
      <c r="I43" s="67"/>
      <c r="J43" s="67"/>
      <c r="K43" s="67" t="s">
        <v>85</v>
      </c>
      <c r="L43" s="130">
        <v>1</v>
      </c>
      <c r="M43" s="70" t="s">
        <v>99</v>
      </c>
      <c r="N43" s="137" t="s">
        <v>195</v>
      </c>
      <c r="O43" s="67"/>
      <c r="P43" s="67"/>
      <c r="Q43" s="131" t="s">
        <v>150</v>
      </c>
      <c r="R43" s="131"/>
      <c r="S43" s="71" t="s">
        <v>270</v>
      </c>
      <c r="T43" s="72" t="s">
        <v>114</v>
      </c>
      <c r="U43" s="72" t="s">
        <v>88</v>
      </c>
      <c r="V43" s="73"/>
      <c r="W43" s="74"/>
      <c r="X43" s="75" t="s">
        <v>169</v>
      </c>
    </row>
    <row r="44" spans="1:24" ht="15" customHeight="1" thickBot="1" x14ac:dyDescent="0.3">
      <c r="A44" s="67" t="s">
        <v>13394</v>
      </c>
      <c r="B44" s="68" t="s">
        <v>90</v>
      </c>
      <c r="C44" s="67" t="s">
        <v>34</v>
      </c>
      <c r="D44" s="69" t="s">
        <v>277</v>
      </c>
      <c r="E44" s="67" t="s">
        <v>272</v>
      </c>
      <c r="F44" s="67" t="s">
        <v>273</v>
      </c>
      <c r="G44" s="70"/>
      <c r="H44" s="67" t="s">
        <v>274</v>
      </c>
      <c r="I44" s="67"/>
      <c r="J44" s="67"/>
      <c r="K44" s="67" t="s">
        <v>85</v>
      </c>
      <c r="L44" s="130">
        <v>1</v>
      </c>
      <c r="M44" s="70" t="s">
        <v>99</v>
      </c>
      <c r="N44" s="137" t="s">
        <v>275</v>
      </c>
      <c r="O44" s="67"/>
      <c r="P44" s="67"/>
      <c r="Q44" s="131" t="s">
        <v>72</v>
      </c>
      <c r="R44" s="131"/>
      <c r="S44" s="71" t="s">
        <v>276</v>
      </c>
      <c r="T44" s="72" t="s">
        <v>88</v>
      </c>
      <c r="U44" s="72" t="s">
        <v>114</v>
      </c>
      <c r="V44" s="73"/>
      <c r="W44" s="74"/>
      <c r="X44" s="75" t="s">
        <v>169</v>
      </c>
    </row>
    <row r="45" spans="1:24" ht="15" customHeight="1" thickBot="1" x14ac:dyDescent="0.3">
      <c r="A45" s="67" t="s">
        <v>13394</v>
      </c>
      <c r="B45" s="68" t="s">
        <v>90</v>
      </c>
      <c r="C45" s="67" t="s">
        <v>34</v>
      </c>
      <c r="D45" s="69" t="s">
        <v>282</v>
      </c>
      <c r="E45" s="67" t="s">
        <v>278</v>
      </c>
      <c r="F45" s="67" t="s">
        <v>279</v>
      </c>
      <c r="G45" s="70"/>
      <c r="H45" s="67" t="s">
        <v>280</v>
      </c>
      <c r="I45" s="67"/>
      <c r="J45" s="67"/>
      <c r="K45" s="67" t="s">
        <v>85</v>
      </c>
      <c r="L45" s="130">
        <v>1</v>
      </c>
      <c r="M45" s="70" t="s">
        <v>99</v>
      </c>
      <c r="N45" s="137" t="s">
        <v>195</v>
      </c>
      <c r="O45" s="67"/>
      <c r="P45" s="67"/>
      <c r="Q45" s="131" t="s">
        <v>150</v>
      </c>
      <c r="R45" s="131"/>
      <c r="S45" s="71" t="s">
        <v>281</v>
      </c>
      <c r="T45" s="72" t="s">
        <v>88</v>
      </c>
      <c r="U45" s="72" t="s">
        <v>114</v>
      </c>
      <c r="V45" s="73"/>
      <c r="W45" s="74"/>
      <c r="X45" s="75" t="s">
        <v>169</v>
      </c>
    </row>
    <row r="46" spans="1:24" ht="15" customHeight="1" thickBot="1" x14ac:dyDescent="0.3">
      <c r="A46" s="67" t="s">
        <v>13394</v>
      </c>
      <c r="B46" s="68" t="s">
        <v>90</v>
      </c>
      <c r="C46" s="67" t="s">
        <v>34</v>
      </c>
      <c r="D46" s="69" t="s">
        <v>287</v>
      </c>
      <c r="E46" s="67" t="s">
        <v>283</v>
      </c>
      <c r="F46" s="67" t="s">
        <v>284</v>
      </c>
      <c r="G46" s="70"/>
      <c r="H46" s="67" t="s">
        <v>285</v>
      </c>
      <c r="I46" s="67"/>
      <c r="J46" s="67"/>
      <c r="K46" s="67" t="s">
        <v>85</v>
      </c>
      <c r="L46" s="130">
        <v>1</v>
      </c>
      <c r="M46" s="70" t="s">
        <v>99</v>
      </c>
      <c r="N46" s="137" t="s">
        <v>195</v>
      </c>
      <c r="O46" s="67"/>
      <c r="P46" s="67"/>
      <c r="Q46" s="131" t="s">
        <v>150</v>
      </c>
      <c r="R46" s="131"/>
      <c r="S46" s="71" t="s">
        <v>286</v>
      </c>
      <c r="T46" s="72" t="s">
        <v>114</v>
      </c>
      <c r="U46" s="72" t="s">
        <v>88</v>
      </c>
      <c r="V46" s="73" t="s">
        <v>45</v>
      </c>
      <c r="W46" s="74"/>
      <c r="X46" s="75" t="s">
        <v>169</v>
      </c>
    </row>
    <row r="47" spans="1:24" ht="15" customHeight="1" thickBot="1" x14ac:dyDescent="0.3">
      <c r="A47" s="67" t="s">
        <v>13394</v>
      </c>
      <c r="B47" s="68" t="s">
        <v>90</v>
      </c>
      <c r="C47" s="67" t="s">
        <v>34</v>
      </c>
      <c r="D47" s="69" t="s">
        <v>292</v>
      </c>
      <c r="E47" s="67" t="s">
        <v>288</v>
      </c>
      <c r="F47" s="67" t="s">
        <v>289</v>
      </c>
      <c r="G47" s="70"/>
      <c r="H47" s="67" t="s">
        <v>290</v>
      </c>
      <c r="I47" s="67"/>
      <c r="J47" s="67"/>
      <c r="K47" s="67" t="s">
        <v>85</v>
      </c>
      <c r="L47" s="130">
        <v>1</v>
      </c>
      <c r="M47" s="70" t="s">
        <v>99</v>
      </c>
      <c r="N47" s="137" t="s">
        <v>291</v>
      </c>
      <c r="O47" s="67"/>
      <c r="P47" s="67"/>
      <c r="Q47" s="131" t="s">
        <v>150</v>
      </c>
      <c r="R47" s="131"/>
      <c r="S47" s="71" t="s">
        <v>270</v>
      </c>
      <c r="T47" s="72" t="s">
        <v>114</v>
      </c>
      <c r="U47" s="72" t="s">
        <v>88</v>
      </c>
      <c r="V47" s="73"/>
      <c r="W47" s="74"/>
      <c r="X47" s="75" t="s">
        <v>169</v>
      </c>
    </row>
    <row r="48" spans="1:24" ht="15" customHeight="1" thickBot="1" x14ac:dyDescent="0.3">
      <c r="A48" s="67" t="s">
        <v>13394</v>
      </c>
      <c r="B48" s="68" t="s">
        <v>90</v>
      </c>
      <c r="C48" s="67" t="s">
        <v>34</v>
      </c>
      <c r="D48" s="69" t="s">
        <v>296</v>
      </c>
      <c r="E48" s="67" t="s">
        <v>293</v>
      </c>
      <c r="F48" s="67" t="s">
        <v>294</v>
      </c>
      <c r="G48" s="70"/>
      <c r="H48" s="67" t="s">
        <v>295</v>
      </c>
      <c r="I48" s="67"/>
      <c r="J48" s="67"/>
      <c r="K48" s="67" t="s">
        <v>85</v>
      </c>
      <c r="L48" s="130">
        <v>1</v>
      </c>
      <c r="M48" s="70" t="s">
        <v>99</v>
      </c>
      <c r="N48" s="137" t="s">
        <v>195</v>
      </c>
      <c r="O48" s="67"/>
      <c r="P48" s="67"/>
      <c r="Q48" s="131" t="s">
        <v>150</v>
      </c>
      <c r="R48" s="131"/>
      <c r="S48" s="71" t="s">
        <v>126</v>
      </c>
      <c r="T48" s="72" t="s">
        <v>114</v>
      </c>
      <c r="U48" s="72" t="s">
        <v>88</v>
      </c>
      <c r="V48" s="73"/>
      <c r="W48" s="74"/>
      <c r="X48" s="75" t="s">
        <v>169</v>
      </c>
    </row>
    <row r="49" spans="1:24" ht="15" customHeight="1" thickBot="1" x14ac:dyDescent="0.3">
      <c r="A49" s="67" t="s">
        <v>13394</v>
      </c>
      <c r="B49" s="68" t="s">
        <v>90</v>
      </c>
      <c r="C49" s="67" t="s">
        <v>34</v>
      </c>
      <c r="D49" s="69" t="s">
        <v>301</v>
      </c>
      <c r="E49" s="67" t="s">
        <v>297</v>
      </c>
      <c r="F49" s="67" t="s">
        <v>298</v>
      </c>
      <c r="G49" s="70"/>
      <c r="H49" s="67" t="s">
        <v>299</v>
      </c>
      <c r="I49" s="67"/>
      <c r="J49" s="67"/>
      <c r="K49" s="67" t="s">
        <v>85</v>
      </c>
      <c r="L49" s="130">
        <v>1</v>
      </c>
      <c r="M49" s="70" t="s">
        <v>99</v>
      </c>
      <c r="N49" s="137" t="s">
        <v>195</v>
      </c>
      <c r="O49" s="67"/>
      <c r="P49" s="67"/>
      <c r="Q49" s="131" t="s">
        <v>150</v>
      </c>
      <c r="R49" s="131"/>
      <c r="S49" s="71" t="s">
        <v>300</v>
      </c>
      <c r="T49" s="72" t="s">
        <v>88</v>
      </c>
      <c r="U49" s="72" t="s">
        <v>114</v>
      </c>
      <c r="V49" s="73" t="s">
        <v>89</v>
      </c>
      <c r="W49" s="74"/>
      <c r="X49" s="75" t="s">
        <v>169</v>
      </c>
    </row>
    <row r="50" spans="1:24" ht="15" customHeight="1" thickBot="1" x14ac:dyDescent="0.3">
      <c r="A50" s="67" t="s">
        <v>13394</v>
      </c>
      <c r="B50" s="68" t="s">
        <v>90</v>
      </c>
      <c r="C50" s="67" t="s">
        <v>34</v>
      </c>
      <c r="D50" s="69" t="s">
        <v>305</v>
      </c>
      <c r="E50" s="67" t="s">
        <v>302</v>
      </c>
      <c r="F50" s="67" t="s">
        <v>303</v>
      </c>
      <c r="G50" s="70"/>
      <c r="H50" s="67" t="s">
        <v>304</v>
      </c>
      <c r="I50" s="67"/>
      <c r="J50" s="67"/>
      <c r="K50" s="67" t="s">
        <v>85</v>
      </c>
      <c r="L50" s="130">
        <v>1</v>
      </c>
      <c r="M50" s="70" t="s">
        <v>99</v>
      </c>
      <c r="N50" s="137" t="s">
        <v>195</v>
      </c>
      <c r="O50" s="67"/>
      <c r="P50" s="67"/>
      <c r="Q50" s="131" t="s">
        <v>150</v>
      </c>
      <c r="R50" s="131"/>
      <c r="S50" s="71" t="s">
        <v>300</v>
      </c>
      <c r="T50" s="72" t="s">
        <v>88</v>
      </c>
      <c r="U50" s="72" t="s">
        <v>114</v>
      </c>
      <c r="V50" s="73" t="s">
        <v>89</v>
      </c>
      <c r="W50" s="74"/>
      <c r="X50" s="75" t="s">
        <v>169</v>
      </c>
    </row>
    <row r="51" spans="1:24" ht="15" customHeight="1" thickBot="1" x14ac:dyDescent="0.3">
      <c r="A51" s="67" t="s">
        <v>13394</v>
      </c>
      <c r="B51" s="68" t="s">
        <v>90</v>
      </c>
      <c r="C51" s="67" t="s">
        <v>34</v>
      </c>
      <c r="D51" s="69" t="s">
        <v>309</v>
      </c>
      <c r="E51" s="67" t="s">
        <v>306</v>
      </c>
      <c r="F51" s="67" t="s">
        <v>307</v>
      </c>
      <c r="G51" s="70"/>
      <c r="H51" s="67" t="s">
        <v>308</v>
      </c>
      <c r="I51" s="67"/>
      <c r="J51" s="67"/>
      <c r="K51" s="67" t="s">
        <v>85</v>
      </c>
      <c r="L51" s="130">
        <v>1</v>
      </c>
      <c r="M51" s="70" t="s">
        <v>99</v>
      </c>
      <c r="N51" s="137" t="s">
        <v>306</v>
      </c>
      <c r="O51" s="67"/>
      <c r="P51" s="67"/>
      <c r="Q51" s="131" t="s">
        <v>150</v>
      </c>
      <c r="R51" s="131"/>
      <c r="S51" s="71" t="s">
        <v>300</v>
      </c>
      <c r="T51" s="72" t="s">
        <v>88</v>
      </c>
      <c r="U51" s="72" t="s">
        <v>114</v>
      </c>
      <c r="V51" s="73"/>
      <c r="W51" s="74"/>
      <c r="X51" s="75" t="s">
        <v>169</v>
      </c>
    </row>
    <row r="52" spans="1:24" ht="15" customHeight="1" thickBot="1" x14ac:dyDescent="0.3">
      <c r="A52" s="225" t="s">
        <v>13394</v>
      </c>
      <c r="B52" s="68" t="s">
        <v>90</v>
      </c>
      <c r="C52" s="67" t="s">
        <v>34</v>
      </c>
      <c r="D52" s="69" t="s">
        <v>312</v>
      </c>
      <c r="E52" s="67" t="s">
        <v>310</v>
      </c>
      <c r="F52" s="67" t="s">
        <v>311</v>
      </c>
      <c r="G52" s="70"/>
      <c r="H52" s="225" t="s">
        <v>13389</v>
      </c>
      <c r="I52" s="67"/>
      <c r="J52" s="67"/>
      <c r="K52" s="67" t="s">
        <v>85</v>
      </c>
      <c r="L52" s="130">
        <v>1</v>
      </c>
      <c r="M52" s="70" t="s">
        <v>99</v>
      </c>
      <c r="N52" s="137" t="s">
        <v>195</v>
      </c>
      <c r="O52" s="67"/>
      <c r="P52" s="67"/>
      <c r="Q52" s="131" t="s">
        <v>150</v>
      </c>
      <c r="R52" s="131"/>
      <c r="S52" s="71" t="s">
        <v>126</v>
      </c>
      <c r="T52" s="72" t="s">
        <v>114</v>
      </c>
      <c r="U52" s="72" t="s">
        <v>88</v>
      </c>
      <c r="V52" s="73"/>
      <c r="W52" s="74"/>
      <c r="X52" s="75" t="s">
        <v>169</v>
      </c>
    </row>
    <row r="53" spans="1:24" ht="15" customHeight="1" thickBot="1" x14ac:dyDescent="0.3">
      <c r="A53" s="67" t="s">
        <v>13394</v>
      </c>
      <c r="B53" s="68" t="s">
        <v>90</v>
      </c>
      <c r="C53" s="67" t="s">
        <v>34</v>
      </c>
      <c r="D53" s="69" t="s">
        <v>319</v>
      </c>
      <c r="E53" s="67" t="s">
        <v>313</v>
      </c>
      <c r="F53" s="67" t="s">
        <v>314</v>
      </c>
      <c r="G53" s="70"/>
      <c r="H53" s="67" t="s">
        <v>315</v>
      </c>
      <c r="I53" s="67"/>
      <c r="J53" s="67"/>
      <c r="K53" s="67" t="s">
        <v>85</v>
      </c>
      <c r="L53" s="130">
        <v>1</v>
      </c>
      <c r="M53" s="70" t="s">
        <v>99</v>
      </c>
      <c r="N53" s="137" t="s">
        <v>316</v>
      </c>
      <c r="O53" s="67"/>
      <c r="P53" s="67"/>
      <c r="Q53" s="131" t="s">
        <v>150</v>
      </c>
      <c r="R53" s="131"/>
      <c r="S53" s="71" t="s">
        <v>317</v>
      </c>
      <c r="T53" s="72" t="s">
        <v>114</v>
      </c>
      <c r="U53" s="72" t="s">
        <v>88</v>
      </c>
      <c r="V53" s="73"/>
      <c r="W53" s="74"/>
      <c r="X53" s="75" t="s">
        <v>318</v>
      </c>
    </row>
    <row r="54" spans="1:24" ht="15" customHeight="1" thickBot="1" x14ac:dyDescent="0.3">
      <c r="A54" s="67" t="s">
        <v>13394</v>
      </c>
      <c r="B54" s="68" t="s">
        <v>90</v>
      </c>
      <c r="C54" s="67" t="s">
        <v>34</v>
      </c>
      <c r="D54" s="69" t="s">
        <v>323</v>
      </c>
      <c r="E54" s="67" t="s">
        <v>320</v>
      </c>
      <c r="F54" s="67" t="s">
        <v>321</v>
      </c>
      <c r="G54" s="70"/>
      <c r="H54" s="67" t="s">
        <v>322</v>
      </c>
      <c r="I54" s="67"/>
      <c r="J54" s="67"/>
      <c r="K54" s="67" t="s">
        <v>125</v>
      </c>
      <c r="L54" s="130">
        <v>10</v>
      </c>
      <c r="M54" s="70"/>
      <c r="N54" s="137"/>
      <c r="O54" s="67"/>
      <c r="P54" s="67"/>
      <c r="Q54" s="131" t="s">
        <v>150</v>
      </c>
      <c r="R54" s="131"/>
      <c r="S54" s="71" t="s">
        <v>317</v>
      </c>
      <c r="T54" s="72" t="s">
        <v>114</v>
      </c>
      <c r="U54" s="72" t="s">
        <v>88</v>
      </c>
      <c r="V54" s="73"/>
      <c r="W54" s="74"/>
      <c r="X54" s="75"/>
    </row>
    <row r="55" spans="1:24" ht="15" customHeight="1" thickBot="1" x14ac:dyDescent="0.3">
      <c r="A55" s="67" t="s">
        <v>13394</v>
      </c>
      <c r="B55" s="68" t="s">
        <v>90</v>
      </c>
      <c r="C55" s="67" t="s">
        <v>34</v>
      </c>
      <c r="D55" s="69" t="s">
        <v>328</v>
      </c>
      <c r="E55" s="67" t="s">
        <v>324</v>
      </c>
      <c r="F55" s="67" t="s">
        <v>325</v>
      </c>
      <c r="G55" s="70"/>
      <c r="H55" s="67" t="s">
        <v>326</v>
      </c>
      <c r="I55" s="67"/>
      <c r="J55" s="67"/>
      <c r="K55" s="67" t="s">
        <v>85</v>
      </c>
      <c r="L55" s="130">
        <v>1</v>
      </c>
      <c r="M55" s="70" t="s">
        <v>99</v>
      </c>
      <c r="N55" s="137" t="s">
        <v>195</v>
      </c>
      <c r="O55" s="67"/>
      <c r="P55" s="67"/>
      <c r="Q55" s="131" t="s">
        <v>150</v>
      </c>
      <c r="R55" s="131"/>
      <c r="S55" s="71" t="s">
        <v>327</v>
      </c>
      <c r="T55" s="72" t="s">
        <v>88</v>
      </c>
      <c r="U55" s="72" t="s">
        <v>114</v>
      </c>
      <c r="V55" s="73"/>
      <c r="W55" s="74"/>
      <c r="X55" s="75"/>
    </row>
    <row r="56" spans="1:24" ht="15" customHeight="1" thickBot="1" x14ac:dyDescent="0.3">
      <c r="A56" s="67" t="s">
        <v>13394</v>
      </c>
      <c r="B56" s="68" t="s">
        <v>90</v>
      </c>
      <c r="C56" s="67" t="s">
        <v>34</v>
      </c>
      <c r="D56" s="69" t="s">
        <v>332</v>
      </c>
      <c r="E56" s="67" t="s">
        <v>329</v>
      </c>
      <c r="F56" s="67" t="s">
        <v>330</v>
      </c>
      <c r="G56" s="70"/>
      <c r="H56" s="67" t="s">
        <v>331</v>
      </c>
      <c r="I56" s="67"/>
      <c r="J56" s="67"/>
      <c r="K56" s="67" t="s">
        <v>140</v>
      </c>
      <c r="L56" s="130">
        <v>10</v>
      </c>
      <c r="M56" s="70" t="s">
        <v>141</v>
      </c>
      <c r="N56" s="137"/>
      <c r="O56" s="67"/>
      <c r="P56" s="67"/>
      <c r="Q56" s="131" t="s">
        <v>150</v>
      </c>
      <c r="R56" s="131"/>
      <c r="S56" s="71"/>
      <c r="T56" s="72"/>
      <c r="U56" s="72"/>
      <c r="V56" s="73"/>
      <c r="W56" s="74"/>
      <c r="X56" s="75"/>
    </row>
    <row r="57" spans="1:24" ht="15" customHeight="1" thickBot="1" x14ac:dyDescent="0.3">
      <c r="A57" s="67" t="s">
        <v>13394</v>
      </c>
      <c r="B57" s="68" t="s">
        <v>90</v>
      </c>
      <c r="C57" s="67" t="s">
        <v>34</v>
      </c>
      <c r="D57" s="69" t="s">
        <v>337</v>
      </c>
      <c r="E57" s="67" t="s">
        <v>333</v>
      </c>
      <c r="F57" s="67" t="s">
        <v>334</v>
      </c>
      <c r="G57" s="70"/>
      <c r="H57" s="67" t="s">
        <v>335</v>
      </c>
      <c r="I57" s="67"/>
      <c r="J57" s="67"/>
      <c r="K57" s="67" t="s">
        <v>85</v>
      </c>
      <c r="L57" s="130">
        <v>3</v>
      </c>
      <c r="M57" s="70" t="s">
        <v>105</v>
      </c>
      <c r="N57" s="137" t="s">
        <v>336</v>
      </c>
      <c r="O57" s="67"/>
      <c r="P57" s="67"/>
      <c r="Q57" s="131" t="s">
        <v>150</v>
      </c>
      <c r="R57" s="131"/>
      <c r="S57" s="71"/>
      <c r="T57" s="72"/>
      <c r="U57" s="72"/>
      <c r="V57" s="73"/>
      <c r="W57" s="74"/>
      <c r="X57" s="75"/>
    </row>
    <row r="58" spans="1:24" ht="15" customHeight="1" thickBot="1" x14ac:dyDescent="0.3">
      <c r="A58" s="67" t="s">
        <v>13394</v>
      </c>
      <c r="B58" s="68" t="s">
        <v>90</v>
      </c>
      <c r="C58" s="67" t="s">
        <v>34</v>
      </c>
      <c r="D58" s="69" t="s">
        <v>342</v>
      </c>
      <c r="E58" s="67" t="s">
        <v>338</v>
      </c>
      <c r="F58" s="67" t="s">
        <v>339</v>
      </c>
      <c r="G58" s="70"/>
      <c r="H58" s="67" t="s">
        <v>340</v>
      </c>
      <c r="I58" s="67"/>
      <c r="J58" s="67"/>
      <c r="K58" s="67" t="s">
        <v>85</v>
      </c>
      <c r="L58" s="130">
        <v>2</v>
      </c>
      <c r="M58" s="70" t="s">
        <v>105</v>
      </c>
      <c r="N58" s="137" t="s">
        <v>341</v>
      </c>
      <c r="O58" s="67"/>
      <c r="P58" s="67"/>
      <c r="Q58" s="131" t="s">
        <v>150</v>
      </c>
      <c r="R58" s="131"/>
      <c r="S58" s="71" t="s">
        <v>276</v>
      </c>
      <c r="T58" s="72" t="s">
        <v>88</v>
      </c>
      <c r="U58" s="72" t="s">
        <v>114</v>
      </c>
      <c r="V58" s="73"/>
      <c r="W58" s="74"/>
      <c r="X58" s="75"/>
    </row>
    <row r="59" spans="1:24" ht="15" customHeight="1" thickBot="1" x14ac:dyDescent="0.3">
      <c r="A59" s="67" t="s">
        <v>13394</v>
      </c>
      <c r="B59" s="68" t="s">
        <v>90</v>
      </c>
      <c r="C59" s="67" t="s">
        <v>34</v>
      </c>
      <c r="D59" s="69" t="s">
        <v>347</v>
      </c>
      <c r="E59" s="67" t="s">
        <v>343</v>
      </c>
      <c r="F59" s="67" t="s">
        <v>344</v>
      </c>
      <c r="G59" s="70"/>
      <c r="H59" s="67" t="s">
        <v>345</v>
      </c>
      <c r="I59" s="67"/>
      <c r="J59" s="67"/>
      <c r="K59" s="67" t="s">
        <v>85</v>
      </c>
      <c r="L59" s="130">
        <v>1</v>
      </c>
      <c r="M59" s="70" t="s">
        <v>99</v>
      </c>
      <c r="N59" s="137" t="s">
        <v>195</v>
      </c>
      <c r="O59" s="67"/>
      <c r="P59" s="67"/>
      <c r="Q59" s="131" t="s">
        <v>150</v>
      </c>
      <c r="R59" s="131"/>
      <c r="S59" s="71" t="s">
        <v>346</v>
      </c>
      <c r="T59" s="72" t="s">
        <v>88</v>
      </c>
      <c r="U59" s="72" t="s">
        <v>114</v>
      </c>
      <c r="V59" s="73"/>
      <c r="W59" s="74"/>
      <c r="X59" s="75"/>
    </row>
    <row r="60" spans="1:24" ht="15" customHeight="1" thickBot="1" x14ac:dyDescent="0.3">
      <c r="A60" s="67" t="s">
        <v>13394</v>
      </c>
      <c r="B60" s="68" t="s">
        <v>90</v>
      </c>
      <c r="C60" s="67" t="s">
        <v>34</v>
      </c>
      <c r="D60" s="69" t="s">
        <v>351</v>
      </c>
      <c r="E60" s="67" t="s">
        <v>348</v>
      </c>
      <c r="F60" s="67" t="s">
        <v>349</v>
      </c>
      <c r="G60" s="70"/>
      <c r="H60" s="67" t="s">
        <v>350</v>
      </c>
      <c r="I60" s="67"/>
      <c r="J60" s="67"/>
      <c r="K60" s="67" t="s">
        <v>85</v>
      </c>
      <c r="L60" s="130">
        <v>1</v>
      </c>
      <c r="M60" s="70" t="s">
        <v>99</v>
      </c>
      <c r="N60" s="137" t="s">
        <v>195</v>
      </c>
      <c r="O60" s="67"/>
      <c r="P60" s="67"/>
      <c r="Q60" s="131" t="s">
        <v>150</v>
      </c>
      <c r="R60" s="131"/>
      <c r="S60" s="71" t="s">
        <v>346</v>
      </c>
      <c r="T60" s="72" t="s">
        <v>88</v>
      </c>
      <c r="U60" s="72" t="s">
        <v>114</v>
      </c>
      <c r="V60" s="73"/>
      <c r="W60" s="74"/>
      <c r="X60" s="75"/>
    </row>
    <row r="61" spans="1:24" ht="15" customHeight="1" thickBot="1" x14ac:dyDescent="0.3">
      <c r="A61" s="225" t="s">
        <v>13394</v>
      </c>
      <c r="B61" s="68" t="s">
        <v>90</v>
      </c>
      <c r="C61" s="67" t="s">
        <v>34</v>
      </c>
      <c r="D61" s="69" t="s">
        <v>354</v>
      </c>
      <c r="E61" s="67" t="s">
        <v>352</v>
      </c>
      <c r="F61" s="67" t="s">
        <v>353</v>
      </c>
      <c r="G61" s="70"/>
      <c r="H61" s="225" t="s">
        <v>13517</v>
      </c>
      <c r="I61" s="67"/>
      <c r="J61" s="67"/>
      <c r="K61" s="67" t="s">
        <v>85</v>
      </c>
      <c r="L61" s="130">
        <v>1</v>
      </c>
      <c r="M61" s="70" t="s">
        <v>99</v>
      </c>
      <c r="N61" s="137" t="s">
        <v>195</v>
      </c>
      <c r="O61" s="67"/>
      <c r="P61" s="67"/>
      <c r="Q61" s="131" t="s">
        <v>150</v>
      </c>
      <c r="R61" s="131"/>
      <c r="S61" s="71"/>
      <c r="T61" s="72"/>
      <c r="U61" s="72"/>
      <c r="V61" s="73"/>
      <c r="W61" s="74"/>
      <c r="X61" s="75"/>
    </row>
    <row r="62" spans="1:24" ht="15" customHeight="1" thickBot="1" x14ac:dyDescent="0.3">
      <c r="A62" s="67" t="s">
        <v>13394</v>
      </c>
      <c r="B62" s="68" t="s">
        <v>90</v>
      </c>
      <c r="C62" s="67" t="s">
        <v>34</v>
      </c>
      <c r="D62" s="69" t="s">
        <v>358</v>
      </c>
      <c r="E62" s="67" t="s">
        <v>355</v>
      </c>
      <c r="F62" s="67" t="s">
        <v>356</v>
      </c>
      <c r="G62" s="70"/>
      <c r="H62" s="67" t="s">
        <v>357</v>
      </c>
      <c r="I62" s="67"/>
      <c r="J62" s="67"/>
      <c r="K62" s="67" t="s">
        <v>85</v>
      </c>
      <c r="L62" s="130">
        <v>1</v>
      </c>
      <c r="M62" s="70" t="s">
        <v>99</v>
      </c>
      <c r="N62" s="250" t="s">
        <v>195</v>
      </c>
      <c r="O62" s="67"/>
      <c r="P62" s="67"/>
      <c r="Q62" s="131" t="s">
        <v>150</v>
      </c>
      <c r="R62" s="131"/>
      <c r="S62" s="71"/>
      <c r="T62" s="72"/>
      <c r="U62" s="72"/>
      <c r="V62" s="73"/>
      <c r="W62" s="74"/>
      <c r="X62" s="75"/>
    </row>
    <row r="63" spans="1:24" ht="15" customHeight="1" thickBot="1" x14ac:dyDescent="0.3">
      <c r="A63" s="67" t="s">
        <v>13394</v>
      </c>
      <c r="B63" s="68" t="s">
        <v>90</v>
      </c>
      <c r="C63" s="67" t="s">
        <v>34</v>
      </c>
      <c r="D63" s="69" t="s">
        <v>361</v>
      </c>
      <c r="E63" s="67" t="s">
        <v>359</v>
      </c>
      <c r="F63" s="67" t="s">
        <v>360</v>
      </c>
      <c r="G63" s="70"/>
      <c r="H63" s="67" t="s">
        <v>13350</v>
      </c>
      <c r="I63" s="67"/>
      <c r="J63" s="67"/>
      <c r="K63" s="67" t="s">
        <v>85</v>
      </c>
      <c r="L63" s="130">
        <v>1</v>
      </c>
      <c r="M63" s="70" t="s">
        <v>99</v>
      </c>
      <c r="N63" s="137" t="s">
        <v>195</v>
      </c>
      <c r="O63" s="67"/>
      <c r="P63" s="67"/>
      <c r="Q63" s="131" t="s">
        <v>150</v>
      </c>
      <c r="R63" s="131"/>
      <c r="S63" s="71"/>
      <c r="T63" s="72"/>
      <c r="U63" s="72"/>
      <c r="V63" s="73"/>
      <c r="W63" s="74"/>
      <c r="X63" s="75"/>
    </row>
    <row r="64" spans="1:24" s="165" customFormat="1" ht="15" customHeight="1" thickBot="1" x14ac:dyDescent="0.3">
      <c r="A64" s="67" t="s">
        <v>13394</v>
      </c>
      <c r="B64" s="68" t="s">
        <v>90</v>
      </c>
      <c r="C64" s="67" t="s">
        <v>34</v>
      </c>
      <c r="D64" s="69" t="s">
        <v>365</v>
      </c>
      <c r="E64" s="67" t="s">
        <v>362</v>
      </c>
      <c r="F64" s="67" t="s">
        <v>363</v>
      </c>
      <c r="G64" s="70"/>
      <c r="H64" s="67" t="s">
        <v>364</v>
      </c>
      <c r="I64" s="67"/>
      <c r="J64" s="67"/>
      <c r="K64" s="67" t="s">
        <v>85</v>
      </c>
      <c r="L64" s="130">
        <v>1</v>
      </c>
      <c r="M64" s="70" t="s">
        <v>99</v>
      </c>
      <c r="N64" s="137" t="s">
        <v>291</v>
      </c>
      <c r="O64" s="67"/>
      <c r="P64" s="67"/>
      <c r="Q64" s="131" t="s">
        <v>72</v>
      </c>
      <c r="R64" s="226"/>
      <c r="S64" s="227"/>
      <c r="T64" s="228"/>
      <c r="U64" s="228"/>
      <c r="V64" s="229"/>
      <c r="W64" s="230"/>
      <c r="X64" s="231"/>
    </row>
    <row r="65" spans="1:24" ht="15" customHeight="1" thickBot="1" x14ac:dyDescent="0.3">
      <c r="A65" s="67" t="s">
        <v>13394</v>
      </c>
      <c r="B65" s="68" t="s">
        <v>90</v>
      </c>
      <c r="C65" s="67" t="s">
        <v>34</v>
      </c>
      <c r="D65" s="69" t="s">
        <v>370</v>
      </c>
      <c r="E65" s="67" t="s">
        <v>366</v>
      </c>
      <c r="F65" s="67" t="s">
        <v>367</v>
      </c>
      <c r="G65" s="70"/>
      <c r="H65" s="67" t="s">
        <v>368</v>
      </c>
      <c r="I65" s="67"/>
      <c r="J65" s="67"/>
      <c r="K65" s="67" t="s">
        <v>140</v>
      </c>
      <c r="L65" s="130">
        <v>10</v>
      </c>
      <c r="M65" s="70" t="s">
        <v>141</v>
      </c>
      <c r="N65" s="137"/>
      <c r="O65" s="67"/>
      <c r="P65" s="67"/>
      <c r="Q65" s="131" t="s">
        <v>150</v>
      </c>
      <c r="R65" s="131"/>
      <c r="S65" s="71" t="s">
        <v>369</v>
      </c>
      <c r="T65" s="72" t="s">
        <v>88</v>
      </c>
      <c r="U65" s="72" t="s">
        <v>88</v>
      </c>
      <c r="V65" s="73"/>
      <c r="W65" s="74"/>
      <c r="X65" s="75"/>
    </row>
    <row r="66" spans="1:24" ht="15" customHeight="1" thickBot="1" x14ac:dyDescent="0.3">
      <c r="A66" s="67" t="s">
        <v>13394</v>
      </c>
      <c r="B66" s="68" t="s">
        <v>90</v>
      </c>
      <c r="C66" s="67" t="s">
        <v>34</v>
      </c>
      <c r="D66" s="69" t="s">
        <v>375</v>
      </c>
      <c r="E66" s="67" t="s">
        <v>371</v>
      </c>
      <c r="F66" s="67" t="s">
        <v>372</v>
      </c>
      <c r="G66" s="70"/>
      <c r="H66" s="67" t="s">
        <v>373</v>
      </c>
      <c r="I66" s="67"/>
      <c r="J66" s="67"/>
      <c r="K66" s="67" t="s">
        <v>85</v>
      </c>
      <c r="L66" s="130">
        <v>2</v>
      </c>
      <c r="M66" s="70" t="s">
        <v>105</v>
      </c>
      <c r="N66" s="137" t="s">
        <v>374</v>
      </c>
      <c r="O66" s="67"/>
      <c r="P66" s="67"/>
      <c r="Q66" s="131" t="s">
        <v>150</v>
      </c>
      <c r="R66" s="131"/>
      <c r="S66" s="71" t="s">
        <v>369</v>
      </c>
      <c r="T66" s="72" t="s">
        <v>88</v>
      </c>
      <c r="U66" s="72" t="s">
        <v>88</v>
      </c>
      <c r="V66" s="73"/>
      <c r="W66" s="74"/>
      <c r="X66" s="75"/>
    </row>
    <row r="67" spans="1:24" ht="15" customHeight="1" thickBot="1" x14ac:dyDescent="0.3">
      <c r="A67" s="67" t="s">
        <v>13394</v>
      </c>
      <c r="B67" s="68" t="s">
        <v>90</v>
      </c>
      <c r="C67" s="67" t="s">
        <v>34</v>
      </c>
      <c r="D67" s="69" t="s">
        <v>379</v>
      </c>
      <c r="E67" s="67" t="s">
        <v>376</v>
      </c>
      <c r="F67" s="67" t="s">
        <v>377</v>
      </c>
      <c r="G67" s="70"/>
      <c r="H67" s="67" t="s">
        <v>378</v>
      </c>
      <c r="I67" s="67"/>
      <c r="J67" s="67"/>
      <c r="K67" s="67" t="s">
        <v>140</v>
      </c>
      <c r="L67" s="130">
        <v>10</v>
      </c>
      <c r="M67" s="70" t="s">
        <v>141</v>
      </c>
      <c r="N67" s="137"/>
      <c r="O67" s="67"/>
      <c r="P67" s="67"/>
      <c r="Q67" s="131" t="s">
        <v>150</v>
      </c>
      <c r="R67" s="131"/>
      <c r="S67" s="71" t="s">
        <v>369</v>
      </c>
      <c r="T67" s="72" t="s">
        <v>88</v>
      </c>
      <c r="U67" s="72" t="s">
        <v>88</v>
      </c>
      <c r="V67" s="73"/>
      <c r="W67" s="74"/>
      <c r="X67" s="75"/>
    </row>
    <row r="68" spans="1:24" ht="15" customHeight="1" thickBot="1" x14ac:dyDescent="0.3">
      <c r="A68" s="67" t="s">
        <v>13394</v>
      </c>
      <c r="B68" s="68" t="s">
        <v>90</v>
      </c>
      <c r="C68" s="67" t="s">
        <v>34</v>
      </c>
      <c r="D68" s="69" t="s">
        <v>383</v>
      </c>
      <c r="E68" s="67" t="s">
        <v>380</v>
      </c>
      <c r="F68" s="67" t="s">
        <v>381</v>
      </c>
      <c r="G68" s="70"/>
      <c r="H68" s="67" t="s">
        <v>382</v>
      </c>
      <c r="I68" s="67"/>
      <c r="J68" s="67"/>
      <c r="K68" s="67" t="s">
        <v>85</v>
      </c>
      <c r="L68" s="130">
        <v>2</v>
      </c>
      <c r="M68" s="70" t="s">
        <v>105</v>
      </c>
      <c r="N68" s="137" t="s">
        <v>374</v>
      </c>
      <c r="O68" s="67"/>
      <c r="P68" s="67"/>
      <c r="Q68" s="131" t="s">
        <v>150</v>
      </c>
      <c r="R68" s="131"/>
      <c r="S68" s="71" t="s">
        <v>369</v>
      </c>
      <c r="T68" s="72" t="s">
        <v>88</v>
      </c>
      <c r="U68" s="72" t="s">
        <v>88</v>
      </c>
      <c r="V68" s="73"/>
      <c r="W68" s="74"/>
      <c r="X68" s="75"/>
    </row>
    <row r="69" spans="1:24" ht="15" customHeight="1" thickBot="1" x14ac:dyDescent="0.3">
      <c r="A69" s="67" t="s">
        <v>13394</v>
      </c>
      <c r="B69" s="68" t="s">
        <v>90</v>
      </c>
      <c r="C69" s="67" t="s">
        <v>34</v>
      </c>
      <c r="D69" s="69" t="s">
        <v>388</v>
      </c>
      <c r="E69" s="67" t="s">
        <v>384</v>
      </c>
      <c r="F69" s="67" t="s">
        <v>385</v>
      </c>
      <c r="G69" s="70"/>
      <c r="H69" s="67" t="s">
        <v>386</v>
      </c>
      <c r="I69" s="67"/>
      <c r="J69" s="67"/>
      <c r="K69" s="67" t="s">
        <v>387</v>
      </c>
      <c r="L69" s="130">
        <v>10</v>
      </c>
      <c r="M69" s="70" t="s">
        <v>141</v>
      </c>
      <c r="N69" s="137"/>
      <c r="O69" s="67"/>
      <c r="P69" s="67"/>
      <c r="Q69" s="131" t="s">
        <v>150</v>
      </c>
      <c r="R69" s="131"/>
      <c r="S69" s="71" t="s">
        <v>369</v>
      </c>
      <c r="T69" s="72" t="s">
        <v>88</v>
      </c>
      <c r="U69" s="72" t="s">
        <v>88</v>
      </c>
      <c r="V69" s="73"/>
      <c r="W69" s="74"/>
      <c r="X69" s="75"/>
    </row>
    <row r="70" spans="1:24" ht="15" customHeight="1" thickBot="1" x14ac:dyDescent="0.3">
      <c r="A70" s="67" t="s">
        <v>13394</v>
      </c>
      <c r="B70" s="68" t="s">
        <v>90</v>
      </c>
      <c r="C70" s="67" t="s">
        <v>34</v>
      </c>
      <c r="D70" s="69" t="s">
        <v>393</v>
      </c>
      <c r="E70" s="67" t="s">
        <v>389</v>
      </c>
      <c r="F70" s="67" t="s">
        <v>390</v>
      </c>
      <c r="G70" s="70"/>
      <c r="H70" s="67" t="s">
        <v>391</v>
      </c>
      <c r="I70" s="67"/>
      <c r="J70" s="67"/>
      <c r="K70" s="67" t="s">
        <v>85</v>
      </c>
      <c r="L70" s="130">
        <v>2</v>
      </c>
      <c r="M70" s="70" t="s">
        <v>105</v>
      </c>
      <c r="N70" s="137" t="s">
        <v>392</v>
      </c>
      <c r="O70" s="67"/>
      <c r="P70" s="67"/>
      <c r="Q70" s="131" t="s">
        <v>150</v>
      </c>
      <c r="R70" s="131"/>
      <c r="S70" s="71" t="s">
        <v>369</v>
      </c>
      <c r="T70" s="72" t="s">
        <v>88</v>
      </c>
      <c r="U70" s="72" t="s">
        <v>88</v>
      </c>
      <c r="V70" s="73"/>
      <c r="W70" s="74"/>
      <c r="X70" s="75"/>
    </row>
    <row r="71" spans="1:24" ht="15" customHeight="1" thickBot="1" x14ac:dyDescent="0.3">
      <c r="A71" s="67" t="s">
        <v>13394</v>
      </c>
      <c r="B71" s="68" t="s">
        <v>90</v>
      </c>
      <c r="C71" s="67" t="s">
        <v>34</v>
      </c>
      <c r="D71" s="69" t="s">
        <v>397</v>
      </c>
      <c r="E71" s="67" t="s">
        <v>394</v>
      </c>
      <c r="F71" s="67" t="s">
        <v>395</v>
      </c>
      <c r="G71" s="70"/>
      <c r="H71" s="67" t="s">
        <v>396</v>
      </c>
      <c r="I71" s="67"/>
      <c r="J71" s="67"/>
      <c r="K71" s="67" t="s">
        <v>140</v>
      </c>
      <c r="L71" s="130">
        <v>10</v>
      </c>
      <c r="M71" s="70" t="s">
        <v>141</v>
      </c>
      <c r="N71" s="250"/>
      <c r="O71" s="67"/>
      <c r="P71" s="67"/>
      <c r="Q71" s="131" t="s">
        <v>150</v>
      </c>
      <c r="R71" s="131"/>
      <c r="S71" s="71" t="s">
        <v>369</v>
      </c>
      <c r="T71" s="72" t="s">
        <v>88</v>
      </c>
      <c r="U71" s="72" t="s">
        <v>88</v>
      </c>
      <c r="V71" s="73"/>
      <c r="W71" s="74"/>
      <c r="X71" s="75"/>
    </row>
    <row r="72" spans="1:24" ht="15" customHeight="1" thickBot="1" x14ac:dyDescent="0.3">
      <c r="A72" s="67" t="s">
        <v>13394</v>
      </c>
      <c r="B72" s="68" t="s">
        <v>90</v>
      </c>
      <c r="C72" s="67" t="s">
        <v>34</v>
      </c>
      <c r="D72" s="69" t="s">
        <v>747</v>
      </c>
      <c r="E72" s="67" t="s">
        <v>398</v>
      </c>
      <c r="F72" s="67" t="s">
        <v>399</v>
      </c>
      <c r="G72" s="70"/>
      <c r="H72" s="67" t="s">
        <v>400</v>
      </c>
      <c r="I72" s="67"/>
      <c r="J72" s="67"/>
      <c r="K72" s="67" t="s">
        <v>85</v>
      </c>
      <c r="L72" s="130">
        <v>2</v>
      </c>
      <c r="M72" s="70" t="s">
        <v>105</v>
      </c>
      <c r="N72" s="137" t="s">
        <v>392</v>
      </c>
      <c r="O72" s="67"/>
      <c r="P72" s="67"/>
      <c r="Q72" s="131" t="s">
        <v>150</v>
      </c>
      <c r="R72" s="131"/>
      <c r="S72" s="71" t="s">
        <v>369</v>
      </c>
      <c r="T72" s="72" t="s">
        <v>88</v>
      </c>
      <c r="U72" s="72" t="s">
        <v>88</v>
      </c>
      <c r="V72" s="73"/>
      <c r="W72" s="74"/>
      <c r="X72" s="75"/>
    </row>
    <row r="73" spans="1:24" s="66" customFormat="1" ht="15" customHeight="1" thickBot="1" x14ac:dyDescent="0.3">
      <c r="A73" s="19" t="s">
        <v>13394</v>
      </c>
      <c r="B73" s="76" t="s">
        <v>95</v>
      </c>
      <c r="C73" s="19" t="s">
        <v>35</v>
      </c>
      <c r="D73" s="77" t="s">
        <v>80</v>
      </c>
      <c r="E73" s="19" t="s">
        <v>60</v>
      </c>
      <c r="F73" s="60" t="s">
        <v>61</v>
      </c>
      <c r="G73" s="19"/>
      <c r="H73" s="19" t="s">
        <v>63</v>
      </c>
      <c r="I73" s="19"/>
      <c r="J73" s="19"/>
      <c r="K73" s="19"/>
      <c r="L73" s="19"/>
      <c r="M73" s="61"/>
      <c r="N73" s="19"/>
      <c r="O73" s="19"/>
      <c r="P73" s="19"/>
      <c r="Q73" s="62"/>
      <c r="R73" s="62"/>
      <c r="S73" s="19"/>
      <c r="T73" s="19"/>
      <c r="U73" s="19"/>
      <c r="V73" s="19"/>
      <c r="W73" s="19"/>
      <c r="X73" s="62"/>
    </row>
    <row r="74" spans="1:24" ht="15" customHeight="1" thickBot="1" x14ac:dyDescent="0.3">
      <c r="A74" s="67" t="s">
        <v>13394</v>
      </c>
      <c r="B74" s="68" t="s">
        <v>95</v>
      </c>
      <c r="C74" s="67" t="s">
        <v>35</v>
      </c>
      <c r="D74" s="69" t="s">
        <v>81</v>
      </c>
      <c r="E74" s="67" t="s">
        <v>165</v>
      </c>
      <c r="F74" s="67" t="s">
        <v>166</v>
      </c>
      <c r="G74" s="70"/>
      <c r="H74" s="67" t="s">
        <v>167</v>
      </c>
      <c r="I74" s="67"/>
      <c r="J74" s="67"/>
      <c r="K74" s="67" t="s">
        <v>160</v>
      </c>
      <c r="L74" s="130">
        <v>9</v>
      </c>
      <c r="M74" s="70"/>
      <c r="N74" s="137"/>
      <c r="O74" s="67"/>
      <c r="P74" s="67"/>
      <c r="Q74" s="131" t="s">
        <v>72</v>
      </c>
      <c r="R74" s="131"/>
      <c r="S74" s="71" t="s">
        <v>401</v>
      </c>
      <c r="T74" s="72" t="s">
        <v>88</v>
      </c>
      <c r="U74" s="72" t="s">
        <v>88</v>
      </c>
      <c r="V74" s="73"/>
      <c r="W74" s="74"/>
      <c r="X74" s="75"/>
    </row>
    <row r="75" spans="1:24" ht="15" customHeight="1" thickBot="1" x14ac:dyDescent="0.3">
      <c r="A75" s="67" t="s">
        <v>13394</v>
      </c>
      <c r="B75" s="68" t="s">
        <v>95</v>
      </c>
      <c r="C75" s="67" t="s">
        <v>35</v>
      </c>
      <c r="D75" s="69" t="s">
        <v>90</v>
      </c>
      <c r="E75" s="67" t="s">
        <v>82</v>
      </c>
      <c r="F75" s="67" t="s">
        <v>83</v>
      </c>
      <c r="G75" s="70"/>
      <c r="H75" s="67" t="s">
        <v>402</v>
      </c>
      <c r="I75" s="67"/>
      <c r="J75" s="67"/>
      <c r="K75" s="67" t="s">
        <v>85</v>
      </c>
      <c r="L75" s="130">
        <v>4</v>
      </c>
      <c r="M75" s="70" t="s">
        <v>403</v>
      </c>
      <c r="N75" s="137" t="s">
        <v>86</v>
      </c>
      <c r="O75" s="67"/>
      <c r="P75" s="67"/>
      <c r="Q75" s="131" t="s">
        <v>72</v>
      </c>
      <c r="R75" s="131"/>
      <c r="S75" s="71" t="s">
        <v>404</v>
      </c>
      <c r="T75" s="72" t="s">
        <v>88</v>
      </c>
      <c r="U75" s="72" t="s">
        <v>88</v>
      </c>
      <c r="V75" s="73"/>
      <c r="W75" s="74"/>
      <c r="X75" s="75"/>
    </row>
    <row r="76" spans="1:24" ht="15" customHeight="1" thickBot="1" x14ac:dyDescent="0.3">
      <c r="A76" s="67" t="s">
        <v>13394</v>
      </c>
      <c r="B76" s="68" t="s">
        <v>95</v>
      </c>
      <c r="C76" s="67" t="s">
        <v>35</v>
      </c>
      <c r="D76" s="69" t="s">
        <v>95</v>
      </c>
      <c r="E76" s="67" t="s">
        <v>91</v>
      </c>
      <c r="F76" s="67" t="s">
        <v>92</v>
      </c>
      <c r="G76" s="70"/>
      <c r="H76" s="67" t="s">
        <v>405</v>
      </c>
      <c r="I76" s="67"/>
      <c r="J76" s="67"/>
      <c r="K76" s="67" t="s">
        <v>85</v>
      </c>
      <c r="L76" s="130">
        <v>6</v>
      </c>
      <c r="M76" s="70" t="s">
        <v>406</v>
      </c>
      <c r="N76" s="137" t="s">
        <v>91</v>
      </c>
      <c r="O76" s="67"/>
      <c r="P76" s="67"/>
      <c r="Q76" s="131" t="s">
        <v>72</v>
      </c>
      <c r="R76" s="131"/>
      <c r="S76" s="71" t="s">
        <v>407</v>
      </c>
      <c r="T76" s="72" t="s">
        <v>114</v>
      </c>
      <c r="U76" s="72" t="s">
        <v>88</v>
      </c>
      <c r="V76" s="73"/>
      <c r="W76" s="74"/>
      <c r="X76" s="75"/>
    </row>
    <row r="77" spans="1:24" ht="15" customHeight="1" thickBot="1" x14ac:dyDescent="0.3">
      <c r="A77" s="67" t="s">
        <v>13394</v>
      </c>
      <c r="B77" s="68" t="s">
        <v>95</v>
      </c>
      <c r="C77" s="67" t="s">
        <v>35</v>
      </c>
      <c r="D77" s="69" t="s">
        <v>101</v>
      </c>
      <c r="E77" s="67" t="s">
        <v>122</v>
      </c>
      <c r="F77" s="67" t="s">
        <v>123</v>
      </c>
      <c r="G77" s="70"/>
      <c r="H77" s="67" t="s">
        <v>124</v>
      </c>
      <c r="I77" s="67"/>
      <c r="J77" s="67"/>
      <c r="K77" s="67" t="s">
        <v>125</v>
      </c>
      <c r="L77" s="130">
        <v>15</v>
      </c>
      <c r="M77" s="70" t="s">
        <v>408</v>
      </c>
      <c r="N77" s="137"/>
      <c r="O77" s="67"/>
      <c r="P77" s="67"/>
      <c r="Q77" s="131" t="s">
        <v>72</v>
      </c>
      <c r="R77" s="131"/>
      <c r="S77" s="71" t="s">
        <v>126</v>
      </c>
      <c r="T77" s="72" t="s">
        <v>114</v>
      </c>
      <c r="U77" s="72" t="s">
        <v>88</v>
      </c>
      <c r="V77" s="73"/>
      <c r="W77" s="74"/>
      <c r="X77" s="75"/>
    </row>
    <row r="78" spans="1:24" ht="15" customHeight="1" thickBot="1" x14ac:dyDescent="0.3">
      <c r="A78" s="67" t="s">
        <v>13394</v>
      </c>
      <c r="B78" s="68" t="s">
        <v>95</v>
      </c>
      <c r="C78" s="67" t="s">
        <v>35</v>
      </c>
      <c r="D78" s="69" t="s">
        <v>107</v>
      </c>
      <c r="E78" s="67" t="s">
        <v>128</v>
      </c>
      <c r="F78" s="67" t="s">
        <v>129</v>
      </c>
      <c r="G78" s="70"/>
      <c r="H78" s="67" t="s">
        <v>409</v>
      </c>
      <c r="I78" s="67"/>
      <c r="J78" s="67"/>
      <c r="K78" s="67" t="s">
        <v>125</v>
      </c>
      <c r="L78" s="130">
        <v>25</v>
      </c>
      <c r="M78" s="70" t="s">
        <v>410</v>
      </c>
      <c r="N78" s="137"/>
      <c r="O78" s="67"/>
      <c r="P78" s="67"/>
      <c r="Q78" s="131" t="s">
        <v>72</v>
      </c>
      <c r="R78" s="131"/>
      <c r="S78" s="71" t="s">
        <v>131</v>
      </c>
      <c r="T78" s="72" t="s">
        <v>114</v>
      </c>
      <c r="U78" s="72" t="s">
        <v>88</v>
      </c>
      <c r="V78" s="73"/>
      <c r="W78" s="74"/>
      <c r="X78" s="75"/>
    </row>
    <row r="79" spans="1:24" ht="15" customHeight="1" thickBot="1" x14ac:dyDescent="0.3">
      <c r="A79" s="67" t="s">
        <v>13394</v>
      </c>
      <c r="B79" s="68" t="s">
        <v>95</v>
      </c>
      <c r="C79" s="67" t="s">
        <v>35</v>
      </c>
      <c r="D79" s="69" t="s">
        <v>116</v>
      </c>
      <c r="E79" s="67" t="s">
        <v>133</v>
      </c>
      <c r="F79" s="67" t="s">
        <v>134</v>
      </c>
      <c r="G79" s="70"/>
      <c r="H79" s="67" t="s">
        <v>411</v>
      </c>
      <c r="I79" s="67"/>
      <c r="J79" s="67"/>
      <c r="K79" s="67" t="s">
        <v>125</v>
      </c>
      <c r="L79" s="130">
        <v>50</v>
      </c>
      <c r="M79" s="70"/>
      <c r="N79" s="137"/>
      <c r="O79" s="67"/>
      <c r="P79" s="67"/>
      <c r="Q79" s="131" t="s">
        <v>72</v>
      </c>
      <c r="R79" s="131"/>
      <c r="S79" s="71" t="s">
        <v>126</v>
      </c>
      <c r="T79" s="72" t="s">
        <v>114</v>
      </c>
      <c r="U79" s="72" t="s">
        <v>88</v>
      </c>
      <c r="V79" s="73"/>
      <c r="W79" s="74"/>
      <c r="X79" s="75"/>
    </row>
    <row r="80" spans="1:24" ht="15" customHeight="1" thickBot="1" x14ac:dyDescent="0.3">
      <c r="A80" s="67" t="s">
        <v>13394</v>
      </c>
      <c r="B80" s="68" t="s">
        <v>95</v>
      </c>
      <c r="C80" s="67" t="s">
        <v>35</v>
      </c>
      <c r="D80" s="69" t="s">
        <v>121</v>
      </c>
      <c r="E80" s="67" t="s">
        <v>412</v>
      </c>
      <c r="F80" s="67" t="s">
        <v>413</v>
      </c>
      <c r="G80" s="70"/>
      <c r="H80" s="67" t="s">
        <v>414</v>
      </c>
      <c r="I80" s="67"/>
      <c r="J80" s="67"/>
      <c r="K80" s="67" t="s">
        <v>140</v>
      </c>
      <c r="L80" s="130"/>
      <c r="M80" s="70" t="s">
        <v>141</v>
      </c>
      <c r="N80" s="137"/>
      <c r="O80" s="67"/>
      <c r="P80" s="67"/>
      <c r="Q80" s="131" t="s">
        <v>72</v>
      </c>
      <c r="R80" s="131"/>
      <c r="S80" s="71" t="s">
        <v>404</v>
      </c>
      <c r="T80" s="72" t="s">
        <v>114</v>
      </c>
      <c r="U80" s="72" t="s">
        <v>88</v>
      </c>
      <c r="V80" s="73"/>
      <c r="W80" s="74"/>
      <c r="X80" s="75"/>
    </row>
    <row r="81" spans="1:24" ht="15" customHeight="1" thickBot="1" x14ac:dyDescent="0.3">
      <c r="A81" s="67" t="s">
        <v>13394</v>
      </c>
      <c r="B81" s="68" t="s">
        <v>95</v>
      </c>
      <c r="C81" s="67" t="s">
        <v>35</v>
      </c>
      <c r="D81" s="69" t="s">
        <v>127</v>
      </c>
      <c r="E81" s="67" t="s">
        <v>415</v>
      </c>
      <c r="F81" s="67" t="s">
        <v>416</v>
      </c>
      <c r="G81" s="70"/>
      <c r="H81" s="67" t="s">
        <v>417</v>
      </c>
      <c r="I81" s="67"/>
      <c r="J81" s="67"/>
      <c r="K81" s="67" t="s">
        <v>140</v>
      </c>
      <c r="L81" s="130"/>
      <c r="M81" s="70" t="s">
        <v>141</v>
      </c>
      <c r="N81" s="250"/>
      <c r="O81" s="67"/>
      <c r="P81" s="67"/>
      <c r="Q81" s="131" t="s">
        <v>180</v>
      </c>
      <c r="R81" s="131"/>
      <c r="S81" s="71" t="s">
        <v>404</v>
      </c>
      <c r="T81" s="72" t="s">
        <v>114</v>
      </c>
      <c r="U81" s="72" t="s">
        <v>88</v>
      </c>
      <c r="V81" s="73"/>
      <c r="W81" s="74"/>
      <c r="X81" s="75"/>
    </row>
    <row r="82" spans="1:24" ht="15" customHeight="1" thickBot="1" x14ac:dyDescent="0.3">
      <c r="A82" s="67" t="s">
        <v>13394</v>
      </c>
      <c r="B82" s="68" t="s">
        <v>95</v>
      </c>
      <c r="C82" s="67" t="s">
        <v>35</v>
      </c>
      <c r="D82" s="69" t="s">
        <v>132</v>
      </c>
      <c r="E82" s="67" t="s">
        <v>418</v>
      </c>
      <c r="F82" s="67" t="s">
        <v>419</v>
      </c>
      <c r="G82" s="70"/>
      <c r="H82" s="67" t="s">
        <v>420</v>
      </c>
      <c r="I82" s="67"/>
      <c r="J82" s="67"/>
      <c r="K82" s="67" t="s">
        <v>85</v>
      </c>
      <c r="L82" s="130">
        <v>2</v>
      </c>
      <c r="M82" s="70" t="s">
        <v>105</v>
      </c>
      <c r="N82" s="137" t="s">
        <v>418</v>
      </c>
      <c r="O82" s="67"/>
      <c r="P82" s="67"/>
      <c r="Q82" s="131" t="s">
        <v>150</v>
      </c>
      <c r="R82" s="131"/>
      <c r="S82" s="71" t="s">
        <v>421</v>
      </c>
      <c r="T82" s="72" t="s">
        <v>114</v>
      </c>
      <c r="U82" s="72" t="s">
        <v>88</v>
      </c>
      <c r="V82" s="73"/>
      <c r="W82" s="74"/>
      <c r="X82" s="75"/>
    </row>
    <row r="83" spans="1:24" ht="15" customHeight="1" thickBot="1" x14ac:dyDescent="0.3">
      <c r="A83" s="67" t="s">
        <v>13394</v>
      </c>
      <c r="B83" s="68" t="s">
        <v>95</v>
      </c>
      <c r="C83" s="67" t="s">
        <v>35</v>
      </c>
      <c r="D83" s="69" t="s">
        <v>136</v>
      </c>
      <c r="E83" s="67" t="s">
        <v>422</v>
      </c>
      <c r="F83" s="67" t="s">
        <v>423</v>
      </c>
      <c r="G83" s="70"/>
      <c r="H83" s="67" t="s">
        <v>424</v>
      </c>
      <c r="I83" s="67"/>
      <c r="J83" s="67"/>
      <c r="K83" s="67" t="s">
        <v>246</v>
      </c>
      <c r="L83" s="130">
        <v>5</v>
      </c>
      <c r="M83" s="70">
        <v>99.99</v>
      </c>
      <c r="N83" s="137"/>
      <c r="O83" s="225" t="s">
        <v>80</v>
      </c>
      <c r="P83" s="253" t="s">
        <v>13376</v>
      </c>
      <c r="Q83" s="131" t="s">
        <v>72</v>
      </c>
      <c r="R83" s="131"/>
      <c r="S83" s="71" t="s">
        <v>425</v>
      </c>
      <c r="T83" s="72" t="s">
        <v>114</v>
      </c>
      <c r="U83" s="72" t="s">
        <v>88</v>
      </c>
      <c r="V83" s="73"/>
      <c r="W83" s="74"/>
      <c r="X83" s="75"/>
    </row>
    <row r="84" spans="1:24" ht="15" customHeight="1" thickBot="1" x14ac:dyDescent="0.3">
      <c r="A84" s="67" t="s">
        <v>13394</v>
      </c>
      <c r="B84" s="68" t="s">
        <v>95</v>
      </c>
      <c r="C84" s="67" t="s">
        <v>35</v>
      </c>
      <c r="D84" s="69" t="s">
        <v>142</v>
      </c>
      <c r="E84" s="67" t="s">
        <v>426</v>
      </c>
      <c r="F84" s="67" t="s">
        <v>427</v>
      </c>
      <c r="G84" s="70"/>
      <c r="H84" s="67" t="s">
        <v>428</v>
      </c>
      <c r="I84" s="67"/>
      <c r="J84" s="67"/>
      <c r="K84" s="67" t="s">
        <v>246</v>
      </c>
      <c r="L84" s="130">
        <v>5</v>
      </c>
      <c r="M84" s="70">
        <v>99.99</v>
      </c>
      <c r="N84" s="137"/>
      <c r="O84" s="67" t="s">
        <v>80</v>
      </c>
      <c r="P84" s="254" t="s">
        <v>13376</v>
      </c>
      <c r="Q84" s="131" t="s">
        <v>150</v>
      </c>
      <c r="R84" s="131"/>
      <c r="S84" s="71" t="s">
        <v>425</v>
      </c>
      <c r="T84" s="72" t="s">
        <v>114</v>
      </c>
      <c r="U84" s="72" t="s">
        <v>88</v>
      </c>
      <c r="V84" s="73"/>
      <c r="W84" s="74"/>
      <c r="X84" s="75"/>
    </row>
    <row r="85" spans="1:24" ht="15" customHeight="1" thickBot="1" x14ac:dyDescent="0.3">
      <c r="A85" s="67" t="s">
        <v>13394</v>
      </c>
      <c r="B85" s="68" t="s">
        <v>95</v>
      </c>
      <c r="C85" s="67" t="s">
        <v>35</v>
      </c>
      <c r="D85" s="69" t="s">
        <v>146</v>
      </c>
      <c r="E85" s="67" t="s">
        <v>430</v>
      </c>
      <c r="F85" s="67" t="s">
        <v>431</v>
      </c>
      <c r="G85" s="70"/>
      <c r="H85" s="67" t="s">
        <v>432</v>
      </c>
      <c r="I85" s="67"/>
      <c r="J85" s="67"/>
      <c r="K85" s="67" t="s">
        <v>85</v>
      </c>
      <c r="L85" s="130">
        <v>1</v>
      </c>
      <c r="M85" s="70" t="s">
        <v>99</v>
      </c>
      <c r="N85" s="137" t="s">
        <v>195</v>
      </c>
      <c r="O85" s="67"/>
      <c r="P85" s="67"/>
      <c r="Q85" s="131" t="s">
        <v>150</v>
      </c>
      <c r="R85" s="131"/>
      <c r="S85" s="71"/>
      <c r="T85" s="72"/>
      <c r="U85" s="72"/>
      <c r="V85" s="73"/>
      <c r="W85" s="74"/>
      <c r="X85" s="75"/>
    </row>
    <row r="86" spans="1:24" ht="15" customHeight="1" thickBot="1" x14ac:dyDescent="0.3">
      <c r="A86" s="67" t="s">
        <v>13394</v>
      </c>
      <c r="B86" s="68" t="s">
        <v>95</v>
      </c>
      <c r="C86" s="67" t="s">
        <v>35</v>
      </c>
      <c r="D86" s="69" t="s">
        <v>152</v>
      </c>
      <c r="E86" s="67" t="s">
        <v>433</v>
      </c>
      <c r="F86" s="67" t="s">
        <v>434</v>
      </c>
      <c r="G86" s="70"/>
      <c r="H86" s="67" t="s">
        <v>435</v>
      </c>
      <c r="I86" s="67"/>
      <c r="J86" s="67"/>
      <c r="K86" s="67" t="s">
        <v>125</v>
      </c>
      <c r="L86" s="130">
        <v>4</v>
      </c>
      <c r="M86" s="70" t="s">
        <v>436</v>
      </c>
      <c r="N86" s="137"/>
      <c r="O86" s="67"/>
      <c r="P86" s="67"/>
      <c r="Q86" s="131" t="s">
        <v>150</v>
      </c>
      <c r="R86" s="131"/>
      <c r="S86" s="71" t="s">
        <v>425</v>
      </c>
      <c r="T86" s="72" t="s">
        <v>114</v>
      </c>
      <c r="U86" s="72" t="s">
        <v>88</v>
      </c>
      <c r="V86" s="73"/>
      <c r="W86" s="74"/>
      <c r="X86" s="75"/>
    </row>
    <row r="87" spans="1:24" ht="15" customHeight="1" thickBot="1" x14ac:dyDescent="0.3">
      <c r="A87" s="67" t="s">
        <v>13394</v>
      </c>
      <c r="B87" s="68" t="s">
        <v>95</v>
      </c>
      <c r="C87" s="67" t="s">
        <v>35</v>
      </c>
      <c r="D87" s="69" t="s">
        <v>156</v>
      </c>
      <c r="E87" s="67" t="s">
        <v>437</v>
      </c>
      <c r="F87" s="67" t="s">
        <v>438</v>
      </c>
      <c r="G87" s="70"/>
      <c r="H87" s="67" t="s">
        <v>439</v>
      </c>
      <c r="I87" s="67"/>
      <c r="J87" s="67"/>
      <c r="K87" s="67" t="s">
        <v>85</v>
      </c>
      <c r="L87" s="130">
        <v>1</v>
      </c>
      <c r="M87" s="70" t="s">
        <v>99</v>
      </c>
      <c r="N87" s="137" t="s">
        <v>195</v>
      </c>
      <c r="O87" s="67"/>
      <c r="P87" s="67"/>
      <c r="Q87" s="131" t="s">
        <v>150</v>
      </c>
      <c r="R87" s="131"/>
      <c r="S87" s="71" t="s">
        <v>425</v>
      </c>
      <c r="T87" s="72" t="s">
        <v>88</v>
      </c>
      <c r="U87" s="72" t="s">
        <v>88</v>
      </c>
      <c r="V87" s="73"/>
      <c r="W87" s="74"/>
      <c r="X87" s="75"/>
    </row>
    <row r="88" spans="1:24" ht="15" customHeight="1" thickBot="1" x14ac:dyDescent="0.3">
      <c r="A88" s="67" t="s">
        <v>13394</v>
      </c>
      <c r="B88" s="68" t="s">
        <v>95</v>
      </c>
      <c r="C88" s="67" t="s">
        <v>35</v>
      </c>
      <c r="D88" s="69" t="s">
        <v>161</v>
      </c>
      <c r="E88" s="67" t="s">
        <v>440</v>
      </c>
      <c r="F88" s="67" t="s">
        <v>441</v>
      </c>
      <c r="G88" s="70"/>
      <c r="H88" s="67" t="s">
        <v>442</v>
      </c>
      <c r="I88" s="67"/>
      <c r="J88" s="67"/>
      <c r="K88" s="67" t="s">
        <v>85</v>
      </c>
      <c r="L88" s="130">
        <v>1</v>
      </c>
      <c r="M88" s="70" t="s">
        <v>99</v>
      </c>
      <c r="N88" s="137" t="s">
        <v>195</v>
      </c>
      <c r="O88" s="67"/>
      <c r="P88" s="67"/>
      <c r="Q88" s="131" t="s">
        <v>150</v>
      </c>
      <c r="R88" s="131"/>
      <c r="S88" s="71" t="s">
        <v>425</v>
      </c>
      <c r="T88" s="72" t="s">
        <v>88</v>
      </c>
      <c r="U88" s="72" t="s">
        <v>88</v>
      </c>
      <c r="V88" s="73"/>
      <c r="W88" s="74" t="s">
        <v>443</v>
      </c>
      <c r="X88" s="75"/>
    </row>
    <row r="89" spans="1:24" ht="15" customHeight="1" thickBot="1" x14ac:dyDescent="0.3">
      <c r="A89" s="67" t="s">
        <v>13394</v>
      </c>
      <c r="B89" s="68" t="s">
        <v>95</v>
      </c>
      <c r="C89" s="67" t="s">
        <v>35</v>
      </c>
      <c r="D89" s="69" t="s">
        <v>218</v>
      </c>
      <c r="E89" s="67" t="s">
        <v>444</v>
      </c>
      <c r="F89" s="67" t="s">
        <v>445</v>
      </c>
      <c r="G89" s="70"/>
      <c r="H89" s="67" t="s">
        <v>446</v>
      </c>
      <c r="I89" s="67"/>
      <c r="J89" s="67"/>
      <c r="K89" s="67" t="s">
        <v>246</v>
      </c>
      <c r="L89" s="130">
        <v>5</v>
      </c>
      <c r="M89" s="70">
        <v>99.99</v>
      </c>
      <c r="N89" s="137"/>
      <c r="O89" s="225" t="s">
        <v>80</v>
      </c>
      <c r="P89" s="253" t="s">
        <v>13377</v>
      </c>
      <c r="Q89" s="131" t="s">
        <v>150</v>
      </c>
      <c r="R89" s="131"/>
      <c r="S89" s="71" t="s">
        <v>425</v>
      </c>
      <c r="T89" s="72" t="s">
        <v>88</v>
      </c>
      <c r="U89" s="72" t="s">
        <v>88</v>
      </c>
      <c r="V89" s="73"/>
      <c r="W89" s="74" t="s">
        <v>443</v>
      </c>
      <c r="X89" s="75"/>
    </row>
    <row r="90" spans="1:24" ht="15" customHeight="1" thickBot="1" x14ac:dyDescent="0.3">
      <c r="A90" s="67" t="s">
        <v>13394</v>
      </c>
      <c r="B90" s="68" t="s">
        <v>95</v>
      </c>
      <c r="C90" s="67" t="s">
        <v>35</v>
      </c>
      <c r="D90" s="69" t="s">
        <v>224</v>
      </c>
      <c r="E90" s="67" t="s">
        <v>447</v>
      </c>
      <c r="F90" s="67" t="s">
        <v>448</v>
      </c>
      <c r="G90" s="70"/>
      <c r="H90" s="67" t="s">
        <v>449</v>
      </c>
      <c r="I90" s="67"/>
      <c r="J90" s="67"/>
      <c r="K90" s="67" t="s">
        <v>85</v>
      </c>
      <c r="L90" s="130">
        <v>4</v>
      </c>
      <c r="M90" s="70" t="s">
        <v>403</v>
      </c>
      <c r="N90" s="137" t="s">
        <v>450</v>
      </c>
      <c r="O90" s="67"/>
      <c r="P90" s="67"/>
      <c r="Q90" s="131" t="s">
        <v>150</v>
      </c>
      <c r="R90" s="131"/>
      <c r="S90" s="71" t="s">
        <v>425</v>
      </c>
      <c r="T90" s="72" t="s">
        <v>88</v>
      </c>
      <c r="U90" s="72" t="s">
        <v>88</v>
      </c>
      <c r="V90" s="73"/>
      <c r="W90" s="74" t="s">
        <v>443</v>
      </c>
      <c r="X90" s="75"/>
    </row>
    <row r="91" spans="1:24" s="66" customFormat="1" ht="15" customHeight="1" thickBot="1" x14ac:dyDescent="0.3">
      <c r="A91" s="19" t="s">
        <v>13394</v>
      </c>
      <c r="B91" s="76" t="s">
        <v>101</v>
      </c>
      <c r="C91" s="19" t="s">
        <v>451</v>
      </c>
      <c r="D91" s="77" t="s">
        <v>80</v>
      </c>
      <c r="E91" s="19" t="s">
        <v>60</v>
      </c>
      <c r="F91" s="60" t="s">
        <v>61</v>
      </c>
      <c r="G91" s="19" t="b">
        <v>0</v>
      </c>
      <c r="H91" s="19" t="s">
        <v>63</v>
      </c>
      <c r="I91" s="19"/>
      <c r="J91" s="19"/>
      <c r="K91" s="19"/>
      <c r="L91" s="19"/>
      <c r="M91" s="61"/>
      <c r="N91" s="19"/>
      <c r="O91" s="19"/>
      <c r="P91" s="19"/>
      <c r="Q91" s="62"/>
      <c r="R91" s="62"/>
      <c r="S91" s="19"/>
      <c r="T91" s="19"/>
      <c r="U91" s="19"/>
      <c r="V91" s="19"/>
      <c r="W91" s="19"/>
      <c r="X91" s="62"/>
    </row>
    <row r="92" spans="1:24" ht="15" customHeight="1" thickBot="1" x14ac:dyDescent="0.3">
      <c r="A92" s="67" t="s">
        <v>13394</v>
      </c>
      <c r="B92" s="68" t="s">
        <v>101</v>
      </c>
      <c r="C92" s="67" t="s">
        <v>451</v>
      </c>
      <c r="D92" s="69" t="s">
        <v>81</v>
      </c>
      <c r="E92" s="67" t="s">
        <v>165</v>
      </c>
      <c r="F92" s="67" t="s">
        <v>166</v>
      </c>
      <c r="G92" s="70"/>
      <c r="H92" s="67" t="s">
        <v>167</v>
      </c>
      <c r="I92" s="67"/>
      <c r="J92" s="67"/>
      <c r="K92" s="67" t="s">
        <v>160</v>
      </c>
      <c r="L92" s="130">
        <v>9</v>
      </c>
      <c r="M92" s="70" t="s">
        <v>452</v>
      </c>
      <c r="N92" s="137"/>
      <c r="O92" s="67"/>
      <c r="P92" s="67"/>
      <c r="Q92" s="131" t="s">
        <v>72</v>
      </c>
      <c r="R92" s="131"/>
      <c r="S92" s="71" t="s">
        <v>168</v>
      </c>
      <c r="T92" s="72" t="s">
        <v>88</v>
      </c>
      <c r="U92" s="72" t="s">
        <v>88</v>
      </c>
      <c r="V92" s="73" t="s">
        <v>89</v>
      </c>
      <c r="W92" s="74"/>
      <c r="X92" s="75"/>
    </row>
    <row r="93" spans="1:24" ht="15" customHeight="1" thickBot="1" x14ac:dyDescent="0.3">
      <c r="A93" s="67" t="s">
        <v>13394</v>
      </c>
      <c r="B93" s="68" t="s">
        <v>101</v>
      </c>
      <c r="C93" s="67" t="s">
        <v>451</v>
      </c>
      <c r="D93" s="69" t="s">
        <v>90</v>
      </c>
      <c r="E93" s="67" t="s">
        <v>82</v>
      </c>
      <c r="F93" s="67" t="s">
        <v>83</v>
      </c>
      <c r="G93" s="70"/>
      <c r="H93" s="67" t="s">
        <v>453</v>
      </c>
      <c r="I93" s="67"/>
      <c r="J93" s="67"/>
      <c r="K93" s="67" t="s">
        <v>85</v>
      </c>
      <c r="L93" s="130">
        <v>4</v>
      </c>
      <c r="M93" s="70" t="s">
        <v>403</v>
      </c>
      <c r="N93" s="137" t="s">
        <v>86</v>
      </c>
      <c r="O93" s="67"/>
      <c r="P93" s="67"/>
      <c r="Q93" s="131" t="s">
        <v>72</v>
      </c>
      <c r="R93" s="131"/>
      <c r="S93" s="71" t="s">
        <v>168</v>
      </c>
      <c r="T93" s="72" t="s">
        <v>88</v>
      </c>
      <c r="U93" s="72" t="s">
        <v>88</v>
      </c>
      <c r="V93" s="73" t="s">
        <v>89</v>
      </c>
      <c r="W93" s="74"/>
      <c r="X93" s="75"/>
    </row>
    <row r="94" spans="1:24" ht="15" customHeight="1" thickBot="1" x14ac:dyDescent="0.3">
      <c r="A94" s="67" t="s">
        <v>13394</v>
      </c>
      <c r="B94" s="68" t="s">
        <v>101</v>
      </c>
      <c r="C94" s="67" t="s">
        <v>451</v>
      </c>
      <c r="D94" s="69" t="s">
        <v>95</v>
      </c>
      <c r="E94" s="67" t="s">
        <v>454</v>
      </c>
      <c r="F94" s="67" t="s">
        <v>455</v>
      </c>
      <c r="G94" s="70"/>
      <c r="H94" s="67" t="s">
        <v>456</v>
      </c>
      <c r="I94" s="67"/>
      <c r="J94" s="67"/>
      <c r="K94" s="67" t="s">
        <v>111</v>
      </c>
      <c r="L94" s="130">
        <v>15</v>
      </c>
      <c r="M94" s="70" t="s">
        <v>457</v>
      </c>
      <c r="N94" s="137"/>
      <c r="O94" s="67" t="s">
        <v>81</v>
      </c>
      <c r="P94" s="67" t="s">
        <v>403</v>
      </c>
      <c r="Q94" s="131" t="s">
        <v>72</v>
      </c>
      <c r="R94" s="131"/>
      <c r="S94" s="71" t="s">
        <v>168</v>
      </c>
      <c r="T94" s="72" t="s">
        <v>88</v>
      </c>
      <c r="U94" s="72" t="s">
        <v>88</v>
      </c>
      <c r="V94" s="73" t="s">
        <v>89</v>
      </c>
      <c r="W94" s="74"/>
      <c r="X94" s="75"/>
    </row>
    <row r="95" spans="1:24" ht="15" customHeight="1" thickBot="1" x14ac:dyDescent="0.3">
      <c r="A95" s="67" t="s">
        <v>13394</v>
      </c>
      <c r="B95" s="68" t="s">
        <v>101</v>
      </c>
      <c r="C95" s="67" t="s">
        <v>451</v>
      </c>
      <c r="D95" s="69" t="s">
        <v>101</v>
      </c>
      <c r="E95" s="67" t="s">
        <v>387</v>
      </c>
      <c r="F95" s="67" t="s">
        <v>458</v>
      </c>
      <c r="G95" s="70"/>
      <c r="H95" s="67" t="s">
        <v>459</v>
      </c>
      <c r="I95" s="67"/>
      <c r="J95" s="67"/>
      <c r="K95" s="67" t="s">
        <v>140</v>
      </c>
      <c r="L95" s="130">
        <v>10</v>
      </c>
      <c r="M95" s="70" t="s">
        <v>141</v>
      </c>
      <c r="N95" s="137"/>
      <c r="O95" s="67"/>
      <c r="P95" s="67"/>
      <c r="Q95" s="131" t="s">
        <v>72</v>
      </c>
      <c r="R95" s="131"/>
      <c r="S95" s="71" t="s">
        <v>168</v>
      </c>
      <c r="T95" s="72" t="s">
        <v>88</v>
      </c>
      <c r="U95" s="72" t="s">
        <v>88</v>
      </c>
      <c r="V95" s="73" t="s">
        <v>89</v>
      </c>
      <c r="W95" s="74"/>
      <c r="X95" s="75"/>
    </row>
    <row r="96" spans="1:24" ht="15" customHeight="1" thickBot="1" x14ac:dyDescent="0.3">
      <c r="A96" s="225" t="s">
        <v>13394</v>
      </c>
      <c r="B96" s="68" t="s">
        <v>101</v>
      </c>
      <c r="C96" s="67" t="s">
        <v>451</v>
      </c>
      <c r="D96" s="69" t="s">
        <v>107</v>
      </c>
      <c r="E96" s="67" t="s">
        <v>460</v>
      </c>
      <c r="F96" s="67" t="s">
        <v>461</v>
      </c>
      <c r="G96" s="70"/>
      <c r="H96" s="225" t="s">
        <v>13518</v>
      </c>
      <c r="I96" s="67"/>
      <c r="J96" s="67"/>
      <c r="K96" s="67" t="s">
        <v>462</v>
      </c>
      <c r="L96" s="130">
        <v>6</v>
      </c>
      <c r="M96" s="70" t="s">
        <v>463</v>
      </c>
      <c r="N96" s="137"/>
      <c r="O96" s="67" t="s">
        <v>80</v>
      </c>
      <c r="P96" s="67" t="s">
        <v>146</v>
      </c>
      <c r="Q96" s="131" t="s">
        <v>72</v>
      </c>
      <c r="R96" s="131"/>
      <c r="S96" s="71" t="s">
        <v>464</v>
      </c>
      <c r="T96" s="72" t="s">
        <v>88</v>
      </c>
      <c r="U96" s="72" t="s">
        <v>88</v>
      </c>
      <c r="V96" s="73" t="s">
        <v>89</v>
      </c>
      <c r="W96" s="74"/>
      <c r="X96" s="75"/>
    </row>
    <row r="97" spans="1:24" ht="15" customHeight="1" thickBot="1" x14ac:dyDescent="0.3">
      <c r="A97" s="67" t="s">
        <v>13394</v>
      </c>
      <c r="B97" s="68" t="s">
        <v>101</v>
      </c>
      <c r="C97" s="67" t="s">
        <v>451</v>
      </c>
      <c r="D97" s="69" t="s">
        <v>116</v>
      </c>
      <c r="E97" s="67" t="s">
        <v>465</v>
      </c>
      <c r="F97" s="67" t="s">
        <v>466</v>
      </c>
      <c r="G97" s="70"/>
      <c r="H97" s="67" t="s">
        <v>467</v>
      </c>
      <c r="I97" s="67"/>
      <c r="J97" s="67"/>
      <c r="K97" s="67" t="s">
        <v>85</v>
      </c>
      <c r="L97" s="130">
        <v>2</v>
      </c>
      <c r="M97" s="70" t="s">
        <v>105</v>
      </c>
      <c r="N97" s="137" t="s">
        <v>465</v>
      </c>
      <c r="O97" s="67"/>
      <c r="P97" s="67"/>
      <c r="Q97" s="131" t="s">
        <v>150</v>
      </c>
      <c r="R97" s="131"/>
      <c r="S97" s="71" t="s">
        <v>464</v>
      </c>
      <c r="T97" s="72" t="s">
        <v>88</v>
      </c>
      <c r="U97" s="72" t="s">
        <v>88</v>
      </c>
      <c r="V97" s="73" t="s">
        <v>89</v>
      </c>
      <c r="W97" s="74"/>
      <c r="X97" s="75"/>
    </row>
    <row r="98" spans="1:24" ht="15" customHeight="1" thickBot="1" x14ac:dyDescent="0.3">
      <c r="A98" s="67" t="s">
        <v>13394</v>
      </c>
      <c r="B98" s="68" t="s">
        <v>101</v>
      </c>
      <c r="C98" s="67" t="s">
        <v>451</v>
      </c>
      <c r="D98" s="69" t="s">
        <v>121</v>
      </c>
      <c r="E98" s="67" t="s">
        <v>468</v>
      </c>
      <c r="F98" s="67" t="s">
        <v>469</v>
      </c>
      <c r="G98" s="70"/>
      <c r="H98" s="67" t="s">
        <v>470</v>
      </c>
      <c r="I98" s="67"/>
      <c r="J98" s="67"/>
      <c r="K98" s="67" t="s">
        <v>85</v>
      </c>
      <c r="L98" s="130">
        <v>1</v>
      </c>
      <c r="M98" s="70" t="s">
        <v>99</v>
      </c>
      <c r="N98" s="137" t="s">
        <v>195</v>
      </c>
      <c r="O98" s="67"/>
      <c r="P98" s="67"/>
      <c r="Q98" s="131" t="s">
        <v>72</v>
      </c>
      <c r="R98" s="131"/>
      <c r="S98" s="71" t="s">
        <v>464</v>
      </c>
      <c r="T98" s="72" t="s">
        <v>88</v>
      </c>
      <c r="U98" s="72" t="s">
        <v>88</v>
      </c>
      <c r="V98" s="73" t="s">
        <v>89</v>
      </c>
      <c r="W98" s="74"/>
      <c r="X98" s="75"/>
    </row>
    <row r="99" spans="1:24" s="66" customFormat="1" ht="15" customHeight="1" thickBot="1" x14ac:dyDescent="0.3">
      <c r="A99" s="19" t="s">
        <v>13394</v>
      </c>
      <c r="B99" s="76" t="s">
        <v>107</v>
      </c>
      <c r="C99" s="19" t="s">
        <v>37</v>
      </c>
      <c r="D99" s="77" t="s">
        <v>80</v>
      </c>
      <c r="E99" s="19" t="s">
        <v>60</v>
      </c>
      <c r="F99" s="60" t="s">
        <v>61</v>
      </c>
      <c r="G99" s="19" t="b">
        <v>0</v>
      </c>
      <c r="H99" s="19" t="s">
        <v>63</v>
      </c>
      <c r="I99" s="19"/>
      <c r="J99" s="19"/>
      <c r="K99" s="19"/>
      <c r="L99" s="19"/>
      <c r="M99" s="61"/>
      <c r="N99" s="19"/>
      <c r="O99" s="19"/>
      <c r="P99" s="19"/>
      <c r="Q99" s="62"/>
      <c r="R99" s="62"/>
      <c r="S99" s="19"/>
      <c r="T99" s="19"/>
      <c r="U99" s="19"/>
      <c r="V99" s="19"/>
      <c r="W99" s="19"/>
      <c r="X99" s="62"/>
    </row>
    <row r="100" spans="1:24" ht="15" customHeight="1" thickBot="1" x14ac:dyDescent="0.3">
      <c r="A100" s="67" t="s">
        <v>13394</v>
      </c>
      <c r="B100" s="68" t="s">
        <v>107</v>
      </c>
      <c r="C100" s="67" t="s">
        <v>37</v>
      </c>
      <c r="D100" s="69" t="s">
        <v>81</v>
      </c>
      <c r="E100" s="67" t="s">
        <v>454</v>
      </c>
      <c r="F100" s="67" t="s">
        <v>455</v>
      </c>
      <c r="G100" s="70"/>
      <c r="H100" s="67" t="s">
        <v>471</v>
      </c>
      <c r="I100" s="67"/>
      <c r="J100" s="67"/>
      <c r="K100" s="67" t="s">
        <v>111</v>
      </c>
      <c r="L100" s="130">
        <v>15</v>
      </c>
      <c r="M100" s="70" t="s">
        <v>457</v>
      </c>
      <c r="N100" s="137"/>
      <c r="O100" s="67" t="s">
        <v>81</v>
      </c>
      <c r="P100" s="67" t="s">
        <v>457</v>
      </c>
      <c r="Q100" s="131" t="s">
        <v>72</v>
      </c>
      <c r="R100" s="131"/>
      <c r="S100" s="71" t="s">
        <v>168</v>
      </c>
      <c r="T100" s="72" t="s">
        <v>88</v>
      </c>
      <c r="U100" s="72" t="s">
        <v>88</v>
      </c>
      <c r="V100" s="73" t="s">
        <v>89</v>
      </c>
      <c r="W100" s="74"/>
      <c r="X100" s="75" t="s">
        <v>36</v>
      </c>
    </row>
    <row r="101" spans="1:24" ht="15" customHeight="1" thickBot="1" x14ac:dyDescent="0.3">
      <c r="A101" s="67" t="s">
        <v>13394</v>
      </c>
      <c r="B101" s="68" t="s">
        <v>107</v>
      </c>
      <c r="C101" s="67" t="s">
        <v>37</v>
      </c>
      <c r="D101" s="69" t="s">
        <v>90</v>
      </c>
      <c r="E101" s="67" t="s">
        <v>472</v>
      </c>
      <c r="F101" s="67" t="s">
        <v>473</v>
      </c>
      <c r="G101" s="70"/>
      <c r="H101" s="67" t="s">
        <v>474</v>
      </c>
      <c r="I101" s="67"/>
      <c r="J101" s="67"/>
      <c r="K101" s="67" t="s">
        <v>85</v>
      </c>
      <c r="L101" s="130" t="s">
        <v>475</v>
      </c>
      <c r="M101" s="70" t="s">
        <v>239</v>
      </c>
      <c r="N101" s="137" t="s">
        <v>472</v>
      </c>
      <c r="O101" s="67"/>
      <c r="P101" s="67"/>
      <c r="Q101" s="131" t="s">
        <v>72</v>
      </c>
      <c r="R101" s="131"/>
      <c r="S101" s="71" t="s">
        <v>168</v>
      </c>
      <c r="T101" s="72" t="s">
        <v>88</v>
      </c>
      <c r="U101" s="72" t="s">
        <v>88</v>
      </c>
      <c r="V101" s="73" t="s">
        <v>89</v>
      </c>
      <c r="W101" s="74"/>
      <c r="X101" s="75" t="s">
        <v>36</v>
      </c>
    </row>
    <row r="102" spans="1:24" ht="15" customHeight="1" thickBot="1" x14ac:dyDescent="0.3">
      <c r="A102" s="67" t="s">
        <v>13394</v>
      </c>
      <c r="B102" s="68" t="s">
        <v>107</v>
      </c>
      <c r="C102" s="67" t="s">
        <v>37</v>
      </c>
      <c r="D102" s="69" t="s">
        <v>95</v>
      </c>
      <c r="E102" s="67" t="s">
        <v>476</v>
      </c>
      <c r="F102" s="67" t="s">
        <v>477</v>
      </c>
      <c r="G102" s="70"/>
      <c r="H102" s="67" t="s">
        <v>478</v>
      </c>
      <c r="I102" s="67"/>
      <c r="J102" s="67"/>
      <c r="K102" s="67" t="s">
        <v>85</v>
      </c>
      <c r="L102" s="130">
        <v>1</v>
      </c>
      <c r="M102" s="70" t="s">
        <v>99</v>
      </c>
      <c r="N102" s="137" t="s">
        <v>476</v>
      </c>
      <c r="O102" s="67"/>
      <c r="P102" s="67"/>
      <c r="Q102" s="131" t="s">
        <v>150</v>
      </c>
      <c r="R102" s="131"/>
      <c r="S102" s="71" t="s">
        <v>168</v>
      </c>
      <c r="T102" s="72" t="s">
        <v>88</v>
      </c>
      <c r="U102" s="72" t="s">
        <v>88</v>
      </c>
      <c r="V102" s="73" t="s">
        <v>89</v>
      </c>
      <c r="W102" s="74"/>
      <c r="X102" s="75" t="s">
        <v>36</v>
      </c>
    </row>
    <row r="103" spans="1:24" ht="15" customHeight="1" thickBot="1" x14ac:dyDescent="0.3">
      <c r="A103" s="67" t="s">
        <v>13394</v>
      </c>
      <c r="B103" s="68" t="s">
        <v>107</v>
      </c>
      <c r="C103" s="67" t="s">
        <v>37</v>
      </c>
      <c r="D103" s="69" t="s">
        <v>101</v>
      </c>
      <c r="E103" s="67" t="s">
        <v>387</v>
      </c>
      <c r="F103" s="67" t="s">
        <v>458</v>
      </c>
      <c r="G103" s="70"/>
      <c r="H103" s="67" t="s">
        <v>479</v>
      </c>
      <c r="I103" s="67"/>
      <c r="J103" s="67"/>
      <c r="K103" s="67" t="s">
        <v>140</v>
      </c>
      <c r="L103" s="130">
        <v>10</v>
      </c>
      <c r="M103" s="70" t="s">
        <v>141</v>
      </c>
      <c r="N103" s="137"/>
      <c r="O103" s="67"/>
      <c r="P103" s="67"/>
      <c r="Q103" s="131" t="s">
        <v>72</v>
      </c>
      <c r="R103" s="131"/>
      <c r="S103" s="71" t="s">
        <v>168</v>
      </c>
      <c r="T103" s="72" t="s">
        <v>88</v>
      </c>
      <c r="U103" s="72" t="s">
        <v>88</v>
      </c>
      <c r="V103" s="73" t="s">
        <v>89</v>
      </c>
      <c r="W103" s="74"/>
      <c r="X103" s="75" t="s">
        <v>36</v>
      </c>
    </row>
    <row r="104" spans="1:24" ht="15" customHeight="1" thickBot="1" x14ac:dyDescent="0.3">
      <c r="A104" s="67" t="s">
        <v>13394</v>
      </c>
      <c r="B104" s="68" t="s">
        <v>107</v>
      </c>
      <c r="C104" s="67" t="s">
        <v>37</v>
      </c>
      <c r="D104" s="69" t="s">
        <v>107</v>
      </c>
      <c r="E104" s="67" t="s">
        <v>480</v>
      </c>
      <c r="F104" s="67" t="s">
        <v>481</v>
      </c>
      <c r="G104" s="70"/>
      <c r="H104" s="67" t="s">
        <v>482</v>
      </c>
      <c r="I104" s="67"/>
      <c r="J104" s="67"/>
      <c r="K104" s="67" t="s">
        <v>462</v>
      </c>
      <c r="L104" s="130">
        <v>4</v>
      </c>
      <c r="M104" s="70" t="s">
        <v>483</v>
      </c>
      <c r="N104" s="137"/>
      <c r="O104" s="67" t="s">
        <v>80</v>
      </c>
      <c r="P104" s="67" t="s">
        <v>146</v>
      </c>
      <c r="Q104" s="131" t="s">
        <v>72</v>
      </c>
      <c r="R104" s="131"/>
      <c r="S104" s="71" t="s">
        <v>168</v>
      </c>
      <c r="T104" s="72" t="s">
        <v>88</v>
      </c>
      <c r="U104" s="72" t="s">
        <v>88</v>
      </c>
      <c r="V104" s="73" t="s">
        <v>89</v>
      </c>
      <c r="W104" s="74"/>
      <c r="X104" s="75" t="s">
        <v>36</v>
      </c>
    </row>
    <row r="105" spans="1:24" ht="15" customHeight="1" thickBot="1" x14ac:dyDescent="0.3">
      <c r="A105" s="67" t="s">
        <v>13394</v>
      </c>
      <c r="B105" s="68" t="s">
        <v>107</v>
      </c>
      <c r="C105" s="67" t="s">
        <v>37</v>
      </c>
      <c r="D105" s="69" t="s">
        <v>116</v>
      </c>
      <c r="E105" s="67" t="s">
        <v>484</v>
      </c>
      <c r="F105" s="67" t="s">
        <v>485</v>
      </c>
      <c r="G105" s="70"/>
      <c r="H105" s="67" t="s">
        <v>486</v>
      </c>
      <c r="I105" s="67"/>
      <c r="J105" s="67"/>
      <c r="K105" s="67" t="s">
        <v>462</v>
      </c>
      <c r="L105" s="130">
        <v>4</v>
      </c>
      <c r="M105" s="70" t="s">
        <v>483</v>
      </c>
      <c r="N105" s="137"/>
      <c r="O105" s="67"/>
      <c r="P105" s="67"/>
      <c r="Q105" s="131" t="s">
        <v>72</v>
      </c>
      <c r="R105" s="131"/>
      <c r="S105" s="71" t="s">
        <v>168</v>
      </c>
      <c r="T105" s="72" t="s">
        <v>88</v>
      </c>
      <c r="U105" s="72" t="s">
        <v>88</v>
      </c>
      <c r="V105" s="73" t="s">
        <v>89</v>
      </c>
      <c r="W105" s="74"/>
      <c r="X105" s="75" t="s">
        <v>36</v>
      </c>
    </row>
    <row r="106" spans="1:24" ht="15" customHeight="1" thickBot="1" x14ac:dyDescent="0.3">
      <c r="A106" s="67" t="s">
        <v>13394</v>
      </c>
      <c r="B106" s="68" t="s">
        <v>107</v>
      </c>
      <c r="C106" s="67" t="s">
        <v>37</v>
      </c>
      <c r="D106" s="69" t="s">
        <v>121</v>
      </c>
      <c r="E106" s="67" t="s">
        <v>487</v>
      </c>
      <c r="F106" s="67" t="s">
        <v>488</v>
      </c>
      <c r="G106" s="70"/>
      <c r="H106" s="67" t="s">
        <v>489</v>
      </c>
      <c r="I106" s="67"/>
      <c r="J106" s="67"/>
      <c r="K106" s="67" t="s">
        <v>462</v>
      </c>
      <c r="L106" s="130">
        <v>4</v>
      </c>
      <c r="M106" s="70" t="s">
        <v>483</v>
      </c>
      <c r="N106" s="137"/>
      <c r="O106" s="67"/>
      <c r="P106" s="67"/>
      <c r="Q106" s="131" t="s">
        <v>72</v>
      </c>
      <c r="R106" s="131"/>
      <c r="S106" s="71" t="s">
        <v>168</v>
      </c>
      <c r="T106" s="72" t="s">
        <v>88</v>
      </c>
      <c r="U106" s="72" t="s">
        <v>88</v>
      </c>
      <c r="V106" s="73" t="s">
        <v>89</v>
      </c>
      <c r="W106" s="74"/>
      <c r="X106" s="75" t="s">
        <v>36</v>
      </c>
    </row>
    <row r="107" spans="1:24" s="66" customFormat="1" ht="15" customHeight="1" thickBot="1" x14ac:dyDescent="0.3">
      <c r="A107" s="19" t="s">
        <v>13394</v>
      </c>
      <c r="B107" s="76" t="s">
        <v>116</v>
      </c>
      <c r="C107" s="19" t="s">
        <v>38</v>
      </c>
      <c r="D107" s="77" t="s">
        <v>80</v>
      </c>
      <c r="E107" s="19" t="s">
        <v>60</v>
      </c>
      <c r="F107" s="60" t="s">
        <v>61</v>
      </c>
      <c r="G107" s="19"/>
      <c r="H107" s="19" t="s">
        <v>63</v>
      </c>
      <c r="I107" s="19"/>
      <c r="J107" s="19"/>
      <c r="K107" s="19"/>
      <c r="L107" s="19"/>
      <c r="M107" s="61"/>
      <c r="N107" s="19"/>
      <c r="O107" s="19"/>
      <c r="P107" s="19"/>
      <c r="Q107" s="62"/>
      <c r="R107" s="62"/>
      <c r="S107" s="19"/>
      <c r="T107" s="19"/>
      <c r="U107" s="19"/>
      <c r="V107" s="19"/>
      <c r="W107" s="19"/>
      <c r="X107" s="62"/>
    </row>
    <row r="108" spans="1:24" ht="15" customHeight="1" thickBot="1" x14ac:dyDescent="0.3">
      <c r="A108" s="67" t="s">
        <v>13394</v>
      </c>
      <c r="B108" s="68" t="s">
        <v>116</v>
      </c>
      <c r="C108" s="67" t="s">
        <v>38</v>
      </c>
      <c r="D108" s="69" t="s">
        <v>81</v>
      </c>
      <c r="E108" s="67" t="s">
        <v>165</v>
      </c>
      <c r="F108" s="67" t="s">
        <v>166</v>
      </c>
      <c r="G108" s="70"/>
      <c r="H108" s="67" t="s">
        <v>167</v>
      </c>
      <c r="I108" s="67"/>
      <c r="J108" s="67"/>
      <c r="K108" s="67" t="s">
        <v>160</v>
      </c>
      <c r="L108" s="130">
        <v>9</v>
      </c>
      <c r="M108" s="70"/>
      <c r="N108" s="137"/>
      <c r="O108" s="67"/>
      <c r="P108" s="67"/>
      <c r="Q108" s="131" t="s">
        <v>72</v>
      </c>
      <c r="R108" s="131"/>
      <c r="S108" s="71" t="s">
        <v>126</v>
      </c>
      <c r="T108" s="72" t="s">
        <v>88</v>
      </c>
      <c r="U108" s="72" t="s">
        <v>88</v>
      </c>
      <c r="V108" s="73" t="s">
        <v>89</v>
      </c>
      <c r="W108" s="74"/>
      <c r="X108" s="75"/>
    </row>
    <row r="109" spans="1:24" ht="15" customHeight="1" thickBot="1" x14ac:dyDescent="0.3">
      <c r="A109" s="67" t="s">
        <v>13394</v>
      </c>
      <c r="B109" s="68" t="s">
        <v>116</v>
      </c>
      <c r="C109" s="67" t="s">
        <v>38</v>
      </c>
      <c r="D109" s="69" t="s">
        <v>90</v>
      </c>
      <c r="E109" s="67" t="s">
        <v>490</v>
      </c>
      <c r="F109" s="67" t="s">
        <v>491</v>
      </c>
      <c r="G109" s="70"/>
      <c r="H109" s="67" t="s">
        <v>492</v>
      </c>
      <c r="I109" s="67"/>
      <c r="J109" s="67"/>
      <c r="K109" s="67" t="s">
        <v>85</v>
      </c>
      <c r="L109" s="130">
        <v>4</v>
      </c>
      <c r="M109" s="70" t="s">
        <v>403</v>
      </c>
      <c r="N109" s="250" t="s">
        <v>86</v>
      </c>
      <c r="O109" s="67"/>
      <c r="P109" s="67"/>
      <c r="Q109" s="131" t="s">
        <v>72</v>
      </c>
      <c r="R109" s="131"/>
      <c r="S109" s="71" t="s">
        <v>493</v>
      </c>
      <c r="T109" s="72" t="s">
        <v>88</v>
      </c>
      <c r="U109" s="72" t="s">
        <v>88</v>
      </c>
      <c r="V109" s="73" t="s">
        <v>89</v>
      </c>
      <c r="W109" s="74"/>
      <c r="X109" s="75"/>
    </row>
    <row r="110" spans="1:24" ht="15" customHeight="1" thickBot="1" x14ac:dyDescent="0.3">
      <c r="A110" s="67" t="s">
        <v>13394</v>
      </c>
      <c r="B110" s="68" t="s">
        <v>116</v>
      </c>
      <c r="C110" s="67" t="s">
        <v>38</v>
      </c>
      <c r="D110" s="69" t="s">
        <v>95</v>
      </c>
      <c r="E110" s="67" t="s">
        <v>494</v>
      </c>
      <c r="F110" s="67" t="s">
        <v>495</v>
      </c>
      <c r="G110" s="70"/>
      <c r="H110" s="67" t="s">
        <v>496</v>
      </c>
      <c r="I110" s="67"/>
      <c r="J110" s="67"/>
      <c r="K110" s="67" t="s">
        <v>85</v>
      </c>
      <c r="L110" s="130">
        <v>4</v>
      </c>
      <c r="M110" s="70" t="s">
        <v>403</v>
      </c>
      <c r="N110" s="137" t="s">
        <v>86</v>
      </c>
      <c r="O110" s="67"/>
      <c r="P110" s="67"/>
      <c r="Q110" s="131" t="s">
        <v>72</v>
      </c>
      <c r="R110" s="131"/>
      <c r="S110" s="71" t="s">
        <v>493</v>
      </c>
      <c r="T110" s="72" t="s">
        <v>88</v>
      </c>
      <c r="U110" s="72" t="s">
        <v>88</v>
      </c>
      <c r="V110" s="73" t="s">
        <v>89</v>
      </c>
      <c r="W110" s="74"/>
      <c r="X110" s="75"/>
    </row>
    <row r="111" spans="1:24" ht="15" customHeight="1" thickBot="1" x14ac:dyDescent="0.3">
      <c r="A111" s="67" t="s">
        <v>13394</v>
      </c>
      <c r="B111" s="68" t="s">
        <v>116</v>
      </c>
      <c r="C111" s="67" t="s">
        <v>38</v>
      </c>
      <c r="D111" s="69" t="s">
        <v>101</v>
      </c>
      <c r="E111" s="67" t="s">
        <v>497</v>
      </c>
      <c r="F111" s="67" t="s">
        <v>498</v>
      </c>
      <c r="G111" s="70"/>
      <c r="H111" s="67" t="s">
        <v>499</v>
      </c>
      <c r="I111" s="67"/>
      <c r="J111" s="67"/>
      <c r="K111" s="67" t="s">
        <v>85</v>
      </c>
      <c r="L111" s="130">
        <v>2</v>
      </c>
      <c r="M111" s="70"/>
      <c r="N111" s="137" t="s">
        <v>500</v>
      </c>
      <c r="O111" s="67"/>
      <c r="P111" s="67"/>
      <c r="Q111" s="131" t="s">
        <v>150</v>
      </c>
      <c r="R111" s="131"/>
      <c r="S111" s="71" t="s">
        <v>493</v>
      </c>
      <c r="T111" s="72" t="s">
        <v>88</v>
      </c>
      <c r="U111" s="72" t="s">
        <v>88</v>
      </c>
      <c r="V111" s="73" t="s">
        <v>501</v>
      </c>
      <c r="W111" s="74"/>
      <c r="X111" s="75"/>
    </row>
    <row r="112" spans="1:24" ht="15" customHeight="1" thickBot="1" x14ac:dyDescent="0.3">
      <c r="A112" s="67" t="s">
        <v>13394</v>
      </c>
      <c r="B112" s="68" t="s">
        <v>116</v>
      </c>
      <c r="C112" s="67" t="s">
        <v>38</v>
      </c>
      <c r="D112" s="69" t="s">
        <v>107</v>
      </c>
      <c r="E112" s="67" t="s">
        <v>502</v>
      </c>
      <c r="F112" s="67" t="s">
        <v>503</v>
      </c>
      <c r="G112" s="70"/>
      <c r="H112" s="67" t="s">
        <v>504</v>
      </c>
      <c r="I112" s="67"/>
      <c r="J112" s="67"/>
      <c r="K112" s="67" t="s">
        <v>85</v>
      </c>
      <c r="L112" s="130">
        <v>2</v>
      </c>
      <c r="M112" s="70"/>
      <c r="N112" s="137" t="s">
        <v>505</v>
      </c>
      <c r="O112" s="67"/>
      <c r="P112" s="67"/>
      <c r="Q112" s="131" t="s">
        <v>150</v>
      </c>
      <c r="R112" s="131"/>
      <c r="S112" s="71" t="s">
        <v>493</v>
      </c>
      <c r="T112" s="72" t="s">
        <v>88</v>
      </c>
      <c r="U112" s="72" t="s">
        <v>88</v>
      </c>
      <c r="V112" s="73" t="s">
        <v>501</v>
      </c>
      <c r="W112" s="74"/>
      <c r="X112" s="75"/>
    </row>
    <row r="113" spans="1:24" ht="15" customHeight="1" thickBot="1" x14ac:dyDescent="0.3">
      <c r="A113" s="67" t="s">
        <v>13394</v>
      </c>
      <c r="B113" s="68" t="s">
        <v>116</v>
      </c>
      <c r="C113" s="67" t="s">
        <v>38</v>
      </c>
      <c r="D113" s="69" t="s">
        <v>116</v>
      </c>
      <c r="E113" s="67" t="s">
        <v>108</v>
      </c>
      <c r="F113" s="67" t="s">
        <v>506</v>
      </c>
      <c r="G113" s="70"/>
      <c r="H113" s="67" t="s">
        <v>507</v>
      </c>
      <c r="I113" s="67"/>
      <c r="J113" s="67"/>
      <c r="K113" s="67" t="s">
        <v>111</v>
      </c>
      <c r="L113" s="130">
        <v>4</v>
      </c>
      <c r="M113" s="70" t="s">
        <v>403</v>
      </c>
      <c r="N113" s="137"/>
      <c r="O113" s="67" t="s">
        <v>80</v>
      </c>
      <c r="P113" s="67">
        <v>3000</v>
      </c>
      <c r="Q113" s="131" t="s">
        <v>150</v>
      </c>
      <c r="R113" s="131"/>
      <c r="S113" s="71" t="s">
        <v>493</v>
      </c>
      <c r="T113" s="72" t="s">
        <v>114</v>
      </c>
      <c r="U113" s="72" t="s">
        <v>88</v>
      </c>
      <c r="V113" s="73" t="s">
        <v>89</v>
      </c>
      <c r="W113" s="74"/>
      <c r="X113" s="75"/>
    </row>
    <row r="114" spans="1:24" ht="15" customHeight="1" thickBot="1" x14ac:dyDescent="0.3">
      <c r="A114" s="67" t="s">
        <v>13394</v>
      </c>
      <c r="B114" s="68" t="s">
        <v>116</v>
      </c>
      <c r="C114" s="67" t="s">
        <v>38</v>
      </c>
      <c r="D114" s="69" t="s">
        <v>121</v>
      </c>
      <c r="E114" s="67" t="s">
        <v>508</v>
      </c>
      <c r="F114" s="67" t="s">
        <v>509</v>
      </c>
      <c r="G114" s="70"/>
      <c r="H114" s="67" t="s">
        <v>510</v>
      </c>
      <c r="I114" s="67"/>
      <c r="J114" s="67"/>
      <c r="K114" s="67" t="s">
        <v>85</v>
      </c>
      <c r="L114" s="130">
        <v>1</v>
      </c>
      <c r="M114" s="70" t="s">
        <v>99</v>
      </c>
      <c r="N114" s="137" t="s">
        <v>195</v>
      </c>
      <c r="O114" s="67"/>
      <c r="P114" s="67"/>
      <c r="Q114" s="131" t="s">
        <v>150</v>
      </c>
      <c r="R114" s="131"/>
      <c r="S114" s="71" t="s">
        <v>493</v>
      </c>
      <c r="T114" s="72" t="s">
        <v>88</v>
      </c>
      <c r="U114" s="72" t="s">
        <v>88</v>
      </c>
      <c r="V114" s="73" t="s">
        <v>89</v>
      </c>
      <c r="W114" s="74"/>
      <c r="X114" s="75"/>
    </row>
    <row r="115" spans="1:24" ht="15" customHeight="1" thickBot="1" x14ac:dyDescent="0.3">
      <c r="A115" s="67" t="s">
        <v>13394</v>
      </c>
      <c r="B115" s="68" t="s">
        <v>116</v>
      </c>
      <c r="C115" s="67" t="s">
        <v>38</v>
      </c>
      <c r="D115" s="69" t="s">
        <v>127</v>
      </c>
      <c r="E115" s="67" t="s">
        <v>511</v>
      </c>
      <c r="F115" s="67" t="s">
        <v>512</v>
      </c>
      <c r="G115" s="70"/>
      <c r="H115" s="67" t="s">
        <v>513</v>
      </c>
      <c r="I115" s="67"/>
      <c r="J115" s="67"/>
      <c r="K115" s="67" t="s">
        <v>85</v>
      </c>
      <c r="L115" s="130">
        <v>1</v>
      </c>
      <c r="M115" s="70" t="s">
        <v>99</v>
      </c>
      <c r="N115" s="137" t="s">
        <v>195</v>
      </c>
      <c r="O115" s="67"/>
      <c r="P115" s="67"/>
      <c r="Q115" s="131" t="s">
        <v>150</v>
      </c>
      <c r="R115" s="131"/>
      <c r="S115" s="71" t="s">
        <v>493</v>
      </c>
      <c r="T115" s="72" t="s">
        <v>88</v>
      </c>
      <c r="U115" s="72" t="s">
        <v>88</v>
      </c>
      <c r="V115" s="73" t="s">
        <v>89</v>
      </c>
      <c r="W115" s="74"/>
      <c r="X115" s="75"/>
    </row>
    <row r="116" spans="1:24" ht="15" customHeight="1" thickBot="1" x14ac:dyDescent="0.3">
      <c r="A116" s="67" t="s">
        <v>13394</v>
      </c>
      <c r="B116" s="68" t="s">
        <v>116</v>
      </c>
      <c r="C116" s="67" t="s">
        <v>38</v>
      </c>
      <c r="D116" s="69" t="s">
        <v>132</v>
      </c>
      <c r="E116" s="67" t="s">
        <v>514</v>
      </c>
      <c r="F116" s="67" t="s">
        <v>515</v>
      </c>
      <c r="G116" s="70"/>
      <c r="H116" s="67" t="s">
        <v>516</v>
      </c>
      <c r="I116" s="67"/>
      <c r="J116" s="67"/>
      <c r="K116" s="67" t="s">
        <v>111</v>
      </c>
      <c r="L116" s="130">
        <v>3</v>
      </c>
      <c r="M116" s="70" t="s">
        <v>517</v>
      </c>
      <c r="N116" s="137"/>
      <c r="O116" s="67"/>
      <c r="P116" s="67"/>
      <c r="Q116" s="131" t="s">
        <v>150</v>
      </c>
      <c r="R116" s="131" t="s">
        <v>518</v>
      </c>
      <c r="S116" s="71" t="s">
        <v>493</v>
      </c>
      <c r="T116" s="72" t="s">
        <v>88</v>
      </c>
      <c r="U116" s="72" t="s">
        <v>88</v>
      </c>
      <c r="V116" s="73" t="s">
        <v>89</v>
      </c>
      <c r="W116" s="74"/>
      <c r="X116" s="75"/>
    </row>
    <row r="117" spans="1:24" ht="15" customHeight="1" thickBot="1" x14ac:dyDescent="0.3">
      <c r="A117" s="67" t="s">
        <v>13394</v>
      </c>
      <c r="B117" s="68" t="s">
        <v>116</v>
      </c>
      <c r="C117" s="67" t="s">
        <v>38</v>
      </c>
      <c r="D117" s="69" t="s">
        <v>136</v>
      </c>
      <c r="E117" s="67" t="s">
        <v>519</v>
      </c>
      <c r="F117" s="67" t="s">
        <v>520</v>
      </c>
      <c r="G117" s="70"/>
      <c r="H117" s="67" t="s">
        <v>521</v>
      </c>
      <c r="I117" s="67"/>
      <c r="J117" s="67"/>
      <c r="K117" s="67" t="s">
        <v>85</v>
      </c>
      <c r="L117" s="130">
        <v>2</v>
      </c>
      <c r="M117" s="70" t="s">
        <v>105</v>
      </c>
      <c r="N117" s="137" t="s">
        <v>522</v>
      </c>
      <c r="O117" s="67"/>
      <c r="P117" s="67"/>
      <c r="Q117" s="131" t="s">
        <v>150</v>
      </c>
      <c r="R117" s="131"/>
      <c r="S117" s="71" t="s">
        <v>493</v>
      </c>
      <c r="T117" s="72" t="s">
        <v>88</v>
      </c>
      <c r="U117" s="72" t="s">
        <v>88</v>
      </c>
      <c r="V117" s="73" t="s">
        <v>89</v>
      </c>
      <c r="W117" s="74"/>
      <c r="X117" s="75"/>
    </row>
    <row r="118" spans="1:24" ht="15" customHeight="1" thickBot="1" x14ac:dyDescent="0.3">
      <c r="A118" s="67" t="s">
        <v>13394</v>
      </c>
      <c r="B118" s="68" t="s">
        <v>116</v>
      </c>
      <c r="C118" s="67" t="s">
        <v>38</v>
      </c>
      <c r="D118" s="69" t="s">
        <v>142</v>
      </c>
      <c r="E118" s="67" t="s">
        <v>523</v>
      </c>
      <c r="F118" s="67" t="s">
        <v>524</v>
      </c>
      <c r="G118" s="70"/>
      <c r="H118" s="67" t="s">
        <v>525</v>
      </c>
      <c r="I118" s="67"/>
      <c r="J118" s="67"/>
      <c r="K118" s="67" t="s">
        <v>125</v>
      </c>
      <c r="L118" s="130">
        <v>250</v>
      </c>
      <c r="M118" s="70"/>
      <c r="N118" s="250"/>
      <c r="O118" s="67"/>
      <c r="P118" s="67"/>
      <c r="Q118" s="131" t="s">
        <v>150</v>
      </c>
      <c r="R118" s="131"/>
      <c r="S118" s="71" t="s">
        <v>493</v>
      </c>
      <c r="T118" s="72" t="s">
        <v>88</v>
      </c>
      <c r="U118" s="72" t="s">
        <v>88</v>
      </c>
      <c r="V118" s="73" t="s">
        <v>89</v>
      </c>
      <c r="W118" s="74"/>
      <c r="X118" s="75"/>
    </row>
    <row r="119" spans="1:24" ht="15" customHeight="1" thickBot="1" x14ac:dyDescent="0.3">
      <c r="A119" s="67" t="s">
        <v>13394</v>
      </c>
      <c r="B119" s="68" t="s">
        <v>116</v>
      </c>
      <c r="C119" s="67" t="s">
        <v>38</v>
      </c>
      <c r="D119" s="69" t="s">
        <v>146</v>
      </c>
      <c r="E119" s="67" t="s">
        <v>526</v>
      </c>
      <c r="F119" s="67" t="s">
        <v>527</v>
      </c>
      <c r="G119" s="70"/>
      <c r="H119" s="67" t="s">
        <v>528</v>
      </c>
      <c r="I119" s="67"/>
      <c r="J119" s="67"/>
      <c r="K119" s="67" t="s">
        <v>140</v>
      </c>
      <c r="L119" s="130">
        <v>10</v>
      </c>
      <c r="M119" s="70" t="s">
        <v>141</v>
      </c>
      <c r="N119" s="137"/>
      <c r="O119" s="67"/>
      <c r="P119" s="67"/>
      <c r="Q119" s="131" t="s">
        <v>150</v>
      </c>
      <c r="R119" s="131"/>
      <c r="S119" s="71" t="s">
        <v>493</v>
      </c>
      <c r="T119" s="72" t="s">
        <v>88</v>
      </c>
      <c r="U119" s="72" t="s">
        <v>88</v>
      </c>
      <c r="V119" s="73" t="s">
        <v>89</v>
      </c>
      <c r="W119" s="74"/>
      <c r="X119" s="75"/>
    </row>
    <row r="120" spans="1:24" ht="15" customHeight="1" thickBot="1" x14ac:dyDescent="0.3">
      <c r="A120" s="67" t="s">
        <v>13394</v>
      </c>
      <c r="B120" s="68" t="s">
        <v>116</v>
      </c>
      <c r="C120" s="67" t="s">
        <v>38</v>
      </c>
      <c r="D120" s="69" t="s">
        <v>152</v>
      </c>
      <c r="E120" s="67" t="s">
        <v>529</v>
      </c>
      <c r="F120" s="67" t="s">
        <v>530</v>
      </c>
      <c r="G120" s="70"/>
      <c r="H120" s="67" t="s">
        <v>531</v>
      </c>
      <c r="I120" s="67"/>
      <c r="J120" s="67"/>
      <c r="K120" s="67" t="s">
        <v>140</v>
      </c>
      <c r="L120" s="130">
        <v>10</v>
      </c>
      <c r="M120" s="70" t="s">
        <v>141</v>
      </c>
      <c r="N120" s="137"/>
      <c r="O120" s="67"/>
      <c r="P120" s="67"/>
      <c r="Q120" s="131" t="s">
        <v>150</v>
      </c>
      <c r="R120" s="131"/>
      <c r="S120" s="71" t="s">
        <v>493</v>
      </c>
      <c r="T120" s="72" t="s">
        <v>88</v>
      </c>
      <c r="U120" s="72" t="s">
        <v>88</v>
      </c>
      <c r="V120" s="73" t="s">
        <v>89</v>
      </c>
      <c r="W120" s="74"/>
      <c r="X120" s="75"/>
    </row>
    <row r="121" spans="1:24" ht="15" customHeight="1" thickBot="1" x14ac:dyDescent="0.3">
      <c r="A121" s="67" t="s">
        <v>13394</v>
      </c>
      <c r="B121" s="68" t="s">
        <v>116</v>
      </c>
      <c r="C121" s="67" t="s">
        <v>38</v>
      </c>
      <c r="D121" s="69" t="s">
        <v>156</v>
      </c>
      <c r="E121" s="67" t="s">
        <v>532</v>
      </c>
      <c r="F121" s="67" t="s">
        <v>533</v>
      </c>
      <c r="G121" s="70"/>
      <c r="H121" s="67" t="s">
        <v>534</v>
      </c>
      <c r="I121" s="67"/>
      <c r="J121" s="67"/>
      <c r="K121" s="67" t="s">
        <v>140</v>
      </c>
      <c r="L121" s="130">
        <v>10</v>
      </c>
      <c r="M121" s="70" t="s">
        <v>141</v>
      </c>
      <c r="N121" s="137"/>
      <c r="O121" s="67"/>
      <c r="P121" s="67"/>
      <c r="Q121" s="131" t="s">
        <v>150</v>
      </c>
      <c r="R121" s="131"/>
      <c r="S121" s="71" t="s">
        <v>493</v>
      </c>
      <c r="T121" s="72" t="s">
        <v>88</v>
      </c>
      <c r="U121" s="72" t="s">
        <v>88</v>
      </c>
      <c r="V121" s="73" t="s">
        <v>535</v>
      </c>
      <c r="W121" s="74"/>
      <c r="X121" s="75"/>
    </row>
    <row r="122" spans="1:24" ht="15" customHeight="1" thickBot="1" x14ac:dyDescent="0.3">
      <c r="A122" s="67" t="s">
        <v>13394</v>
      </c>
      <c r="B122" s="68" t="s">
        <v>116</v>
      </c>
      <c r="C122" s="67" t="s">
        <v>38</v>
      </c>
      <c r="D122" s="69" t="s">
        <v>161</v>
      </c>
      <c r="E122" s="343" t="s">
        <v>536</v>
      </c>
      <c r="F122" s="67" t="s">
        <v>537</v>
      </c>
      <c r="G122" s="70"/>
      <c r="H122" s="343" t="s">
        <v>538</v>
      </c>
      <c r="I122" s="67"/>
      <c r="J122" s="67"/>
      <c r="K122" s="67" t="s">
        <v>140</v>
      </c>
      <c r="L122" s="130">
        <v>10</v>
      </c>
      <c r="M122" s="70" t="s">
        <v>141</v>
      </c>
      <c r="N122" s="137"/>
      <c r="O122" s="67"/>
      <c r="P122" s="67"/>
      <c r="Q122" s="131" t="s">
        <v>150</v>
      </c>
      <c r="R122" s="131"/>
      <c r="S122" s="71" t="s">
        <v>493</v>
      </c>
      <c r="T122" s="72" t="s">
        <v>88</v>
      </c>
      <c r="U122" s="72" t="s">
        <v>88</v>
      </c>
      <c r="V122" s="73" t="s">
        <v>89</v>
      </c>
      <c r="W122" s="74"/>
      <c r="X122" s="75"/>
    </row>
    <row r="123" spans="1:24" ht="15" customHeight="1" thickBot="1" x14ac:dyDescent="0.3">
      <c r="A123" s="67" t="s">
        <v>13394</v>
      </c>
      <c r="B123" s="68" t="s">
        <v>116</v>
      </c>
      <c r="C123" s="67" t="s">
        <v>38</v>
      </c>
      <c r="D123" s="69" t="s">
        <v>218</v>
      </c>
      <c r="E123" s="67" t="s">
        <v>539</v>
      </c>
      <c r="F123" s="67" t="s">
        <v>540</v>
      </c>
      <c r="G123" s="70"/>
      <c r="H123" s="67" t="s">
        <v>541</v>
      </c>
      <c r="I123" s="67"/>
      <c r="J123" s="67"/>
      <c r="K123" s="67" t="s">
        <v>85</v>
      </c>
      <c r="L123" s="130">
        <v>1</v>
      </c>
      <c r="M123" s="70" t="s">
        <v>99</v>
      </c>
      <c r="N123" s="137" t="s">
        <v>195</v>
      </c>
      <c r="O123" s="67"/>
      <c r="P123" s="67"/>
      <c r="Q123" s="131" t="s">
        <v>150</v>
      </c>
      <c r="R123" s="131" t="s">
        <v>542</v>
      </c>
      <c r="S123" s="71" t="s">
        <v>493</v>
      </c>
      <c r="T123" s="72" t="s">
        <v>88</v>
      </c>
      <c r="U123" s="72" t="s">
        <v>88</v>
      </c>
      <c r="V123" s="73" t="s">
        <v>89</v>
      </c>
      <c r="W123" s="74"/>
      <c r="X123" s="75"/>
    </row>
    <row r="124" spans="1:24" ht="15" customHeight="1" thickBot="1" x14ac:dyDescent="0.3">
      <c r="A124" s="67" t="s">
        <v>13394</v>
      </c>
      <c r="B124" s="68" t="s">
        <v>116</v>
      </c>
      <c r="C124" s="67" t="s">
        <v>38</v>
      </c>
      <c r="D124" s="69" t="s">
        <v>224</v>
      </c>
      <c r="E124" s="67" t="s">
        <v>543</v>
      </c>
      <c r="F124" s="67" t="s">
        <v>544</v>
      </c>
      <c r="G124" s="70"/>
      <c r="H124" s="67" t="s">
        <v>545</v>
      </c>
      <c r="I124" s="67"/>
      <c r="J124" s="67"/>
      <c r="K124" s="67" t="s">
        <v>111</v>
      </c>
      <c r="L124" s="130">
        <v>3</v>
      </c>
      <c r="M124" s="70" t="s">
        <v>517</v>
      </c>
      <c r="N124" s="137"/>
      <c r="O124" s="67"/>
      <c r="P124" s="67"/>
      <c r="Q124" s="131" t="s">
        <v>150</v>
      </c>
      <c r="R124" s="131" t="s">
        <v>546</v>
      </c>
      <c r="S124" s="71" t="s">
        <v>493</v>
      </c>
      <c r="T124" s="72" t="s">
        <v>88</v>
      </c>
      <c r="U124" s="72" t="s">
        <v>88</v>
      </c>
      <c r="V124" s="73" t="s">
        <v>89</v>
      </c>
      <c r="W124" s="74"/>
      <c r="X124" s="75"/>
    </row>
    <row r="125" spans="1:24" ht="15" customHeight="1" thickBot="1" x14ac:dyDescent="0.3">
      <c r="A125" s="67" t="s">
        <v>13394</v>
      </c>
      <c r="B125" s="68" t="s">
        <v>116</v>
      </c>
      <c r="C125" s="67" t="s">
        <v>38</v>
      </c>
      <c r="D125" s="69" t="s">
        <v>230</v>
      </c>
      <c r="E125" s="67" t="s">
        <v>547</v>
      </c>
      <c r="F125" s="67" t="s">
        <v>548</v>
      </c>
      <c r="G125" s="70"/>
      <c r="H125" s="67" t="s">
        <v>549</v>
      </c>
      <c r="I125" s="67"/>
      <c r="J125" s="67"/>
      <c r="K125" s="67" t="s">
        <v>85</v>
      </c>
      <c r="L125" s="130">
        <v>2</v>
      </c>
      <c r="M125" s="70" t="s">
        <v>105</v>
      </c>
      <c r="N125" s="137" t="s">
        <v>550</v>
      </c>
      <c r="O125" s="67"/>
      <c r="P125" s="67"/>
      <c r="Q125" s="131" t="s">
        <v>150</v>
      </c>
      <c r="R125" s="131" t="s">
        <v>546</v>
      </c>
      <c r="S125" s="71" t="s">
        <v>493</v>
      </c>
      <c r="T125" s="72" t="s">
        <v>88</v>
      </c>
      <c r="U125" s="72" t="s">
        <v>88</v>
      </c>
      <c r="V125" s="73" t="s">
        <v>89</v>
      </c>
      <c r="W125" s="74"/>
      <c r="X125" s="75"/>
    </row>
    <row r="126" spans="1:24" ht="15" customHeight="1" thickBot="1" x14ac:dyDescent="0.3">
      <c r="A126" s="67" t="s">
        <v>13394</v>
      </c>
      <c r="B126" s="68" t="s">
        <v>116</v>
      </c>
      <c r="C126" s="67" t="s">
        <v>38</v>
      </c>
      <c r="D126" s="69" t="s">
        <v>236</v>
      </c>
      <c r="E126" s="67" t="s">
        <v>551</v>
      </c>
      <c r="F126" s="67" t="s">
        <v>552</v>
      </c>
      <c r="G126" s="70"/>
      <c r="H126" s="67" t="s">
        <v>553</v>
      </c>
      <c r="I126" s="67"/>
      <c r="J126" s="67"/>
      <c r="K126" s="67" t="s">
        <v>85</v>
      </c>
      <c r="L126" s="130">
        <v>2</v>
      </c>
      <c r="M126" s="70" t="s">
        <v>105</v>
      </c>
      <c r="N126" s="137" t="s">
        <v>554</v>
      </c>
      <c r="O126" s="67"/>
      <c r="P126" s="67"/>
      <c r="Q126" s="131" t="s">
        <v>150</v>
      </c>
      <c r="R126" s="131" t="s">
        <v>555</v>
      </c>
      <c r="S126" s="71" t="s">
        <v>493</v>
      </c>
      <c r="T126" s="72" t="s">
        <v>88</v>
      </c>
      <c r="U126" s="72" t="s">
        <v>88</v>
      </c>
      <c r="V126" s="73" t="s">
        <v>89</v>
      </c>
      <c r="W126" s="74"/>
      <c r="X126" s="75"/>
    </row>
    <row r="127" spans="1:24" ht="15" customHeight="1" thickBot="1" x14ac:dyDescent="0.3">
      <c r="A127" s="67" t="s">
        <v>13394</v>
      </c>
      <c r="B127" s="68" t="s">
        <v>116</v>
      </c>
      <c r="C127" s="67" t="s">
        <v>38</v>
      </c>
      <c r="D127" s="69" t="s">
        <v>241</v>
      </c>
      <c r="E127" s="67" t="s">
        <v>556</v>
      </c>
      <c r="F127" s="67" t="s">
        <v>557</v>
      </c>
      <c r="G127" s="70"/>
      <c r="H127" s="67" t="s">
        <v>558</v>
      </c>
      <c r="I127" s="67"/>
      <c r="J127" s="67"/>
      <c r="K127" s="67" t="s">
        <v>85</v>
      </c>
      <c r="L127" s="130">
        <v>1</v>
      </c>
      <c r="M127" s="70" t="s">
        <v>99</v>
      </c>
      <c r="N127" s="137" t="s">
        <v>559</v>
      </c>
      <c r="O127" s="67"/>
      <c r="P127" s="67"/>
      <c r="Q127" s="131" t="s">
        <v>72</v>
      </c>
      <c r="R127" s="131"/>
      <c r="S127" s="71" t="s">
        <v>493</v>
      </c>
      <c r="T127" s="72" t="s">
        <v>88</v>
      </c>
      <c r="U127" s="72" t="s">
        <v>88</v>
      </c>
      <c r="V127" s="73" t="s">
        <v>89</v>
      </c>
      <c r="W127" s="74"/>
      <c r="X127" s="75"/>
    </row>
    <row r="128" spans="1:24" ht="15" customHeight="1" thickBot="1" x14ac:dyDescent="0.3">
      <c r="A128" s="67" t="s">
        <v>13394</v>
      </c>
      <c r="B128" s="68" t="s">
        <v>116</v>
      </c>
      <c r="C128" s="67" t="s">
        <v>38</v>
      </c>
      <c r="D128" s="69" t="s">
        <v>251</v>
      </c>
      <c r="E128" s="67" t="s">
        <v>560</v>
      </c>
      <c r="F128" s="67" t="s">
        <v>561</v>
      </c>
      <c r="G128" s="70"/>
      <c r="H128" s="67" t="s">
        <v>562</v>
      </c>
      <c r="I128" s="67"/>
      <c r="J128" s="67"/>
      <c r="K128" s="67" t="s">
        <v>85</v>
      </c>
      <c r="L128" s="130">
        <v>2</v>
      </c>
      <c r="M128" s="70" t="s">
        <v>105</v>
      </c>
      <c r="N128" s="137" t="s">
        <v>560</v>
      </c>
      <c r="O128" s="67"/>
      <c r="P128" s="67"/>
      <c r="Q128" s="131" t="s">
        <v>150</v>
      </c>
      <c r="R128" s="131"/>
      <c r="S128" s="71" t="s">
        <v>493</v>
      </c>
      <c r="T128" s="72" t="s">
        <v>88</v>
      </c>
      <c r="U128" s="72" t="s">
        <v>88</v>
      </c>
      <c r="V128" s="73" t="s">
        <v>89</v>
      </c>
      <c r="W128" s="74"/>
      <c r="X128" s="75"/>
    </row>
    <row r="129" spans="1:24" ht="15" customHeight="1" thickBot="1" x14ac:dyDescent="0.3">
      <c r="A129" s="67" t="s">
        <v>13394</v>
      </c>
      <c r="B129" s="68" t="s">
        <v>116</v>
      </c>
      <c r="C129" s="67" t="s">
        <v>38</v>
      </c>
      <c r="D129" s="69" t="s">
        <v>258</v>
      </c>
      <c r="E129" s="67" t="s">
        <v>563</v>
      </c>
      <c r="F129" s="67" t="s">
        <v>564</v>
      </c>
      <c r="G129" s="70"/>
      <c r="H129" s="67" t="s">
        <v>565</v>
      </c>
      <c r="I129" s="67"/>
      <c r="J129" s="67"/>
      <c r="K129" s="67" t="s">
        <v>85</v>
      </c>
      <c r="L129" s="130">
        <v>1</v>
      </c>
      <c r="M129" s="70"/>
      <c r="N129" s="250" t="s">
        <v>566</v>
      </c>
      <c r="O129" s="67"/>
      <c r="P129" s="67"/>
      <c r="Q129" s="131" t="s">
        <v>150</v>
      </c>
      <c r="R129" s="131" t="s">
        <v>567</v>
      </c>
      <c r="S129" s="71" t="s">
        <v>493</v>
      </c>
      <c r="T129" s="72" t="s">
        <v>88</v>
      </c>
      <c r="U129" s="72" t="s">
        <v>88</v>
      </c>
      <c r="V129" s="73" t="s">
        <v>89</v>
      </c>
      <c r="W129" s="74"/>
      <c r="X129" s="75"/>
    </row>
    <row r="130" spans="1:24" ht="15" customHeight="1" thickBot="1" x14ac:dyDescent="0.3">
      <c r="A130" s="67" t="s">
        <v>13394</v>
      </c>
      <c r="B130" s="68" t="s">
        <v>116</v>
      </c>
      <c r="C130" s="67" t="s">
        <v>38</v>
      </c>
      <c r="D130" s="69" t="s">
        <v>262</v>
      </c>
      <c r="E130" s="67" t="s">
        <v>568</v>
      </c>
      <c r="F130" s="67" t="s">
        <v>569</v>
      </c>
      <c r="G130" s="70"/>
      <c r="H130" s="67" t="s">
        <v>570</v>
      </c>
      <c r="I130" s="67"/>
      <c r="J130" s="67"/>
      <c r="K130" s="67" t="s">
        <v>140</v>
      </c>
      <c r="L130" s="130">
        <v>10</v>
      </c>
      <c r="M130" s="70" t="s">
        <v>571</v>
      </c>
      <c r="N130" s="137"/>
      <c r="O130" s="67"/>
      <c r="P130" s="67"/>
      <c r="Q130" s="131" t="s">
        <v>150</v>
      </c>
      <c r="R130" s="131"/>
      <c r="S130" s="71" t="s">
        <v>493</v>
      </c>
      <c r="T130" s="72" t="s">
        <v>88</v>
      </c>
      <c r="U130" s="72" t="s">
        <v>88</v>
      </c>
      <c r="V130" s="73" t="s">
        <v>535</v>
      </c>
      <c r="W130" s="74"/>
      <c r="X130" s="75"/>
    </row>
    <row r="131" spans="1:24" ht="15" customHeight="1" thickBot="1" x14ac:dyDescent="0.3">
      <c r="A131" s="67" t="s">
        <v>13394</v>
      </c>
      <c r="B131" s="68" t="s">
        <v>116</v>
      </c>
      <c r="C131" s="67" t="s">
        <v>38</v>
      </c>
      <c r="D131" s="69" t="s">
        <v>266</v>
      </c>
      <c r="E131" s="67" t="s">
        <v>572</v>
      </c>
      <c r="F131" s="67" t="s">
        <v>573</v>
      </c>
      <c r="G131" s="70"/>
      <c r="H131" s="67" t="s">
        <v>574</v>
      </c>
      <c r="I131" s="67"/>
      <c r="J131" s="67"/>
      <c r="K131" s="67" t="s">
        <v>85</v>
      </c>
      <c r="L131" s="130">
        <v>2</v>
      </c>
      <c r="M131" s="70" t="s">
        <v>105</v>
      </c>
      <c r="N131" s="137" t="s">
        <v>575</v>
      </c>
      <c r="O131" s="67"/>
      <c r="P131" s="67"/>
      <c r="Q131" s="131" t="s">
        <v>150</v>
      </c>
      <c r="R131" s="131"/>
      <c r="S131" s="71" t="s">
        <v>493</v>
      </c>
      <c r="T131" s="72" t="s">
        <v>88</v>
      </c>
      <c r="U131" s="72" t="s">
        <v>88</v>
      </c>
      <c r="V131" s="73" t="s">
        <v>535</v>
      </c>
      <c r="W131" s="74"/>
      <c r="X131" s="75"/>
    </row>
    <row r="132" spans="1:24" ht="15" customHeight="1" thickBot="1" x14ac:dyDescent="0.3">
      <c r="A132" s="67" t="s">
        <v>13394</v>
      </c>
      <c r="B132" s="68" t="s">
        <v>116</v>
      </c>
      <c r="C132" s="67" t="s">
        <v>38</v>
      </c>
      <c r="D132" s="69" t="s">
        <v>271</v>
      </c>
      <c r="E132" s="67" t="s">
        <v>576</v>
      </c>
      <c r="F132" s="67" t="s">
        <v>577</v>
      </c>
      <c r="G132" s="70"/>
      <c r="H132" s="67" t="s">
        <v>578</v>
      </c>
      <c r="I132" s="67"/>
      <c r="J132" s="67"/>
      <c r="K132" s="67" t="s">
        <v>160</v>
      </c>
      <c r="L132" s="130">
        <v>9</v>
      </c>
      <c r="M132" s="70" t="s">
        <v>579</v>
      </c>
      <c r="N132" s="137"/>
      <c r="O132" s="67"/>
      <c r="P132" s="67"/>
      <c r="Q132" s="131" t="s">
        <v>72</v>
      </c>
      <c r="R132" s="131"/>
      <c r="S132" s="71" t="s">
        <v>493</v>
      </c>
      <c r="T132" s="72" t="s">
        <v>114</v>
      </c>
      <c r="U132" s="72" t="s">
        <v>88</v>
      </c>
      <c r="V132" s="73" t="s">
        <v>89</v>
      </c>
      <c r="W132" s="74"/>
      <c r="X132" s="75"/>
    </row>
    <row r="133" spans="1:24" ht="15" customHeight="1" thickBot="1" x14ac:dyDescent="0.3">
      <c r="A133" s="67" t="s">
        <v>13394</v>
      </c>
      <c r="B133" s="68" t="s">
        <v>116</v>
      </c>
      <c r="C133" s="67" t="s">
        <v>38</v>
      </c>
      <c r="D133" s="69" t="s">
        <v>277</v>
      </c>
      <c r="E133" s="67" t="s">
        <v>580</v>
      </c>
      <c r="F133" s="67" t="s">
        <v>581</v>
      </c>
      <c r="G133" s="70"/>
      <c r="H133" s="67" t="s">
        <v>582</v>
      </c>
      <c r="I133" s="67"/>
      <c r="J133" s="67"/>
      <c r="K133" s="67" t="s">
        <v>125</v>
      </c>
      <c r="L133" s="130">
        <v>250</v>
      </c>
      <c r="M133" s="70"/>
      <c r="N133" s="137"/>
      <c r="O133" s="67"/>
      <c r="P133" s="67"/>
      <c r="Q133" s="131" t="s">
        <v>150</v>
      </c>
      <c r="R133" s="131" t="s">
        <v>583</v>
      </c>
      <c r="S133" s="71" t="s">
        <v>584</v>
      </c>
      <c r="T133" s="72" t="s">
        <v>114</v>
      </c>
      <c r="U133" s="72" t="s">
        <v>114</v>
      </c>
      <c r="V133" s="73"/>
      <c r="W133" s="74"/>
      <c r="X133" s="75"/>
    </row>
    <row r="134" spans="1:24" s="66" customFormat="1" ht="15" customHeight="1" thickBot="1" x14ac:dyDescent="0.3">
      <c r="A134" s="19" t="s">
        <v>13394</v>
      </c>
      <c r="B134" s="59">
        <v>7</v>
      </c>
      <c r="C134" s="19" t="s">
        <v>39</v>
      </c>
      <c r="D134" s="77" t="s">
        <v>80</v>
      </c>
      <c r="E134" s="19" t="s">
        <v>60</v>
      </c>
      <c r="F134" s="60" t="s">
        <v>61</v>
      </c>
      <c r="G134" s="19"/>
      <c r="H134" s="19" t="s">
        <v>63</v>
      </c>
      <c r="I134" s="19"/>
      <c r="J134" s="19"/>
      <c r="K134" s="19"/>
      <c r="L134" s="19"/>
      <c r="M134" s="61"/>
      <c r="N134" s="19"/>
      <c r="O134" s="19"/>
      <c r="P134" s="19"/>
      <c r="Q134" s="62"/>
      <c r="R134" s="62"/>
      <c r="S134" s="19"/>
      <c r="T134" s="19"/>
      <c r="U134" s="19"/>
      <c r="V134" s="19"/>
      <c r="W134" s="19"/>
      <c r="X134" s="62"/>
    </row>
    <row r="135" spans="1:24" ht="15" customHeight="1" thickBot="1" x14ac:dyDescent="0.3">
      <c r="A135" s="67" t="s">
        <v>13394</v>
      </c>
      <c r="B135" s="68" t="s">
        <v>121</v>
      </c>
      <c r="C135" s="67" t="s">
        <v>39</v>
      </c>
      <c r="D135" s="69" t="s">
        <v>81</v>
      </c>
      <c r="E135" s="67" t="s">
        <v>165</v>
      </c>
      <c r="F135" s="67" t="s">
        <v>166</v>
      </c>
      <c r="G135" s="70"/>
      <c r="H135" s="67" t="s">
        <v>167</v>
      </c>
      <c r="I135" s="67"/>
      <c r="J135" s="67"/>
      <c r="K135" s="67" t="s">
        <v>160</v>
      </c>
      <c r="L135" s="130">
        <v>9</v>
      </c>
      <c r="M135" s="70"/>
      <c r="N135" s="137"/>
      <c r="O135" s="67"/>
      <c r="P135" s="67"/>
      <c r="Q135" s="131" t="s">
        <v>72</v>
      </c>
      <c r="R135" s="131"/>
      <c r="S135" s="71" t="s">
        <v>585</v>
      </c>
      <c r="T135" s="72" t="s">
        <v>114</v>
      </c>
      <c r="U135" s="72" t="s">
        <v>88</v>
      </c>
      <c r="V135" s="73" t="s">
        <v>89</v>
      </c>
      <c r="W135" s="74"/>
      <c r="X135" s="75" t="s">
        <v>126</v>
      </c>
    </row>
    <row r="136" spans="1:24" ht="15" customHeight="1" thickBot="1" x14ac:dyDescent="0.3">
      <c r="A136" s="67" t="s">
        <v>13394</v>
      </c>
      <c r="B136" s="68" t="s">
        <v>121</v>
      </c>
      <c r="C136" s="67" t="s">
        <v>39</v>
      </c>
      <c r="D136" s="69" t="s">
        <v>90</v>
      </c>
      <c r="E136" s="67" t="s">
        <v>494</v>
      </c>
      <c r="F136" s="67" t="s">
        <v>495</v>
      </c>
      <c r="G136" s="70"/>
      <c r="H136" s="67" t="s">
        <v>586</v>
      </c>
      <c r="I136" s="67"/>
      <c r="J136" s="67"/>
      <c r="K136" s="67" t="s">
        <v>85</v>
      </c>
      <c r="L136" s="130">
        <v>4</v>
      </c>
      <c r="M136" s="70" t="s">
        <v>403</v>
      </c>
      <c r="N136" s="137" t="s">
        <v>86</v>
      </c>
      <c r="O136" s="67"/>
      <c r="P136" s="67"/>
      <c r="Q136" s="131" t="s">
        <v>72</v>
      </c>
      <c r="R136" s="131"/>
      <c r="S136" s="71" t="s">
        <v>587</v>
      </c>
      <c r="T136" s="72" t="s">
        <v>114</v>
      </c>
      <c r="U136" s="72" t="s">
        <v>88</v>
      </c>
      <c r="V136" s="73" t="s">
        <v>89</v>
      </c>
      <c r="W136" s="74"/>
      <c r="X136" s="75" t="s">
        <v>126</v>
      </c>
    </row>
    <row r="137" spans="1:24" ht="15" customHeight="1" thickBot="1" x14ac:dyDescent="0.3">
      <c r="A137" s="67" t="s">
        <v>13394</v>
      </c>
      <c r="B137" s="68" t="s">
        <v>121</v>
      </c>
      <c r="C137" s="67" t="s">
        <v>39</v>
      </c>
      <c r="D137" s="69" t="s">
        <v>95</v>
      </c>
      <c r="E137" s="67" t="s">
        <v>588</v>
      </c>
      <c r="F137" s="67" t="s">
        <v>589</v>
      </c>
      <c r="G137" s="70"/>
      <c r="H137" s="67" t="s">
        <v>590</v>
      </c>
      <c r="I137" s="67"/>
      <c r="J137" s="67"/>
      <c r="K137" s="67" t="s">
        <v>85</v>
      </c>
      <c r="L137" s="130">
        <v>1</v>
      </c>
      <c r="M137" s="70" t="s">
        <v>99</v>
      </c>
      <c r="N137" s="137" t="s">
        <v>195</v>
      </c>
      <c r="O137" s="67"/>
      <c r="P137" s="67"/>
      <c r="Q137" s="131" t="s">
        <v>72</v>
      </c>
      <c r="R137" s="131"/>
      <c r="S137" s="71" t="s">
        <v>270</v>
      </c>
      <c r="T137" s="72" t="s">
        <v>114</v>
      </c>
      <c r="U137" s="72" t="s">
        <v>88</v>
      </c>
      <c r="V137" s="73" t="s">
        <v>89</v>
      </c>
      <c r="W137" s="74"/>
      <c r="X137" s="75" t="s">
        <v>126</v>
      </c>
    </row>
    <row r="138" spans="1:24" ht="15" customHeight="1" thickBot="1" x14ac:dyDescent="0.3">
      <c r="A138" s="67" t="s">
        <v>13394</v>
      </c>
      <c r="B138" s="68" t="s">
        <v>121</v>
      </c>
      <c r="C138" s="67" t="s">
        <v>39</v>
      </c>
      <c r="D138" s="69" t="s">
        <v>101</v>
      </c>
      <c r="E138" s="67" t="s">
        <v>591</v>
      </c>
      <c r="F138" s="67" t="s">
        <v>592</v>
      </c>
      <c r="G138" s="70"/>
      <c r="H138" s="67" t="s">
        <v>593</v>
      </c>
      <c r="I138" s="67"/>
      <c r="J138" s="67"/>
      <c r="K138" s="67" t="s">
        <v>85</v>
      </c>
      <c r="L138" s="130">
        <v>1</v>
      </c>
      <c r="M138" s="70" t="s">
        <v>99</v>
      </c>
      <c r="N138" s="137" t="s">
        <v>195</v>
      </c>
      <c r="O138" s="67"/>
      <c r="P138" s="67"/>
      <c r="Q138" s="131" t="s">
        <v>72</v>
      </c>
      <c r="R138" s="131"/>
      <c r="S138" s="71" t="s">
        <v>270</v>
      </c>
      <c r="T138" s="72" t="s">
        <v>114</v>
      </c>
      <c r="U138" s="72" t="s">
        <v>88</v>
      </c>
      <c r="V138" s="73" t="s">
        <v>89</v>
      </c>
      <c r="W138" s="74"/>
      <c r="X138" s="75" t="s">
        <v>126</v>
      </c>
    </row>
    <row r="139" spans="1:24" ht="15" customHeight="1" thickBot="1" x14ac:dyDescent="0.3">
      <c r="A139" s="67" t="s">
        <v>13394</v>
      </c>
      <c r="B139" s="68" t="s">
        <v>121</v>
      </c>
      <c r="C139" s="67" t="s">
        <v>39</v>
      </c>
      <c r="D139" s="69" t="s">
        <v>107</v>
      </c>
      <c r="E139" s="67" t="s">
        <v>594</v>
      </c>
      <c r="F139" s="67" t="s">
        <v>595</v>
      </c>
      <c r="G139" s="70"/>
      <c r="H139" s="67" t="s">
        <v>596</v>
      </c>
      <c r="I139" s="67"/>
      <c r="J139" s="67"/>
      <c r="K139" s="67" t="s">
        <v>85</v>
      </c>
      <c r="L139" s="130">
        <v>1</v>
      </c>
      <c r="M139" s="70" t="s">
        <v>99</v>
      </c>
      <c r="N139" s="137" t="s">
        <v>195</v>
      </c>
      <c r="O139" s="67"/>
      <c r="P139" s="67"/>
      <c r="Q139" s="131" t="s">
        <v>72</v>
      </c>
      <c r="R139" s="131"/>
      <c r="S139" s="71" t="s">
        <v>270</v>
      </c>
      <c r="T139" s="72" t="s">
        <v>114</v>
      </c>
      <c r="U139" s="72" t="s">
        <v>88</v>
      </c>
      <c r="V139" s="73" t="s">
        <v>89</v>
      </c>
      <c r="W139" s="74"/>
      <c r="X139" s="75" t="s">
        <v>126</v>
      </c>
    </row>
    <row r="140" spans="1:24" ht="15" customHeight="1" thickBot="1" x14ac:dyDescent="0.3">
      <c r="A140" s="67" t="s">
        <v>13394</v>
      </c>
      <c r="B140" s="68" t="s">
        <v>121</v>
      </c>
      <c r="C140" s="67" t="s">
        <v>39</v>
      </c>
      <c r="D140" s="69" t="s">
        <v>116</v>
      </c>
      <c r="E140" s="67" t="s">
        <v>597</v>
      </c>
      <c r="F140" s="67" t="s">
        <v>598</v>
      </c>
      <c r="G140" s="70"/>
      <c r="H140" s="67" t="s">
        <v>599</v>
      </c>
      <c r="I140" s="67"/>
      <c r="J140" s="67"/>
      <c r="K140" s="67" t="s">
        <v>85</v>
      </c>
      <c r="L140" s="130">
        <v>1</v>
      </c>
      <c r="M140" s="70" t="s">
        <v>99</v>
      </c>
      <c r="N140" s="137" t="s">
        <v>195</v>
      </c>
      <c r="O140" s="67"/>
      <c r="P140" s="67"/>
      <c r="Q140" s="131" t="s">
        <v>72</v>
      </c>
      <c r="R140" s="131"/>
      <c r="S140" s="71" t="s">
        <v>270</v>
      </c>
      <c r="T140" s="72" t="s">
        <v>114</v>
      </c>
      <c r="U140" s="72" t="s">
        <v>88</v>
      </c>
      <c r="V140" s="73" t="s">
        <v>89</v>
      </c>
      <c r="W140" s="74"/>
      <c r="X140" s="75" t="s">
        <v>126</v>
      </c>
    </row>
    <row r="141" spans="1:24" ht="15" customHeight="1" thickBot="1" x14ac:dyDescent="0.3">
      <c r="A141" s="67" t="s">
        <v>13394</v>
      </c>
      <c r="B141" s="68" t="s">
        <v>121</v>
      </c>
      <c r="C141" s="67" t="s">
        <v>39</v>
      </c>
      <c r="D141" s="69" t="s">
        <v>121</v>
      </c>
      <c r="E141" s="67" t="s">
        <v>600</v>
      </c>
      <c r="F141" s="67" t="s">
        <v>601</v>
      </c>
      <c r="G141" s="70"/>
      <c r="H141" s="67" t="s">
        <v>602</v>
      </c>
      <c r="I141" s="67"/>
      <c r="J141" s="67"/>
      <c r="K141" s="67" t="s">
        <v>85</v>
      </c>
      <c r="L141" s="130">
        <v>1</v>
      </c>
      <c r="M141" s="70" t="s">
        <v>99</v>
      </c>
      <c r="N141" s="137" t="s">
        <v>195</v>
      </c>
      <c r="O141" s="67"/>
      <c r="P141" s="67"/>
      <c r="Q141" s="131" t="s">
        <v>72</v>
      </c>
      <c r="R141" s="131"/>
      <c r="S141" s="71" t="s">
        <v>270</v>
      </c>
      <c r="T141" s="72" t="s">
        <v>114</v>
      </c>
      <c r="U141" s="72" t="s">
        <v>88</v>
      </c>
      <c r="V141" s="73" t="s">
        <v>89</v>
      </c>
      <c r="W141" s="74"/>
      <c r="X141" s="75" t="s">
        <v>126</v>
      </c>
    </row>
    <row r="142" spans="1:24" ht="15" customHeight="1" thickBot="1" x14ac:dyDescent="0.3">
      <c r="A142" s="67" t="s">
        <v>13394</v>
      </c>
      <c r="B142" s="68" t="s">
        <v>121</v>
      </c>
      <c r="C142" s="67" t="s">
        <v>39</v>
      </c>
      <c r="D142" s="69" t="s">
        <v>127</v>
      </c>
      <c r="E142" s="67" t="s">
        <v>603</v>
      </c>
      <c r="F142" s="67" t="s">
        <v>604</v>
      </c>
      <c r="G142" s="70"/>
      <c r="H142" s="67" t="s">
        <v>605</v>
      </c>
      <c r="I142" s="67"/>
      <c r="J142" s="67"/>
      <c r="K142" s="67" t="s">
        <v>85</v>
      </c>
      <c r="L142" s="130">
        <v>1</v>
      </c>
      <c r="M142" s="70"/>
      <c r="N142" s="137" t="s">
        <v>566</v>
      </c>
      <c r="O142" s="67"/>
      <c r="P142" s="67"/>
      <c r="Q142" s="131" t="s">
        <v>72</v>
      </c>
      <c r="R142" s="131"/>
      <c r="S142" s="71" t="s">
        <v>270</v>
      </c>
      <c r="T142" s="72" t="s">
        <v>114</v>
      </c>
      <c r="U142" s="72" t="s">
        <v>88</v>
      </c>
      <c r="V142" s="73" t="s">
        <v>89</v>
      </c>
      <c r="W142" s="74"/>
      <c r="X142" s="75" t="s">
        <v>126</v>
      </c>
    </row>
    <row r="143" spans="1:24" ht="15" customHeight="1" thickBot="1" x14ac:dyDescent="0.3">
      <c r="A143" s="67" t="s">
        <v>13394</v>
      </c>
      <c r="B143" s="68" t="s">
        <v>121</v>
      </c>
      <c r="C143" s="67" t="s">
        <v>39</v>
      </c>
      <c r="D143" s="69" t="s">
        <v>132</v>
      </c>
      <c r="E143" s="67" t="s">
        <v>606</v>
      </c>
      <c r="F143" s="67" t="s">
        <v>607</v>
      </c>
      <c r="G143" s="70"/>
      <c r="H143" s="67" t="s">
        <v>608</v>
      </c>
      <c r="I143" s="67"/>
      <c r="J143" s="67"/>
      <c r="K143" s="67" t="s">
        <v>140</v>
      </c>
      <c r="L143" s="130">
        <v>10</v>
      </c>
      <c r="M143" s="70" t="s">
        <v>141</v>
      </c>
      <c r="N143" s="137"/>
      <c r="O143" s="67"/>
      <c r="P143" s="67"/>
      <c r="Q143" s="131" t="s">
        <v>180</v>
      </c>
      <c r="R143" s="131"/>
      <c r="S143" s="71" t="s">
        <v>270</v>
      </c>
      <c r="T143" s="72" t="s">
        <v>114</v>
      </c>
      <c r="U143" s="72" t="s">
        <v>88</v>
      </c>
      <c r="V143" s="73" t="s">
        <v>89</v>
      </c>
      <c r="W143" s="74"/>
      <c r="X143" s="75" t="s">
        <v>126</v>
      </c>
    </row>
    <row r="144" spans="1:24" ht="15" customHeight="1" thickBot="1" x14ac:dyDescent="0.3">
      <c r="A144" s="67" t="s">
        <v>13394</v>
      </c>
      <c r="B144" s="68" t="s">
        <v>121</v>
      </c>
      <c r="C144" s="67" t="s">
        <v>39</v>
      </c>
      <c r="D144" s="69" t="s">
        <v>136</v>
      </c>
      <c r="E144" s="67" t="s">
        <v>609</v>
      </c>
      <c r="F144" s="67" t="s">
        <v>610</v>
      </c>
      <c r="G144" s="70"/>
      <c r="H144" s="67" t="s">
        <v>611</v>
      </c>
      <c r="I144" s="67"/>
      <c r="J144" s="67"/>
      <c r="K144" s="67" t="s">
        <v>140</v>
      </c>
      <c r="L144" s="130">
        <v>10</v>
      </c>
      <c r="M144" s="70" t="s">
        <v>141</v>
      </c>
      <c r="N144" s="137"/>
      <c r="O144" s="67"/>
      <c r="P144" s="67"/>
      <c r="Q144" s="131" t="s">
        <v>72</v>
      </c>
      <c r="R144" s="131"/>
      <c r="S144" s="71" t="s">
        <v>270</v>
      </c>
      <c r="T144" s="72" t="s">
        <v>114</v>
      </c>
      <c r="U144" s="72" t="s">
        <v>88</v>
      </c>
      <c r="V144" s="73" t="s">
        <v>89</v>
      </c>
      <c r="W144" s="74"/>
      <c r="X144" s="75" t="s">
        <v>126</v>
      </c>
    </row>
    <row r="145" spans="1:24" ht="15" customHeight="1" thickBot="1" x14ac:dyDescent="0.3">
      <c r="A145" s="67" t="s">
        <v>13394</v>
      </c>
      <c r="B145" s="68" t="s">
        <v>121</v>
      </c>
      <c r="C145" s="67" t="s">
        <v>39</v>
      </c>
      <c r="D145" s="69" t="s">
        <v>142</v>
      </c>
      <c r="E145" s="67" t="s">
        <v>612</v>
      </c>
      <c r="F145" s="67" t="s">
        <v>613</v>
      </c>
      <c r="G145" s="70"/>
      <c r="H145" s="67" t="s">
        <v>614</v>
      </c>
      <c r="I145" s="67"/>
      <c r="J145" s="67"/>
      <c r="K145" s="67" t="s">
        <v>140</v>
      </c>
      <c r="L145" s="130">
        <v>10</v>
      </c>
      <c r="M145" s="70" t="s">
        <v>141</v>
      </c>
      <c r="N145" s="137"/>
      <c r="O145" s="67"/>
      <c r="P145" s="67"/>
      <c r="Q145" s="131" t="s">
        <v>180</v>
      </c>
      <c r="R145" s="131"/>
      <c r="S145" s="71" t="s">
        <v>270</v>
      </c>
      <c r="T145" s="72" t="s">
        <v>114</v>
      </c>
      <c r="U145" s="72" t="s">
        <v>88</v>
      </c>
      <c r="V145" s="73" t="s">
        <v>89</v>
      </c>
      <c r="W145" s="74"/>
      <c r="X145" s="75" t="s">
        <v>126</v>
      </c>
    </row>
    <row r="146" spans="1:24" ht="15" customHeight="1" thickBot="1" x14ac:dyDescent="0.3">
      <c r="A146" s="67" t="s">
        <v>13394</v>
      </c>
      <c r="B146" s="68" t="s">
        <v>121</v>
      </c>
      <c r="C146" s="67" t="s">
        <v>39</v>
      </c>
      <c r="D146" s="69" t="s">
        <v>146</v>
      </c>
      <c r="E146" s="67" t="s">
        <v>615</v>
      </c>
      <c r="F146" s="67" t="s">
        <v>616</v>
      </c>
      <c r="G146" s="70"/>
      <c r="H146" s="67" t="s">
        <v>617</v>
      </c>
      <c r="I146" s="67"/>
      <c r="J146" s="67"/>
      <c r="K146" s="67" t="s">
        <v>85</v>
      </c>
      <c r="L146" s="130">
        <v>2</v>
      </c>
      <c r="M146" s="70"/>
      <c r="N146" s="137" t="s">
        <v>618</v>
      </c>
      <c r="O146" s="67"/>
      <c r="P146" s="67"/>
      <c r="Q146" s="131" t="s">
        <v>150</v>
      </c>
      <c r="R146" s="131"/>
      <c r="S146" s="71" t="s">
        <v>270</v>
      </c>
      <c r="T146" s="72" t="s">
        <v>114</v>
      </c>
      <c r="U146" s="72" t="s">
        <v>88</v>
      </c>
      <c r="V146" s="73" t="s">
        <v>89</v>
      </c>
      <c r="W146" s="74"/>
      <c r="X146" s="75" t="s">
        <v>126</v>
      </c>
    </row>
    <row r="147" spans="1:24" s="66" customFormat="1" ht="15" customHeight="1" thickBot="1" x14ac:dyDescent="0.3">
      <c r="A147" s="19" t="s">
        <v>13394</v>
      </c>
      <c r="B147" s="76" t="s">
        <v>127</v>
      </c>
      <c r="C147" s="19" t="s">
        <v>40</v>
      </c>
      <c r="D147" s="77" t="s">
        <v>80</v>
      </c>
      <c r="E147" s="19" t="s">
        <v>60</v>
      </c>
      <c r="F147" s="60" t="s">
        <v>61</v>
      </c>
      <c r="G147" s="19"/>
      <c r="H147" s="19" t="s">
        <v>63</v>
      </c>
      <c r="I147" s="19"/>
      <c r="J147" s="19"/>
      <c r="K147" s="19"/>
      <c r="L147" s="19"/>
      <c r="M147" s="61"/>
      <c r="N147" s="19"/>
      <c r="O147" s="19"/>
      <c r="P147" s="19"/>
      <c r="Q147" s="62"/>
      <c r="R147" s="62"/>
      <c r="S147" s="19"/>
      <c r="T147" s="19"/>
      <c r="U147" s="19"/>
      <c r="V147" s="19"/>
      <c r="W147" s="19"/>
      <c r="X147" s="62"/>
    </row>
    <row r="148" spans="1:24" ht="15" customHeight="1" thickBot="1" x14ac:dyDescent="0.3">
      <c r="A148" s="67" t="s">
        <v>13394</v>
      </c>
      <c r="B148" s="68" t="s">
        <v>127</v>
      </c>
      <c r="C148" s="67" t="s">
        <v>40</v>
      </c>
      <c r="D148" s="69" t="s">
        <v>81</v>
      </c>
      <c r="E148" s="67" t="s">
        <v>619</v>
      </c>
      <c r="F148" s="67" t="s">
        <v>620</v>
      </c>
      <c r="G148" s="70"/>
      <c r="H148" s="67" t="s">
        <v>621</v>
      </c>
      <c r="I148" s="67"/>
      <c r="J148" s="67"/>
      <c r="K148" s="67" t="s">
        <v>160</v>
      </c>
      <c r="L148" s="130">
        <v>9</v>
      </c>
      <c r="M148" s="70" t="s">
        <v>579</v>
      </c>
      <c r="N148" s="137"/>
      <c r="O148" s="67"/>
      <c r="P148" s="67"/>
      <c r="Q148" s="131" t="s">
        <v>72</v>
      </c>
      <c r="R148" s="131"/>
      <c r="S148" s="71" t="s">
        <v>622</v>
      </c>
      <c r="T148" s="72" t="s">
        <v>88</v>
      </c>
      <c r="U148" s="72" t="s">
        <v>88</v>
      </c>
      <c r="V148" s="73" t="s">
        <v>89</v>
      </c>
      <c r="W148" s="74"/>
      <c r="X148" s="75"/>
    </row>
    <row r="149" spans="1:24" ht="15" customHeight="1" thickBot="1" x14ac:dyDescent="0.3">
      <c r="A149" s="67" t="s">
        <v>13394</v>
      </c>
      <c r="B149" s="68" t="s">
        <v>127</v>
      </c>
      <c r="C149" s="67" t="s">
        <v>40</v>
      </c>
      <c r="D149" s="69" t="s">
        <v>90</v>
      </c>
      <c r="E149" s="67" t="s">
        <v>170</v>
      </c>
      <c r="F149" s="67" t="s">
        <v>171</v>
      </c>
      <c r="G149" s="70"/>
      <c r="H149" s="67" t="s">
        <v>623</v>
      </c>
      <c r="I149" s="67"/>
      <c r="J149" s="67"/>
      <c r="K149" s="67" t="s">
        <v>125</v>
      </c>
      <c r="L149" s="130">
        <v>35</v>
      </c>
      <c r="M149" s="70"/>
      <c r="N149" s="137"/>
      <c r="O149" s="67"/>
      <c r="P149" s="67"/>
      <c r="Q149" s="131" t="s">
        <v>72</v>
      </c>
      <c r="R149" s="131"/>
      <c r="S149" s="71" t="s">
        <v>624</v>
      </c>
      <c r="T149" s="72" t="s">
        <v>88</v>
      </c>
      <c r="U149" s="72" t="s">
        <v>88</v>
      </c>
      <c r="V149" s="73" t="s">
        <v>89</v>
      </c>
      <c r="W149" s="74"/>
      <c r="X149" s="75"/>
    </row>
    <row r="150" spans="1:24" ht="15" customHeight="1" thickBot="1" x14ac:dyDescent="0.3">
      <c r="A150" s="67" t="s">
        <v>13394</v>
      </c>
      <c r="B150" s="68" t="s">
        <v>127</v>
      </c>
      <c r="C150" s="67" t="s">
        <v>40</v>
      </c>
      <c r="D150" s="69" t="s">
        <v>95</v>
      </c>
      <c r="E150" s="67" t="s">
        <v>174</v>
      </c>
      <c r="F150" s="67" t="s">
        <v>175</v>
      </c>
      <c r="G150" s="70"/>
      <c r="H150" s="67" t="s">
        <v>176</v>
      </c>
      <c r="I150" s="67"/>
      <c r="J150" s="67"/>
      <c r="K150" s="67" t="s">
        <v>125</v>
      </c>
      <c r="L150" s="130">
        <v>35</v>
      </c>
      <c r="M150" s="70"/>
      <c r="N150" s="137"/>
      <c r="O150" s="67"/>
      <c r="P150" s="67"/>
      <c r="Q150" s="131" t="s">
        <v>72</v>
      </c>
      <c r="R150" s="131"/>
      <c r="S150" s="71" t="s">
        <v>624</v>
      </c>
      <c r="T150" s="72" t="s">
        <v>88</v>
      </c>
      <c r="U150" s="72" t="s">
        <v>88</v>
      </c>
      <c r="V150" s="73" t="s">
        <v>89</v>
      </c>
      <c r="W150" s="74"/>
      <c r="X150" s="75"/>
    </row>
    <row r="151" spans="1:24" ht="15" customHeight="1" thickBot="1" x14ac:dyDescent="0.3">
      <c r="A151" s="67" t="s">
        <v>13394</v>
      </c>
      <c r="B151" s="68" t="s">
        <v>127</v>
      </c>
      <c r="C151" s="67" t="s">
        <v>40</v>
      </c>
      <c r="D151" s="69" t="s">
        <v>101</v>
      </c>
      <c r="E151" s="67" t="s">
        <v>177</v>
      </c>
      <c r="F151" s="67" t="s">
        <v>178</v>
      </c>
      <c r="G151" s="70"/>
      <c r="H151" s="67" t="s">
        <v>179</v>
      </c>
      <c r="I151" s="67"/>
      <c r="J151" s="67"/>
      <c r="K151" s="67" t="s">
        <v>125</v>
      </c>
      <c r="L151" s="130">
        <v>40</v>
      </c>
      <c r="M151" s="70"/>
      <c r="N151" s="137"/>
      <c r="O151" s="67"/>
      <c r="P151" s="67"/>
      <c r="Q151" s="131" t="s">
        <v>180</v>
      </c>
      <c r="R151" s="131"/>
      <c r="S151" s="71" t="s">
        <v>624</v>
      </c>
      <c r="T151" s="72" t="s">
        <v>88</v>
      </c>
      <c r="U151" s="72" t="s">
        <v>88</v>
      </c>
      <c r="V151" s="73" t="s">
        <v>89</v>
      </c>
      <c r="W151" s="74"/>
      <c r="X151" s="75"/>
    </row>
    <row r="152" spans="1:24" ht="15" customHeight="1" thickBot="1" x14ac:dyDescent="0.3">
      <c r="A152" s="67" t="s">
        <v>13394</v>
      </c>
      <c r="B152" s="68" t="s">
        <v>127</v>
      </c>
      <c r="C152" s="67" t="s">
        <v>40</v>
      </c>
      <c r="D152" s="69" t="s">
        <v>107</v>
      </c>
      <c r="E152" s="67" t="s">
        <v>181</v>
      </c>
      <c r="F152" s="67" t="s">
        <v>182</v>
      </c>
      <c r="G152" s="70"/>
      <c r="H152" s="67" t="s">
        <v>625</v>
      </c>
      <c r="I152" s="67"/>
      <c r="J152" s="67"/>
      <c r="K152" s="67" t="s">
        <v>125</v>
      </c>
      <c r="L152" s="130">
        <v>8</v>
      </c>
      <c r="M152" s="70"/>
      <c r="N152" s="137"/>
      <c r="O152" s="67"/>
      <c r="P152" s="67"/>
      <c r="Q152" s="131" t="s">
        <v>180</v>
      </c>
      <c r="R152" s="131"/>
      <c r="S152" s="71" t="s">
        <v>624</v>
      </c>
      <c r="T152" s="72" t="s">
        <v>88</v>
      </c>
      <c r="U152" s="72" t="s">
        <v>88</v>
      </c>
      <c r="V152" s="73" t="s">
        <v>89</v>
      </c>
      <c r="W152" s="74"/>
      <c r="X152" s="75"/>
    </row>
    <row r="153" spans="1:24" ht="15" customHeight="1" thickBot="1" x14ac:dyDescent="0.3">
      <c r="A153" s="67" t="s">
        <v>13394</v>
      </c>
      <c r="B153" s="68" t="s">
        <v>127</v>
      </c>
      <c r="C153" s="67" t="s">
        <v>40</v>
      </c>
      <c r="D153" s="69" t="s">
        <v>116</v>
      </c>
      <c r="E153" s="67" t="s">
        <v>626</v>
      </c>
      <c r="F153" s="67" t="s">
        <v>627</v>
      </c>
      <c r="G153" s="70"/>
      <c r="H153" s="67" t="s">
        <v>628</v>
      </c>
      <c r="I153" s="67"/>
      <c r="J153" s="67"/>
      <c r="K153" s="67" t="s">
        <v>125</v>
      </c>
      <c r="L153" s="130">
        <v>50</v>
      </c>
      <c r="M153" s="70"/>
      <c r="N153" s="137"/>
      <c r="O153" s="67"/>
      <c r="P153" s="67"/>
      <c r="Q153" s="131" t="s">
        <v>180</v>
      </c>
      <c r="R153" s="131"/>
      <c r="S153" s="71" t="s">
        <v>624</v>
      </c>
      <c r="T153" s="72" t="s">
        <v>88</v>
      </c>
      <c r="U153" s="72" t="s">
        <v>88</v>
      </c>
      <c r="V153" s="73" t="s">
        <v>89</v>
      </c>
      <c r="W153" s="74"/>
      <c r="X153" s="75"/>
    </row>
    <row r="154" spans="1:24" ht="15" customHeight="1" thickBot="1" x14ac:dyDescent="0.3">
      <c r="A154" s="67" t="s">
        <v>13394</v>
      </c>
      <c r="B154" s="68" t="s">
        <v>127</v>
      </c>
      <c r="C154" s="67" t="s">
        <v>40</v>
      </c>
      <c r="D154" s="69" t="s">
        <v>121</v>
      </c>
      <c r="E154" s="67" t="s">
        <v>184</v>
      </c>
      <c r="F154" s="67" t="s">
        <v>185</v>
      </c>
      <c r="G154" s="70"/>
      <c r="H154" s="67" t="s">
        <v>186</v>
      </c>
      <c r="I154" s="67"/>
      <c r="J154" s="67"/>
      <c r="K154" s="67" t="s">
        <v>140</v>
      </c>
      <c r="L154" s="130"/>
      <c r="M154" s="70" t="s">
        <v>141</v>
      </c>
      <c r="N154" s="137"/>
      <c r="O154" s="67"/>
      <c r="P154" s="67"/>
      <c r="Q154" s="131" t="s">
        <v>72</v>
      </c>
      <c r="R154" s="131"/>
      <c r="S154" s="71" t="s">
        <v>624</v>
      </c>
      <c r="T154" s="72" t="s">
        <v>88</v>
      </c>
      <c r="U154" s="72" t="s">
        <v>88</v>
      </c>
      <c r="V154" s="73" t="s">
        <v>89</v>
      </c>
      <c r="W154" s="74"/>
      <c r="X154" s="75"/>
    </row>
    <row r="155" spans="1:24" ht="15" customHeight="1" thickBot="1" x14ac:dyDescent="0.3">
      <c r="A155" s="67" t="s">
        <v>13394</v>
      </c>
      <c r="B155" s="68" t="s">
        <v>127</v>
      </c>
      <c r="C155" s="67" t="s">
        <v>40</v>
      </c>
      <c r="D155" s="69" t="s">
        <v>127</v>
      </c>
      <c r="E155" s="67" t="s">
        <v>188</v>
      </c>
      <c r="F155" s="67" t="s">
        <v>189</v>
      </c>
      <c r="G155" s="70"/>
      <c r="H155" s="67" t="s">
        <v>190</v>
      </c>
      <c r="I155" s="67"/>
      <c r="J155" s="67"/>
      <c r="K155" s="67" t="s">
        <v>85</v>
      </c>
      <c r="L155" s="130">
        <v>1</v>
      </c>
      <c r="M155" s="70" t="s">
        <v>99</v>
      </c>
      <c r="N155" s="137" t="s">
        <v>188</v>
      </c>
      <c r="O155" s="67"/>
      <c r="P155" s="67"/>
      <c r="Q155" s="131" t="s">
        <v>72</v>
      </c>
      <c r="R155" s="131"/>
      <c r="S155" s="71" t="s">
        <v>624</v>
      </c>
      <c r="T155" s="72" t="s">
        <v>88</v>
      </c>
      <c r="U155" s="72" t="s">
        <v>88</v>
      </c>
      <c r="V155" s="73" t="s">
        <v>89</v>
      </c>
      <c r="W155" s="74"/>
      <c r="X155" s="75"/>
    </row>
    <row r="156" spans="1:24" ht="15" customHeight="1" thickBot="1" x14ac:dyDescent="0.3">
      <c r="A156" s="67" t="s">
        <v>13394</v>
      </c>
      <c r="B156" s="68" t="s">
        <v>127</v>
      </c>
      <c r="C156" s="67" t="s">
        <v>40</v>
      </c>
      <c r="D156" s="69" t="s">
        <v>132</v>
      </c>
      <c r="E156" s="67" t="s">
        <v>192</v>
      </c>
      <c r="F156" s="67" t="s">
        <v>193</v>
      </c>
      <c r="G156" s="70"/>
      <c r="H156" s="67" t="s">
        <v>194</v>
      </c>
      <c r="I156" s="67"/>
      <c r="J156" s="67"/>
      <c r="K156" s="67" t="s">
        <v>85</v>
      </c>
      <c r="L156" s="130">
        <v>1</v>
      </c>
      <c r="M156" s="70" t="s">
        <v>99</v>
      </c>
      <c r="N156" s="137" t="s">
        <v>195</v>
      </c>
      <c r="O156" s="67"/>
      <c r="P156" s="67"/>
      <c r="Q156" s="131" t="s">
        <v>72</v>
      </c>
      <c r="R156" s="131"/>
      <c r="S156" s="71" t="s">
        <v>629</v>
      </c>
      <c r="T156" s="72" t="s">
        <v>114</v>
      </c>
      <c r="U156" s="72" t="s">
        <v>114</v>
      </c>
      <c r="V156" s="73" t="s">
        <v>89</v>
      </c>
      <c r="W156" s="74"/>
      <c r="X156" s="75"/>
    </row>
    <row r="157" spans="1:24" ht="15" customHeight="1" thickBot="1" x14ac:dyDescent="0.3">
      <c r="A157" s="67" t="s">
        <v>13394</v>
      </c>
      <c r="B157" s="68" t="s">
        <v>127</v>
      </c>
      <c r="C157" s="67" t="s">
        <v>40</v>
      </c>
      <c r="D157" s="69" t="s">
        <v>136</v>
      </c>
      <c r="E157" s="67" t="s">
        <v>196</v>
      </c>
      <c r="F157" s="67" t="s">
        <v>197</v>
      </c>
      <c r="G157" s="70"/>
      <c r="H157" s="67" t="s">
        <v>198</v>
      </c>
      <c r="I157" s="67"/>
      <c r="J157" s="67"/>
      <c r="K157" s="67" t="s">
        <v>85</v>
      </c>
      <c r="L157" s="130">
        <v>1</v>
      </c>
      <c r="M157" s="70" t="s">
        <v>99</v>
      </c>
      <c r="N157" s="137" t="s">
        <v>195</v>
      </c>
      <c r="O157" s="67"/>
      <c r="P157" s="67"/>
      <c r="Q157" s="131" t="s">
        <v>72</v>
      </c>
      <c r="R157" s="131"/>
      <c r="S157" s="71" t="s">
        <v>629</v>
      </c>
      <c r="T157" s="72" t="s">
        <v>114</v>
      </c>
      <c r="U157" s="72" t="s">
        <v>114</v>
      </c>
      <c r="V157" s="73" t="s">
        <v>89</v>
      </c>
      <c r="W157" s="74"/>
      <c r="X157" s="75"/>
    </row>
    <row r="158" spans="1:24" ht="15" customHeight="1" thickBot="1" x14ac:dyDescent="0.3">
      <c r="A158" s="67" t="s">
        <v>13394</v>
      </c>
      <c r="B158" s="68" t="s">
        <v>127</v>
      </c>
      <c r="C158" s="67" t="s">
        <v>40</v>
      </c>
      <c r="D158" s="69" t="s">
        <v>142</v>
      </c>
      <c r="E158" s="67" t="s">
        <v>199</v>
      </c>
      <c r="F158" s="67" t="s">
        <v>200</v>
      </c>
      <c r="G158" s="70"/>
      <c r="H158" s="67" t="s">
        <v>201</v>
      </c>
      <c r="I158" s="67"/>
      <c r="J158" s="67"/>
      <c r="K158" s="67" t="s">
        <v>85</v>
      </c>
      <c r="L158" s="130">
        <v>1</v>
      </c>
      <c r="M158" s="70" t="s">
        <v>99</v>
      </c>
      <c r="N158" s="137" t="s">
        <v>195</v>
      </c>
      <c r="O158" s="67"/>
      <c r="P158" s="67"/>
      <c r="Q158" s="131" t="s">
        <v>72</v>
      </c>
      <c r="R158" s="131"/>
      <c r="S158" s="71" t="s">
        <v>629</v>
      </c>
      <c r="T158" s="72" t="s">
        <v>114</v>
      </c>
      <c r="U158" s="72" t="s">
        <v>114</v>
      </c>
      <c r="V158" s="73" t="s">
        <v>89</v>
      </c>
      <c r="W158" s="74"/>
      <c r="X158" s="75"/>
    </row>
    <row r="159" spans="1:24" ht="15" customHeight="1" thickBot="1" x14ac:dyDescent="0.3">
      <c r="A159" s="67" t="s">
        <v>13394</v>
      </c>
      <c r="B159" s="68" t="s">
        <v>127</v>
      </c>
      <c r="C159" s="67" t="s">
        <v>40</v>
      </c>
      <c r="D159" s="69" t="s">
        <v>146</v>
      </c>
      <c r="E159" s="67" t="s">
        <v>202</v>
      </c>
      <c r="F159" s="67" t="s">
        <v>203</v>
      </c>
      <c r="G159" s="70"/>
      <c r="H159" s="67" t="s">
        <v>204</v>
      </c>
      <c r="I159" s="67"/>
      <c r="J159" s="67"/>
      <c r="K159" s="67" t="s">
        <v>85</v>
      </c>
      <c r="L159" s="130">
        <v>1</v>
      </c>
      <c r="M159" s="70" t="s">
        <v>99</v>
      </c>
      <c r="N159" s="137" t="s">
        <v>195</v>
      </c>
      <c r="O159" s="67"/>
      <c r="P159" s="67"/>
      <c r="Q159" s="131" t="s">
        <v>72</v>
      </c>
      <c r="R159" s="131"/>
      <c r="S159" s="71" t="s">
        <v>629</v>
      </c>
      <c r="T159" s="72" t="s">
        <v>114</v>
      </c>
      <c r="U159" s="72" t="s">
        <v>114</v>
      </c>
      <c r="V159" s="73" t="s">
        <v>89</v>
      </c>
      <c r="W159" s="74"/>
      <c r="X159" s="75"/>
    </row>
    <row r="160" spans="1:24" ht="15" customHeight="1" thickBot="1" x14ac:dyDescent="0.3">
      <c r="A160" s="67" t="s">
        <v>13394</v>
      </c>
      <c r="B160" s="68" t="s">
        <v>127</v>
      </c>
      <c r="C160" s="67" t="s">
        <v>40</v>
      </c>
      <c r="D160" s="69" t="s">
        <v>152</v>
      </c>
      <c r="E160" s="67" t="s">
        <v>205</v>
      </c>
      <c r="F160" s="67" t="s">
        <v>206</v>
      </c>
      <c r="G160" s="70"/>
      <c r="H160" s="67" t="s">
        <v>207</v>
      </c>
      <c r="I160" s="67"/>
      <c r="J160" s="67"/>
      <c r="K160" s="67" t="s">
        <v>85</v>
      </c>
      <c r="L160" s="130">
        <v>1</v>
      </c>
      <c r="M160" s="70" t="s">
        <v>99</v>
      </c>
      <c r="N160" s="137" t="s">
        <v>195</v>
      </c>
      <c r="O160" s="67"/>
      <c r="P160" s="67"/>
      <c r="Q160" s="131" t="s">
        <v>72</v>
      </c>
      <c r="R160" s="131"/>
      <c r="S160" s="71" t="s">
        <v>629</v>
      </c>
      <c r="T160" s="72" t="s">
        <v>114</v>
      </c>
      <c r="U160" s="72" t="s">
        <v>114</v>
      </c>
      <c r="V160" s="73" t="s">
        <v>89</v>
      </c>
      <c r="W160" s="74"/>
      <c r="X160" s="75"/>
    </row>
    <row r="161" spans="1:24" ht="15" customHeight="1" thickBot="1" x14ac:dyDescent="0.3">
      <c r="A161" s="67" t="s">
        <v>13394</v>
      </c>
      <c r="B161" s="68" t="s">
        <v>127</v>
      </c>
      <c r="C161" s="67" t="s">
        <v>40</v>
      </c>
      <c r="D161" s="69" t="s">
        <v>156</v>
      </c>
      <c r="E161" s="67" t="s">
        <v>208</v>
      </c>
      <c r="F161" s="67" t="s">
        <v>209</v>
      </c>
      <c r="G161" s="70"/>
      <c r="H161" s="67" t="s">
        <v>210</v>
      </c>
      <c r="I161" s="67"/>
      <c r="J161" s="67"/>
      <c r="K161" s="67" t="s">
        <v>85</v>
      </c>
      <c r="L161" s="130">
        <v>1</v>
      </c>
      <c r="M161" s="70" t="s">
        <v>99</v>
      </c>
      <c r="N161" s="137" t="s">
        <v>195</v>
      </c>
      <c r="O161" s="67"/>
      <c r="P161" s="67"/>
      <c r="Q161" s="131" t="s">
        <v>72</v>
      </c>
      <c r="R161" s="131"/>
      <c r="S161" s="71" t="s">
        <v>629</v>
      </c>
      <c r="T161" s="72" t="s">
        <v>114</v>
      </c>
      <c r="U161" s="72" t="s">
        <v>114</v>
      </c>
      <c r="V161" s="73" t="s">
        <v>89</v>
      </c>
      <c r="W161" s="74"/>
      <c r="X161" s="75"/>
    </row>
    <row r="162" spans="1:24" ht="15" customHeight="1" thickBot="1" x14ac:dyDescent="0.3">
      <c r="A162" s="67" t="s">
        <v>13394</v>
      </c>
      <c r="B162" s="68" t="s">
        <v>127</v>
      </c>
      <c r="C162" s="67" t="s">
        <v>40</v>
      </c>
      <c r="D162" s="69" t="s">
        <v>161</v>
      </c>
      <c r="E162" s="67" t="s">
        <v>630</v>
      </c>
      <c r="F162" s="67" t="s">
        <v>631</v>
      </c>
      <c r="G162" s="70"/>
      <c r="H162" s="67" t="s">
        <v>632</v>
      </c>
      <c r="I162" s="67"/>
      <c r="J162" s="67"/>
      <c r="K162" s="67" t="s">
        <v>85</v>
      </c>
      <c r="L162" s="130">
        <v>3</v>
      </c>
      <c r="M162" s="70" t="s">
        <v>255</v>
      </c>
      <c r="N162" s="137" t="s">
        <v>336</v>
      </c>
      <c r="O162" s="67"/>
      <c r="P162" s="67"/>
      <c r="Q162" s="131" t="s">
        <v>180</v>
      </c>
      <c r="R162" s="131"/>
      <c r="S162" s="71" t="s">
        <v>629</v>
      </c>
      <c r="T162" s="72" t="s">
        <v>114</v>
      </c>
      <c r="U162" s="72" t="s">
        <v>114</v>
      </c>
      <c r="V162" s="73" t="s">
        <v>89</v>
      </c>
      <c r="W162" s="74"/>
      <c r="X162" s="75"/>
    </row>
    <row r="163" spans="1:24" ht="15" customHeight="1" thickBot="1" x14ac:dyDescent="0.3">
      <c r="A163" s="67" t="s">
        <v>13394</v>
      </c>
      <c r="B163" s="68" t="s">
        <v>127</v>
      </c>
      <c r="C163" s="67" t="s">
        <v>40</v>
      </c>
      <c r="D163" s="69" t="s">
        <v>218</v>
      </c>
      <c r="E163" s="67" t="s">
        <v>633</v>
      </c>
      <c r="F163" s="67" t="s">
        <v>634</v>
      </c>
      <c r="G163" s="70"/>
      <c r="H163" s="67" t="s">
        <v>635</v>
      </c>
      <c r="I163" s="67"/>
      <c r="J163" s="67"/>
      <c r="K163" s="67" t="s">
        <v>85</v>
      </c>
      <c r="L163" s="130">
        <v>1</v>
      </c>
      <c r="M163" s="70" t="s">
        <v>99</v>
      </c>
      <c r="N163" s="137" t="s">
        <v>195</v>
      </c>
      <c r="O163" s="67"/>
      <c r="P163" s="67"/>
      <c r="Q163" s="131" t="s">
        <v>72</v>
      </c>
      <c r="R163" s="131"/>
      <c r="S163" s="71" t="s">
        <v>636</v>
      </c>
      <c r="T163" s="72" t="s">
        <v>88</v>
      </c>
      <c r="U163" s="72" t="s">
        <v>88</v>
      </c>
      <c r="V163" s="73" t="s">
        <v>89</v>
      </c>
      <c r="W163" s="74"/>
      <c r="X163" s="75"/>
    </row>
    <row r="164" spans="1:24" ht="15" customHeight="1" thickBot="1" x14ac:dyDescent="0.3">
      <c r="A164" s="67" t="s">
        <v>13394</v>
      </c>
      <c r="B164" s="68" t="s">
        <v>127</v>
      </c>
      <c r="C164" s="67" t="s">
        <v>40</v>
      </c>
      <c r="D164" s="69" t="s">
        <v>224</v>
      </c>
      <c r="E164" s="67" t="s">
        <v>637</v>
      </c>
      <c r="F164" s="67" t="s">
        <v>638</v>
      </c>
      <c r="G164" s="70"/>
      <c r="H164" s="67" t="s">
        <v>639</v>
      </c>
      <c r="I164" s="67"/>
      <c r="J164" s="67"/>
      <c r="K164" s="67" t="s">
        <v>85</v>
      </c>
      <c r="L164" s="130">
        <v>1</v>
      </c>
      <c r="M164" s="70" t="s">
        <v>99</v>
      </c>
      <c r="N164" s="137" t="s">
        <v>640</v>
      </c>
      <c r="O164" s="67"/>
      <c r="P164" s="67"/>
      <c r="Q164" s="131" t="s">
        <v>72</v>
      </c>
      <c r="R164" s="131"/>
      <c r="S164" s="71" t="s">
        <v>636</v>
      </c>
      <c r="T164" s="72" t="s">
        <v>88</v>
      </c>
      <c r="U164" s="72" t="s">
        <v>114</v>
      </c>
      <c r="V164" s="73" t="s">
        <v>89</v>
      </c>
      <c r="W164" s="74"/>
      <c r="X164" s="75"/>
    </row>
    <row r="165" spans="1:24" ht="15" customHeight="1" thickBot="1" x14ac:dyDescent="0.3">
      <c r="A165" s="67" t="s">
        <v>13394</v>
      </c>
      <c r="B165" s="68" t="s">
        <v>127</v>
      </c>
      <c r="C165" s="67" t="s">
        <v>40</v>
      </c>
      <c r="D165" s="69" t="s">
        <v>230</v>
      </c>
      <c r="E165" s="67" t="s">
        <v>641</v>
      </c>
      <c r="F165" s="67" t="s">
        <v>642</v>
      </c>
      <c r="G165" s="70"/>
      <c r="H165" s="67" t="s">
        <v>643</v>
      </c>
      <c r="I165" s="67"/>
      <c r="J165" s="67"/>
      <c r="K165" s="67" t="s">
        <v>111</v>
      </c>
      <c r="L165" s="130">
        <v>4</v>
      </c>
      <c r="M165" s="70">
        <v>9999</v>
      </c>
      <c r="N165" s="137"/>
      <c r="O165" s="67" t="s">
        <v>644</v>
      </c>
      <c r="P165" s="67"/>
      <c r="Q165" s="131" t="s">
        <v>150</v>
      </c>
      <c r="R165" s="131"/>
      <c r="S165" s="71" t="s">
        <v>636</v>
      </c>
      <c r="T165" s="72" t="s">
        <v>114</v>
      </c>
      <c r="U165" s="72" t="s">
        <v>88</v>
      </c>
      <c r="V165" s="73" t="s">
        <v>89</v>
      </c>
      <c r="W165" s="74"/>
      <c r="X165" s="75"/>
    </row>
    <row r="166" spans="1:24" ht="15" customHeight="1" thickBot="1" x14ac:dyDescent="0.3">
      <c r="A166" s="67" t="s">
        <v>13394</v>
      </c>
      <c r="B166" s="68" t="s">
        <v>127</v>
      </c>
      <c r="C166" s="67" t="s">
        <v>40</v>
      </c>
      <c r="D166" s="69" t="s">
        <v>236</v>
      </c>
      <c r="E166" s="67" t="s">
        <v>645</v>
      </c>
      <c r="F166" s="67" t="s">
        <v>646</v>
      </c>
      <c r="G166" s="70"/>
      <c r="H166" s="67" t="s">
        <v>647</v>
      </c>
      <c r="I166" s="67"/>
      <c r="J166" s="67"/>
      <c r="K166" s="67" t="s">
        <v>85</v>
      </c>
      <c r="L166" s="130">
        <v>2</v>
      </c>
      <c r="M166" s="70" t="s">
        <v>105</v>
      </c>
      <c r="N166" s="137" t="s">
        <v>648</v>
      </c>
      <c r="O166" s="67"/>
      <c r="P166" s="67"/>
      <c r="Q166" s="131" t="s">
        <v>150</v>
      </c>
      <c r="R166" s="131"/>
      <c r="S166" s="71" t="s">
        <v>636</v>
      </c>
      <c r="T166" s="72" t="s">
        <v>114</v>
      </c>
      <c r="U166" s="72" t="s">
        <v>88</v>
      </c>
      <c r="V166" s="73" t="s">
        <v>89</v>
      </c>
      <c r="W166" s="74"/>
      <c r="X166" s="75"/>
    </row>
    <row r="167" spans="1:24" ht="15" customHeight="1" thickBot="1" x14ac:dyDescent="0.3">
      <c r="A167" s="67" t="s">
        <v>13394</v>
      </c>
      <c r="B167" s="68" t="s">
        <v>127</v>
      </c>
      <c r="C167" s="67" t="s">
        <v>40</v>
      </c>
      <c r="D167" s="69" t="s">
        <v>241</v>
      </c>
      <c r="E167" s="67" t="s">
        <v>649</v>
      </c>
      <c r="F167" s="67" t="s">
        <v>650</v>
      </c>
      <c r="G167" s="70"/>
      <c r="H167" s="67" t="s">
        <v>651</v>
      </c>
      <c r="I167" s="67"/>
      <c r="J167" s="67"/>
      <c r="K167" s="67" t="s">
        <v>85</v>
      </c>
      <c r="L167" s="130">
        <v>2</v>
      </c>
      <c r="M167" s="70" t="s">
        <v>105</v>
      </c>
      <c r="N167" s="137" t="s">
        <v>652</v>
      </c>
      <c r="O167" s="67"/>
      <c r="P167" s="67"/>
      <c r="Q167" s="131" t="s">
        <v>150</v>
      </c>
      <c r="R167" s="131"/>
      <c r="S167" s="71" t="s">
        <v>636</v>
      </c>
      <c r="T167" s="72" t="s">
        <v>114</v>
      </c>
      <c r="U167" s="72" t="s">
        <v>88</v>
      </c>
      <c r="V167" s="73" t="s">
        <v>89</v>
      </c>
      <c r="W167" s="74"/>
      <c r="X167" s="75"/>
    </row>
    <row r="168" spans="1:24" ht="15" customHeight="1" thickBot="1" x14ac:dyDescent="0.3">
      <c r="A168" s="67" t="s">
        <v>13394</v>
      </c>
      <c r="B168" s="68" t="s">
        <v>127</v>
      </c>
      <c r="C168" s="67" t="s">
        <v>40</v>
      </c>
      <c r="D168" s="69" t="s">
        <v>251</v>
      </c>
      <c r="E168" s="67" t="s">
        <v>653</v>
      </c>
      <c r="F168" s="67" t="s">
        <v>654</v>
      </c>
      <c r="G168" s="70"/>
      <c r="H168" s="67" t="s">
        <v>655</v>
      </c>
      <c r="I168" s="67"/>
      <c r="J168" s="67"/>
      <c r="K168" s="67" t="s">
        <v>111</v>
      </c>
      <c r="L168" s="130">
        <v>4</v>
      </c>
      <c r="M168" s="70">
        <v>9999</v>
      </c>
      <c r="N168" s="137"/>
      <c r="O168" s="67"/>
      <c r="P168" s="67"/>
      <c r="Q168" s="131" t="s">
        <v>150</v>
      </c>
      <c r="R168" s="131"/>
      <c r="S168" s="71" t="s">
        <v>636</v>
      </c>
      <c r="T168" s="72" t="s">
        <v>114</v>
      </c>
      <c r="U168" s="72" t="s">
        <v>88</v>
      </c>
      <c r="V168" s="73" t="s">
        <v>89</v>
      </c>
      <c r="W168" s="74"/>
      <c r="X168" s="75"/>
    </row>
    <row r="169" spans="1:24" ht="15" customHeight="1" thickBot="1" x14ac:dyDescent="0.3">
      <c r="A169" s="67" t="s">
        <v>13394</v>
      </c>
      <c r="B169" s="68" t="s">
        <v>127</v>
      </c>
      <c r="C169" s="67" t="s">
        <v>40</v>
      </c>
      <c r="D169" s="69" t="s">
        <v>258</v>
      </c>
      <c r="E169" s="67" t="s">
        <v>656</v>
      </c>
      <c r="F169" s="67" t="s">
        <v>657</v>
      </c>
      <c r="G169" s="70"/>
      <c r="H169" s="67" t="s">
        <v>658</v>
      </c>
      <c r="I169" s="67"/>
      <c r="J169" s="67"/>
      <c r="K169" s="67" t="s">
        <v>85</v>
      </c>
      <c r="L169" s="130">
        <v>3</v>
      </c>
      <c r="M169" s="70" t="s">
        <v>517</v>
      </c>
      <c r="N169" s="137" t="s">
        <v>659</v>
      </c>
      <c r="O169" s="67"/>
      <c r="P169" s="67"/>
      <c r="Q169" s="131" t="s">
        <v>150</v>
      </c>
      <c r="R169" s="131"/>
      <c r="S169" s="71" t="s">
        <v>636</v>
      </c>
      <c r="T169" s="72" t="s">
        <v>114</v>
      </c>
      <c r="U169" s="72" t="s">
        <v>88</v>
      </c>
      <c r="V169" s="73" t="s">
        <v>89</v>
      </c>
      <c r="W169" s="74"/>
      <c r="X169" s="75"/>
    </row>
    <row r="170" spans="1:24" ht="15" customHeight="1" thickBot="1" x14ac:dyDescent="0.3">
      <c r="A170" s="67" t="s">
        <v>13394</v>
      </c>
      <c r="B170" s="68" t="s">
        <v>127</v>
      </c>
      <c r="C170" s="67" t="s">
        <v>40</v>
      </c>
      <c r="D170" s="69" t="s">
        <v>262</v>
      </c>
      <c r="E170" s="67" t="s">
        <v>660</v>
      </c>
      <c r="F170" s="67" t="s">
        <v>661</v>
      </c>
      <c r="G170" s="70"/>
      <c r="H170" s="67" t="s">
        <v>662</v>
      </c>
      <c r="I170" s="67"/>
      <c r="J170" s="67"/>
      <c r="K170" s="67" t="s">
        <v>85</v>
      </c>
      <c r="L170" s="130">
        <v>2</v>
      </c>
      <c r="M170" s="70" t="s">
        <v>105</v>
      </c>
      <c r="N170" s="137" t="s">
        <v>648</v>
      </c>
      <c r="O170" s="67"/>
      <c r="P170" s="67"/>
      <c r="Q170" s="131" t="s">
        <v>150</v>
      </c>
      <c r="R170" s="131"/>
      <c r="S170" s="71" t="s">
        <v>636</v>
      </c>
      <c r="T170" s="72" t="s">
        <v>114</v>
      </c>
      <c r="U170" s="72" t="s">
        <v>88</v>
      </c>
      <c r="V170" s="73" t="s">
        <v>89</v>
      </c>
      <c r="W170" s="74"/>
      <c r="X170" s="75"/>
    </row>
    <row r="171" spans="1:24" ht="15" customHeight="1" thickBot="1" x14ac:dyDescent="0.3">
      <c r="A171" s="225" t="s">
        <v>13394</v>
      </c>
      <c r="B171" s="68" t="s">
        <v>127</v>
      </c>
      <c r="C171" s="67" t="s">
        <v>40</v>
      </c>
      <c r="D171" s="69" t="s">
        <v>266</v>
      </c>
      <c r="E171" s="67" t="s">
        <v>663</v>
      </c>
      <c r="F171" s="67" t="s">
        <v>664</v>
      </c>
      <c r="G171" s="70"/>
      <c r="H171" s="225" t="s">
        <v>13408</v>
      </c>
      <c r="I171" s="67"/>
      <c r="J171" s="67"/>
      <c r="K171" s="67" t="s">
        <v>85</v>
      </c>
      <c r="L171" s="130">
        <v>7</v>
      </c>
      <c r="M171" s="70" t="s">
        <v>665</v>
      </c>
      <c r="N171" s="137" t="s">
        <v>666</v>
      </c>
      <c r="O171" s="67"/>
      <c r="P171" s="67"/>
      <c r="Q171" s="131" t="s">
        <v>150</v>
      </c>
      <c r="R171" s="131"/>
      <c r="S171" s="71" t="s">
        <v>636</v>
      </c>
      <c r="T171" s="72" t="s">
        <v>114</v>
      </c>
      <c r="U171" s="72" t="s">
        <v>88</v>
      </c>
      <c r="V171" s="73" t="s">
        <v>89</v>
      </c>
      <c r="W171" s="74"/>
      <c r="X171" s="75"/>
    </row>
    <row r="172" spans="1:24" ht="15" customHeight="1" thickBot="1" x14ac:dyDescent="0.3">
      <c r="A172" s="225" t="s">
        <v>13394</v>
      </c>
      <c r="B172" s="68" t="s">
        <v>127</v>
      </c>
      <c r="C172" s="67" t="s">
        <v>40</v>
      </c>
      <c r="D172" s="69" t="s">
        <v>271</v>
      </c>
      <c r="E172" s="67" t="s">
        <v>667</v>
      </c>
      <c r="F172" s="67" t="s">
        <v>668</v>
      </c>
      <c r="G172" s="70"/>
      <c r="H172" s="225" t="s">
        <v>13409</v>
      </c>
      <c r="I172" s="67"/>
      <c r="J172" s="67"/>
      <c r="K172" s="67" t="s">
        <v>85</v>
      </c>
      <c r="L172" s="130">
        <v>7</v>
      </c>
      <c r="M172" s="70" t="s">
        <v>665</v>
      </c>
      <c r="N172" s="137" t="s">
        <v>666</v>
      </c>
      <c r="O172" s="67"/>
      <c r="P172" s="67"/>
      <c r="Q172" s="131" t="s">
        <v>180</v>
      </c>
      <c r="R172" s="131"/>
      <c r="S172" s="71" t="s">
        <v>636</v>
      </c>
      <c r="T172" s="72" t="s">
        <v>114</v>
      </c>
      <c r="U172" s="72" t="s">
        <v>88</v>
      </c>
      <c r="V172" s="73" t="s">
        <v>89</v>
      </c>
      <c r="W172" s="74"/>
      <c r="X172" s="75"/>
    </row>
    <row r="173" spans="1:24" ht="15" customHeight="1" thickBot="1" x14ac:dyDescent="0.3">
      <c r="A173" s="67" t="s">
        <v>13394</v>
      </c>
      <c r="B173" s="68" t="s">
        <v>127</v>
      </c>
      <c r="C173" s="67" t="s">
        <v>40</v>
      </c>
      <c r="D173" s="69" t="s">
        <v>277</v>
      </c>
      <c r="E173" s="67" t="s">
        <v>669</v>
      </c>
      <c r="F173" s="67" t="s">
        <v>670</v>
      </c>
      <c r="G173" s="70"/>
      <c r="H173" s="67" t="s">
        <v>671</v>
      </c>
      <c r="I173" s="67"/>
      <c r="J173" s="67"/>
      <c r="K173" s="67" t="s">
        <v>429</v>
      </c>
      <c r="L173" s="130">
        <v>6</v>
      </c>
      <c r="M173" s="70" t="s">
        <v>672</v>
      </c>
      <c r="N173" s="137"/>
      <c r="O173" s="67" t="s">
        <v>248</v>
      </c>
      <c r="P173" s="67" t="s">
        <v>673</v>
      </c>
      <c r="Q173" s="131" t="s">
        <v>150</v>
      </c>
      <c r="R173" s="131"/>
      <c r="S173" s="71" t="s">
        <v>636</v>
      </c>
      <c r="T173" s="72" t="s">
        <v>114</v>
      </c>
      <c r="U173" s="72" t="s">
        <v>88</v>
      </c>
      <c r="V173" s="73" t="s">
        <v>89</v>
      </c>
      <c r="W173" s="74"/>
      <c r="X173" s="75"/>
    </row>
    <row r="174" spans="1:24" ht="15" customHeight="1" thickBot="1" x14ac:dyDescent="0.3">
      <c r="A174" s="67" t="s">
        <v>13394</v>
      </c>
      <c r="B174" s="68" t="s">
        <v>127</v>
      </c>
      <c r="C174" s="67" t="s">
        <v>40</v>
      </c>
      <c r="D174" s="69" t="s">
        <v>282</v>
      </c>
      <c r="E174" s="67" t="s">
        <v>674</v>
      </c>
      <c r="F174" s="67" t="s">
        <v>675</v>
      </c>
      <c r="G174" s="70"/>
      <c r="H174" s="67" t="s">
        <v>676</v>
      </c>
      <c r="I174" s="67"/>
      <c r="J174" s="67"/>
      <c r="K174" s="67" t="s">
        <v>85</v>
      </c>
      <c r="L174" s="130">
        <v>2</v>
      </c>
      <c r="M174" s="70" t="s">
        <v>105</v>
      </c>
      <c r="N174" s="137" t="s">
        <v>652</v>
      </c>
      <c r="O174" s="67"/>
      <c r="P174" s="67"/>
      <c r="Q174" s="131" t="s">
        <v>180</v>
      </c>
      <c r="R174" s="131"/>
      <c r="S174" s="71" t="s">
        <v>636</v>
      </c>
      <c r="T174" s="72" t="s">
        <v>114</v>
      </c>
      <c r="U174" s="72" t="s">
        <v>88</v>
      </c>
      <c r="V174" s="73" t="s">
        <v>89</v>
      </c>
      <c r="W174" s="74"/>
      <c r="X174" s="75"/>
    </row>
    <row r="175" spans="1:24" ht="15" customHeight="1" thickBot="1" x14ac:dyDescent="0.3">
      <c r="A175" s="67" t="s">
        <v>13394</v>
      </c>
      <c r="B175" s="68" t="s">
        <v>127</v>
      </c>
      <c r="C175" s="67" t="s">
        <v>40</v>
      </c>
      <c r="D175" s="69" t="s">
        <v>287</v>
      </c>
      <c r="E175" s="67" t="s">
        <v>677</v>
      </c>
      <c r="F175" s="67" t="s">
        <v>678</v>
      </c>
      <c r="G175" s="70"/>
      <c r="H175" s="67" t="s">
        <v>679</v>
      </c>
      <c r="I175" s="67"/>
      <c r="J175" s="67"/>
      <c r="K175" s="67" t="s">
        <v>111</v>
      </c>
      <c r="L175" s="130">
        <v>4</v>
      </c>
      <c r="M175" s="70">
        <v>9999</v>
      </c>
      <c r="N175" s="137"/>
      <c r="O175" s="67"/>
      <c r="P175" s="67"/>
      <c r="Q175" s="131" t="s">
        <v>150</v>
      </c>
      <c r="R175" s="131"/>
      <c r="S175" s="71" t="s">
        <v>636</v>
      </c>
      <c r="T175" s="72" t="s">
        <v>114</v>
      </c>
      <c r="U175" s="72" t="s">
        <v>88</v>
      </c>
      <c r="V175" s="73" t="s">
        <v>89</v>
      </c>
      <c r="W175" s="74"/>
      <c r="X175" s="75"/>
    </row>
    <row r="176" spans="1:24" ht="15" customHeight="1" thickBot="1" x14ac:dyDescent="0.3">
      <c r="A176" s="67" t="s">
        <v>13394</v>
      </c>
      <c r="B176" s="68" t="s">
        <v>127</v>
      </c>
      <c r="C176" s="67" t="s">
        <v>40</v>
      </c>
      <c r="D176" s="69" t="s">
        <v>292</v>
      </c>
      <c r="E176" s="67" t="s">
        <v>680</v>
      </c>
      <c r="F176" s="67" t="s">
        <v>681</v>
      </c>
      <c r="G176" s="70"/>
      <c r="H176" s="67" t="s">
        <v>682</v>
      </c>
      <c r="I176" s="67"/>
      <c r="J176" s="67"/>
      <c r="K176" s="67" t="s">
        <v>85</v>
      </c>
      <c r="L176" s="130">
        <v>3</v>
      </c>
      <c r="M176" s="70" t="s">
        <v>517</v>
      </c>
      <c r="N176" s="137" t="s">
        <v>659</v>
      </c>
      <c r="O176" s="67"/>
      <c r="P176" s="67"/>
      <c r="Q176" s="131" t="s">
        <v>150</v>
      </c>
      <c r="R176" s="131"/>
      <c r="S176" s="71" t="s">
        <v>636</v>
      </c>
      <c r="T176" s="72" t="s">
        <v>114</v>
      </c>
      <c r="U176" s="72" t="s">
        <v>88</v>
      </c>
      <c r="V176" s="73" t="s">
        <v>89</v>
      </c>
      <c r="W176" s="74"/>
      <c r="X176" s="75"/>
    </row>
    <row r="177" spans="1:24" ht="15" customHeight="1" thickBot="1" x14ac:dyDescent="0.3">
      <c r="A177" s="67" t="s">
        <v>13394</v>
      </c>
      <c r="B177" s="68" t="s">
        <v>127</v>
      </c>
      <c r="C177" s="67" t="s">
        <v>40</v>
      </c>
      <c r="D177" s="69" t="s">
        <v>296</v>
      </c>
      <c r="E177" s="67" t="s">
        <v>683</v>
      </c>
      <c r="F177" s="67" t="s">
        <v>684</v>
      </c>
      <c r="G177" s="70"/>
      <c r="H177" s="67" t="s">
        <v>685</v>
      </c>
      <c r="I177" s="67"/>
      <c r="J177" s="67"/>
      <c r="K177" s="67" t="s">
        <v>85</v>
      </c>
      <c r="L177" s="130">
        <v>2</v>
      </c>
      <c r="M177" s="70" t="s">
        <v>105</v>
      </c>
      <c r="N177" s="137" t="s">
        <v>648</v>
      </c>
      <c r="O177" s="67"/>
      <c r="P177" s="67"/>
      <c r="Q177" s="131" t="s">
        <v>150</v>
      </c>
      <c r="R177" s="131"/>
      <c r="S177" s="71" t="s">
        <v>636</v>
      </c>
      <c r="T177" s="72" t="s">
        <v>114</v>
      </c>
      <c r="U177" s="72" t="s">
        <v>88</v>
      </c>
      <c r="V177" s="73" t="s">
        <v>89</v>
      </c>
      <c r="W177" s="74"/>
      <c r="X177" s="75"/>
    </row>
    <row r="178" spans="1:24" ht="15" customHeight="1" thickBot="1" x14ac:dyDescent="0.3">
      <c r="A178" s="225" t="s">
        <v>13394</v>
      </c>
      <c r="B178" s="68" t="s">
        <v>127</v>
      </c>
      <c r="C178" s="67" t="s">
        <v>40</v>
      </c>
      <c r="D178" s="69" t="s">
        <v>301</v>
      </c>
      <c r="E178" s="67" t="s">
        <v>686</v>
      </c>
      <c r="F178" s="67" t="s">
        <v>687</v>
      </c>
      <c r="G178" s="70"/>
      <c r="H178" s="225" t="s">
        <v>13410</v>
      </c>
      <c r="I178" s="67"/>
      <c r="J178" s="67"/>
      <c r="K178" s="67" t="s">
        <v>85</v>
      </c>
      <c r="L178" s="130">
        <v>7</v>
      </c>
      <c r="M178" s="70" t="s">
        <v>665</v>
      </c>
      <c r="N178" s="137" t="s">
        <v>666</v>
      </c>
      <c r="O178" s="67"/>
      <c r="P178" s="67"/>
      <c r="Q178" s="131" t="s">
        <v>150</v>
      </c>
      <c r="R178" s="131"/>
      <c r="S178" s="71" t="s">
        <v>636</v>
      </c>
      <c r="T178" s="72" t="s">
        <v>114</v>
      </c>
      <c r="U178" s="72" t="s">
        <v>88</v>
      </c>
      <c r="V178" s="73" t="s">
        <v>89</v>
      </c>
      <c r="W178" s="74"/>
      <c r="X178" s="75"/>
    </row>
    <row r="179" spans="1:24" ht="15" customHeight="1" thickBot="1" x14ac:dyDescent="0.3">
      <c r="A179" s="225" t="s">
        <v>13394</v>
      </c>
      <c r="B179" s="68" t="s">
        <v>127</v>
      </c>
      <c r="C179" s="67" t="s">
        <v>40</v>
      </c>
      <c r="D179" s="69" t="s">
        <v>305</v>
      </c>
      <c r="E179" s="67" t="s">
        <v>688</v>
      </c>
      <c r="F179" s="67" t="s">
        <v>689</v>
      </c>
      <c r="G179" s="70"/>
      <c r="H179" s="225" t="s">
        <v>13411</v>
      </c>
      <c r="I179" s="67"/>
      <c r="J179" s="67"/>
      <c r="K179" s="67" t="s">
        <v>85</v>
      </c>
      <c r="L179" s="130">
        <v>7</v>
      </c>
      <c r="M179" s="70" t="s">
        <v>665</v>
      </c>
      <c r="N179" s="137" t="s">
        <v>666</v>
      </c>
      <c r="O179" s="67"/>
      <c r="P179" s="67"/>
      <c r="Q179" s="131" t="s">
        <v>180</v>
      </c>
      <c r="R179" s="131"/>
      <c r="S179" s="71" t="s">
        <v>636</v>
      </c>
      <c r="T179" s="72" t="s">
        <v>114</v>
      </c>
      <c r="U179" s="72" t="s">
        <v>88</v>
      </c>
      <c r="V179" s="73" t="s">
        <v>89</v>
      </c>
      <c r="W179" s="74"/>
      <c r="X179" s="75"/>
    </row>
    <row r="180" spans="1:24" ht="15" customHeight="1" thickBot="1" x14ac:dyDescent="0.3">
      <c r="A180" s="67" t="s">
        <v>13394</v>
      </c>
      <c r="B180" s="68" t="s">
        <v>127</v>
      </c>
      <c r="C180" s="67" t="s">
        <v>40</v>
      </c>
      <c r="D180" s="69" t="s">
        <v>309</v>
      </c>
      <c r="E180" s="67" t="s">
        <v>690</v>
      </c>
      <c r="F180" s="67" t="s">
        <v>691</v>
      </c>
      <c r="G180" s="70"/>
      <c r="H180" s="67" t="s">
        <v>692</v>
      </c>
      <c r="I180" s="67"/>
      <c r="J180" s="67"/>
      <c r="K180" s="67" t="s">
        <v>85</v>
      </c>
      <c r="L180" s="130">
        <v>2</v>
      </c>
      <c r="M180" s="70" t="s">
        <v>105</v>
      </c>
      <c r="N180" s="137" t="s">
        <v>652</v>
      </c>
      <c r="O180" s="67"/>
      <c r="P180" s="67"/>
      <c r="Q180" s="131" t="s">
        <v>180</v>
      </c>
      <c r="R180" s="131"/>
      <c r="S180" s="71" t="s">
        <v>636</v>
      </c>
      <c r="T180" s="72" t="s">
        <v>114</v>
      </c>
      <c r="U180" s="72" t="s">
        <v>88</v>
      </c>
      <c r="V180" s="73" t="s">
        <v>89</v>
      </c>
      <c r="W180" s="74"/>
      <c r="X180" s="75"/>
    </row>
    <row r="181" spans="1:24" ht="15" customHeight="1" thickBot="1" x14ac:dyDescent="0.3">
      <c r="A181" s="67" t="s">
        <v>13394</v>
      </c>
      <c r="B181" s="68" t="s">
        <v>127</v>
      </c>
      <c r="C181" s="67" t="s">
        <v>40</v>
      </c>
      <c r="D181" s="69" t="s">
        <v>312</v>
      </c>
      <c r="E181" s="67" t="s">
        <v>693</v>
      </c>
      <c r="F181" s="67" t="s">
        <v>694</v>
      </c>
      <c r="G181" s="70"/>
      <c r="H181" s="67" t="s">
        <v>695</v>
      </c>
      <c r="I181" s="67"/>
      <c r="J181" s="67"/>
      <c r="K181" s="67" t="s">
        <v>111</v>
      </c>
      <c r="L181" s="130">
        <v>4</v>
      </c>
      <c r="M181" s="70">
        <v>9999</v>
      </c>
      <c r="N181" s="137"/>
      <c r="O181" s="67"/>
      <c r="P181" s="67"/>
      <c r="Q181" s="131" t="s">
        <v>150</v>
      </c>
      <c r="R181" s="131"/>
      <c r="S181" s="71" t="s">
        <v>636</v>
      </c>
      <c r="T181" s="72" t="s">
        <v>114</v>
      </c>
      <c r="U181" s="72" t="s">
        <v>88</v>
      </c>
      <c r="V181" s="73" t="s">
        <v>89</v>
      </c>
      <c r="W181" s="74"/>
      <c r="X181" s="75"/>
    </row>
    <row r="182" spans="1:24" ht="15" customHeight="1" thickBot="1" x14ac:dyDescent="0.3">
      <c r="A182" s="67" t="s">
        <v>13394</v>
      </c>
      <c r="B182" s="68" t="s">
        <v>127</v>
      </c>
      <c r="C182" s="67" t="s">
        <v>40</v>
      </c>
      <c r="D182" s="69" t="s">
        <v>319</v>
      </c>
      <c r="E182" s="67" t="s">
        <v>696</v>
      </c>
      <c r="F182" s="67" t="s">
        <v>697</v>
      </c>
      <c r="G182" s="70"/>
      <c r="H182" s="67" t="s">
        <v>698</v>
      </c>
      <c r="I182" s="67"/>
      <c r="J182" s="67"/>
      <c r="K182" s="67" t="s">
        <v>85</v>
      </c>
      <c r="L182" s="130">
        <v>3</v>
      </c>
      <c r="M182" s="70" t="s">
        <v>517</v>
      </c>
      <c r="N182" s="137" t="s">
        <v>659</v>
      </c>
      <c r="O182" s="67"/>
      <c r="P182" s="67"/>
      <c r="Q182" s="131" t="s">
        <v>150</v>
      </c>
      <c r="R182" s="131"/>
      <c r="S182" s="71" t="s">
        <v>636</v>
      </c>
      <c r="T182" s="72" t="s">
        <v>114</v>
      </c>
      <c r="U182" s="72" t="s">
        <v>88</v>
      </c>
      <c r="V182" s="73" t="s">
        <v>89</v>
      </c>
      <c r="W182" s="74"/>
      <c r="X182" s="75"/>
    </row>
    <row r="183" spans="1:24" ht="15" customHeight="1" thickBot="1" x14ac:dyDescent="0.3">
      <c r="A183" s="67" t="s">
        <v>13394</v>
      </c>
      <c r="B183" s="68" t="s">
        <v>127</v>
      </c>
      <c r="C183" s="67" t="s">
        <v>40</v>
      </c>
      <c r="D183" s="69" t="s">
        <v>323</v>
      </c>
      <c r="E183" s="67" t="s">
        <v>699</v>
      </c>
      <c r="F183" s="67" t="s">
        <v>700</v>
      </c>
      <c r="G183" s="70"/>
      <c r="H183" s="67" t="s">
        <v>701</v>
      </c>
      <c r="I183" s="67"/>
      <c r="J183" s="67"/>
      <c r="K183" s="67" t="s">
        <v>85</v>
      </c>
      <c r="L183" s="130">
        <v>2</v>
      </c>
      <c r="M183" s="70" t="s">
        <v>105</v>
      </c>
      <c r="N183" s="137" t="s">
        <v>648</v>
      </c>
      <c r="O183" s="67"/>
      <c r="P183" s="67"/>
      <c r="Q183" s="131" t="s">
        <v>150</v>
      </c>
      <c r="R183" s="131"/>
      <c r="S183" s="71" t="s">
        <v>636</v>
      </c>
      <c r="T183" s="72" t="s">
        <v>114</v>
      </c>
      <c r="U183" s="72" t="s">
        <v>88</v>
      </c>
      <c r="V183" s="73" t="s">
        <v>89</v>
      </c>
      <c r="W183" s="74"/>
      <c r="X183" s="75"/>
    </row>
    <row r="184" spans="1:24" ht="15" customHeight="1" thickBot="1" x14ac:dyDescent="0.3">
      <c r="A184" s="225" t="s">
        <v>13394</v>
      </c>
      <c r="B184" s="68" t="s">
        <v>127</v>
      </c>
      <c r="C184" s="67" t="s">
        <v>40</v>
      </c>
      <c r="D184" s="69" t="s">
        <v>328</v>
      </c>
      <c r="E184" s="67" t="s">
        <v>702</v>
      </c>
      <c r="F184" s="67" t="s">
        <v>703</v>
      </c>
      <c r="G184" s="70"/>
      <c r="H184" s="225" t="s">
        <v>13412</v>
      </c>
      <c r="I184" s="67"/>
      <c r="J184" s="67"/>
      <c r="K184" s="67" t="s">
        <v>85</v>
      </c>
      <c r="L184" s="130">
        <v>7</v>
      </c>
      <c r="M184" s="70" t="s">
        <v>665</v>
      </c>
      <c r="N184" s="137" t="s">
        <v>666</v>
      </c>
      <c r="O184" s="67"/>
      <c r="P184" s="67"/>
      <c r="Q184" s="131" t="s">
        <v>150</v>
      </c>
      <c r="R184" s="131"/>
      <c r="S184" s="71" t="s">
        <v>636</v>
      </c>
      <c r="T184" s="72" t="s">
        <v>114</v>
      </c>
      <c r="U184" s="72" t="s">
        <v>88</v>
      </c>
      <c r="V184" s="73" t="s">
        <v>89</v>
      </c>
      <c r="W184" s="74"/>
      <c r="X184" s="75"/>
    </row>
    <row r="185" spans="1:24" ht="15" customHeight="1" thickBot="1" x14ac:dyDescent="0.3">
      <c r="A185" s="225" t="s">
        <v>13394</v>
      </c>
      <c r="B185" s="68" t="s">
        <v>127</v>
      </c>
      <c r="C185" s="67" t="s">
        <v>40</v>
      </c>
      <c r="D185" s="69" t="s">
        <v>332</v>
      </c>
      <c r="E185" s="67" t="s">
        <v>704</v>
      </c>
      <c r="F185" s="67" t="s">
        <v>705</v>
      </c>
      <c r="G185" s="70"/>
      <c r="H185" s="225" t="s">
        <v>13413</v>
      </c>
      <c r="I185" s="67"/>
      <c r="J185" s="67"/>
      <c r="K185" s="67" t="s">
        <v>85</v>
      </c>
      <c r="L185" s="130">
        <v>7</v>
      </c>
      <c r="M185" s="70" t="s">
        <v>665</v>
      </c>
      <c r="N185" s="137" t="s">
        <v>666</v>
      </c>
      <c r="O185" s="67"/>
      <c r="P185" s="67"/>
      <c r="Q185" s="131" t="s">
        <v>180</v>
      </c>
      <c r="R185" s="131"/>
      <c r="S185" s="71" t="s">
        <v>636</v>
      </c>
      <c r="T185" s="72" t="s">
        <v>114</v>
      </c>
      <c r="U185" s="72" t="s">
        <v>88</v>
      </c>
      <c r="V185" s="73" t="s">
        <v>89</v>
      </c>
      <c r="W185" s="74"/>
      <c r="X185" s="75"/>
    </row>
    <row r="186" spans="1:24" ht="15" customHeight="1" thickBot="1" x14ac:dyDescent="0.3">
      <c r="A186" s="67" t="s">
        <v>13394</v>
      </c>
      <c r="B186" s="68" t="s">
        <v>127</v>
      </c>
      <c r="C186" s="67" t="s">
        <v>40</v>
      </c>
      <c r="D186" s="69" t="s">
        <v>337</v>
      </c>
      <c r="E186" s="67" t="s">
        <v>706</v>
      </c>
      <c r="F186" s="67" t="s">
        <v>707</v>
      </c>
      <c r="G186" s="70"/>
      <c r="H186" s="67" t="s">
        <v>708</v>
      </c>
      <c r="I186" s="67"/>
      <c r="J186" s="67"/>
      <c r="K186" s="67" t="s">
        <v>85</v>
      </c>
      <c r="L186" s="130">
        <v>2</v>
      </c>
      <c r="M186" s="70" t="s">
        <v>105</v>
      </c>
      <c r="N186" s="137" t="s">
        <v>652</v>
      </c>
      <c r="O186" s="67"/>
      <c r="P186" s="67"/>
      <c r="Q186" s="131" t="s">
        <v>180</v>
      </c>
      <c r="R186" s="131"/>
      <c r="S186" s="71" t="s">
        <v>636</v>
      </c>
      <c r="T186" s="72" t="s">
        <v>114</v>
      </c>
      <c r="U186" s="72" t="s">
        <v>88</v>
      </c>
      <c r="V186" s="73" t="s">
        <v>89</v>
      </c>
      <c r="W186" s="74"/>
      <c r="X186" s="75"/>
    </row>
    <row r="187" spans="1:24" ht="15" customHeight="1" thickBot="1" x14ac:dyDescent="0.3">
      <c r="A187" s="67" t="s">
        <v>13394</v>
      </c>
      <c r="B187" s="68" t="s">
        <v>127</v>
      </c>
      <c r="C187" s="67" t="s">
        <v>40</v>
      </c>
      <c r="D187" s="69" t="s">
        <v>342</v>
      </c>
      <c r="E187" s="67" t="s">
        <v>709</v>
      </c>
      <c r="F187" s="67" t="s">
        <v>710</v>
      </c>
      <c r="G187" s="70"/>
      <c r="H187" s="67" t="s">
        <v>711</v>
      </c>
      <c r="I187" s="67"/>
      <c r="J187" s="67"/>
      <c r="K187" s="67" t="s">
        <v>111</v>
      </c>
      <c r="L187" s="130">
        <v>4</v>
      </c>
      <c r="M187" s="70">
        <v>9999</v>
      </c>
      <c r="N187" s="137"/>
      <c r="O187" s="67"/>
      <c r="P187" s="67"/>
      <c r="Q187" s="131" t="s">
        <v>150</v>
      </c>
      <c r="R187" s="131"/>
      <c r="S187" s="71" t="s">
        <v>636</v>
      </c>
      <c r="T187" s="72" t="s">
        <v>114</v>
      </c>
      <c r="U187" s="72" t="s">
        <v>88</v>
      </c>
      <c r="V187" s="73" t="s">
        <v>89</v>
      </c>
      <c r="W187" s="74"/>
      <c r="X187" s="75"/>
    </row>
    <row r="188" spans="1:24" ht="15" customHeight="1" thickBot="1" x14ac:dyDescent="0.3">
      <c r="A188" s="67" t="s">
        <v>13394</v>
      </c>
      <c r="B188" s="68" t="s">
        <v>127</v>
      </c>
      <c r="C188" s="67" t="s">
        <v>40</v>
      </c>
      <c r="D188" s="69" t="s">
        <v>347</v>
      </c>
      <c r="E188" s="67" t="s">
        <v>712</v>
      </c>
      <c r="F188" s="67" t="s">
        <v>713</v>
      </c>
      <c r="G188" s="70"/>
      <c r="H188" s="67" t="s">
        <v>714</v>
      </c>
      <c r="I188" s="67"/>
      <c r="J188" s="67"/>
      <c r="K188" s="67" t="s">
        <v>85</v>
      </c>
      <c r="L188" s="130">
        <v>3</v>
      </c>
      <c r="M188" s="70" t="s">
        <v>517</v>
      </c>
      <c r="N188" s="137" t="s">
        <v>659</v>
      </c>
      <c r="O188" s="67"/>
      <c r="P188" s="67"/>
      <c r="Q188" s="131" t="s">
        <v>180</v>
      </c>
      <c r="R188" s="131"/>
      <c r="S188" s="71" t="s">
        <v>636</v>
      </c>
      <c r="T188" s="72" t="s">
        <v>114</v>
      </c>
      <c r="U188" s="72" t="s">
        <v>88</v>
      </c>
      <c r="V188" s="73" t="s">
        <v>89</v>
      </c>
      <c r="W188" s="74"/>
      <c r="X188" s="75"/>
    </row>
    <row r="189" spans="1:24" ht="15" customHeight="1" thickBot="1" x14ac:dyDescent="0.3">
      <c r="A189" s="67" t="s">
        <v>13394</v>
      </c>
      <c r="B189" s="68" t="s">
        <v>127</v>
      </c>
      <c r="C189" s="67" t="s">
        <v>40</v>
      </c>
      <c r="D189" s="69" t="s">
        <v>351</v>
      </c>
      <c r="E189" s="67" t="s">
        <v>715</v>
      </c>
      <c r="F189" s="67" t="s">
        <v>716</v>
      </c>
      <c r="G189" s="70"/>
      <c r="H189" s="67" t="s">
        <v>717</v>
      </c>
      <c r="I189" s="67"/>
      <c r="J189" s="67"/>
      <c r="K189" s="67" t="s">
        <v>85</v>
      </c>
      <c r="L189" s="130">
        <v>2</v>
      </c>
      <c r="M189" s="70" t="s">
        <v>105</v>
      </c>
      <c r="N189" s="137" t="s">
        <v>648</v>
      </c>
      <c r="O189" s="67"/>
      <c r="P189" s="67"/>
      <c r="Q189" s="131" t="s">
        <v>150</v>
      </c>
      <c r="R189" s="131"/>
      <c r="S189" s="71" t="s">
        <v>636</v>
      </c>
      <c r="T189" s="72" t="s">
        <v>114</v>
      </c>
      <c r="U189" s="72" t="s">
        <v>88</v>
      </c>
      <c r="V189" s="73" t="s">
        <v>89</v>
      </c>
      <c r="W189" s="74"/>
      <c r="X189" s="75"/>
    </row>
    <row r="190" spans="1:24" ht="15" customHeight="1" thickBot="1" x14ac:dyDescent="0.3">
      <c r="A190" s="225" t="s">
        <v>13394</v>
      </c>
      <c r="B190" s="68" t="s">
        <v>127</v>
      </c>
      <c r="C190" s="67" t="s">
        <v>40</v>
      </c>
      <c r="D190" s="69" t="s">
        <v>354</v>
      </c>
      <c r="E190" s="67" t="s">
        <v>718</v>
      </c>
      <c r="F190" s="67" t="s">
        <v>719</v>
      </c>
      <c r="G190" s="70"/>
      <c r="H190" s="225" t="s">
        <v>13414</v>
      </c>
      <c r="I190" s="67"/>
      <c r="J190" s="67"/>
      <c r="K190" s="67" t="s">
        <v>85</v>
      </c>
      <c r="L190" s="130">
        <v>7</v>
      </c>
      <c r="M190" s="70" t="s">
        <v>665</v>
      </c>
      <c r="N190" s="137" t="s">
        <v>666</v>
      </c>
      <c r="O190" s="67"/>
      <c r="P190" s="67"/>
      <c r="Q190" s="131" t="s">
        <v>180</v>
      </c>
      <c r="R190" s="131"/>
      <c r="S190" s="71" t="s">
        <v>636</v>
      </c>
      <c r="T190" s="72" t="s">
        <v>114</v>
      </c>
      <c r="U190" s="72" t="s">
        <v>88</v>
      </c>
      <c r="V190" s="73" t="s">
        <v>89</v>
      </c>
      <c r="W190" s="74"/>
      <c r="X190" s="75"/>
    </row>
    <row r="191" spans="1:24" ht="15" customHeight="1" thickBot="1" x14ac:dyDescent="0.3">
      <c r="A191" s="225" t="s">
        <v>13394</v>
      </c>
      <c r="B191" s="68" t="s">
        <v>127</v>
      </c>
      <c r="C191" s="67" t="s">
        <v>40</v>
      </c>
      <c r="D191" s="69" t="s">
        <v>358</v>
      </c>
      <c r="E191" s="67" t="s">
        <v>720</v>
      </c>
      <c r="F191" s="67" t="s">
        <v>721</v>
      </c>
      <c r="G191" s="70"/>
      <c r="H191" s="225" t="s">
        <v>13415</v>
      </c>
      <c r="I191" s="67"/>
      <c r="J191" s="67"/>
      <c r="K191" s="67" t="s">
        <v>85</v>
      </c>
      <c r="L191" s="130">
        <v>7</v>
      </c>
      <c r="M191" s="70" t="s">
        <v>665</v>
      </c>
      <c r="N191" s="137" t="s">
        <v>666</v>
      </c>
      <c r="O191" s="67"/>
      <c r="P191" s="67"/>
      <c r="Q191" s="131" t="s">
        <v>180</v>
      </c>
      <c r="R191" s="131"/>
      <c r="S191" s="71" t="s">
        <v>636</v>
      </c>
      <c r="T191" s="72" t="s">
        <v>114</v>
      </c>
      <c r="U191" s="72" t="s">
        <v>88</v>
      </c>
      <c r="V191" s="73" t="s">
        <v>89</v>
      </c>
      <c r="W191" s="74"/>
      <c r="X191" s="75"/>
    </row>
    <row r="192" spans="1:24" ht="15" customHeight="1" thickBot="1" x14ac:dyDescent="0.3">
      <c r="A192" s="67" t="s">
        <v>13394</v>
      </c>
      <c r="B192" s="68" t="s">
        <v>127</v>
      </c>
      <c r="C192" s="67" t="s">
        <v>40</v>
      </c>
      <c r="D192" s="69" t="s">
        <v>361</v>
      </c>
      <c r="E192" s="67" t="s">
        <v>722</v>
      </c>
      <c r="F192" s="67" t="s">
        <v>723</v>
      </c>
      <c r="G192" s="70"/>
      <c r="H192" s="67" t="s">
        <v>724</v>
      </c>
      <c r="I192" s="67"/>
      <c r="J192" s="67"/>
      <c r="K192" s="67" t="s">
        <v>85</v>
      </c>
      <c r="L192" s="130">
        <v>2</v>
      </c>
      <c r="M192" s="70" t="s">
        <v>105</v>
      </c>
      <c r="N192" s="137" t="s">
        <v>652</v>
      </c>
      <c r="O192" s="67"/>
      <c r="P192" s="67"/>
      <c r="Q192" s="131" t="s">
        <v>180</v>
      </c>
      <c r="R192" s="131"/>
      <c r="S192" s="71" t="s">
        <v>636</v>
      </c>
      <c r="T192" s="72" t="s">
        <v>114</v>
      </c>
      <c r="U192" s="72" t="s">
        <v>88</v>
      </c>
      <c r="V192" s="73" t="s">
        <v>89</v>
      </c>
      <c r="W192" s="74"/>
      <c r="X192" s="75"/>
    </row>
    <row r="193" spans="1:24" ht="15" customHeight="1" thickBot="1" x14ac:dyDescent="0.3">
      <c r="A193" s="67" t="s">
        <v>13394</v>
      </c>
      <c r="B193" s="68" t="s">
        <v>127</v>
      </c>
      <c r="C193" s="67" t="s">
        <v>40</v>
      </c>
      <c r="D193" s="69" t="s">
        <v>365</v>
      </c>
      <c r="E193" s="67" t="s">
        <v>725</v>
      </c>
      <c r="F193" s="67" t="s">
        <v>726</v>
      </c>
      <c r="G193" s="70"/>
      <c r="H193" s="67" t="s">
        <v>727</v>
      </c>
      <c r="I193" s="67"/>
      <c r="J193" s="67"/>
      <c r="K193" s="67" t="s">
        <v>111</v>
      </c>
      <c r="L193" s="130">
        <v>4</v>
      </c>
      <c r="M193" s="70">
        <v>9999</v>
      </c>
      <c r="N193" s="137"/>
      <c r="O193" s="67"/>
      <c r="P193" s="67"/>
      <c r="Q193" s="131" t="s">
        <v>150</v>
      </c>
      <c r="R193" s="131"/>
      <c r="S193" s="71" t="s">
        <v>636</v>
      </c>
      <c r="T193" s="72" t="s">
        <v>114</v>
      </c>
      <c r="U193" s="72" t="s">
        <v>88</v>
      </c>
      <c r="V193" s="73" t="s">
        <v>89</v>
      </c>
      <c r="W193" s="74"/>
      <c r="X193" s="75"/>
    </row>
    <row r="194" spans="1:24" ht="15" customHeight="1" thickBot="1" x14ac:dyDescent="0.3">
      <c r="A194" s="67" t="s">
        <v>13394</v>
      </c>
      <c r="B194" s="68" t="s">
        <v>127</v>
      </c>
      <c r="C194" s="67" t="s">
        <v>40</v>
      </c>
      <c r="D194" s="69" t="s">
        <v>370</v>
      </c>
      <c r="E194" s="67" t="s">
        <v>728</v>
      </c>
      <c r="F194" s="67" t="s">
        <v>729</v>
      </c>
      <c r="G194" s="70"/>
      <c r="H194" s="67" t="s">
        <v>730</v>
      </c>
      <c r="I194" s="67"/>
      <c r="J194" s="67"/>
      <c r="K194" s="67" t="s">
        <v>85</v>
      </c>
      <c r="L194" s="130">
        <v>3</v>
      </c>
      <c r="M194" s="70" t="s">
        <v>517</v>
      </c>
      <c r="N194" s="137" t="s">
        <v>659</v>
      </c>
      <c r="O194" s="67"/>
      <c r="P194" s="67"/>
      <c r="Q194" s="131" t="s">
        <v>150</v>
      </c>
      <c r="R194" s="131"/>
      <c r="S194" s="71" t="s">
        <v>636</v>
      </c>
      <c r="T194" s="72" t="s">
        <v>114</v>
      </c>
      <c r="U194" s="72" t="s">
        <v>88</v>
      </c>
      <c r="V194" s="73" t="s">
        <v>89</v>
      </c>
      <c r="W194" s="74"/>
      <c r="X194" s="75"/>
    </row>
    <row r="195" spans="1:24" ht="15" customHeight="1" thickBot="1" x14ac:dyDescent="0.3">
      <c r="A195" s="67" t="s">
        <v>13394</v>
      </c>
      <c r="B195" s="68" t="s">
        <v>127</v>
      </c>
      <c r="C195" s="67" t="s">
        <v>40</v>
      </c>
      <c r="D195" s="69" t="s">
        <v>375</v>
      </c>
      <c r="E195" s="67" t="s">
        <v>731</v>
      </c>
      <c r="F195" s="67" t="s">
        <v>732</v>
      </c>
      <c r="G195" s="70"/>
      <c r="H195" s="67" t="s">
        <v>733</v>
      </c>
      <c r="I195" s="67"/>
      <c r="J195" s="67"/>
      <c r="K195" s="67" t="s">
        <v>85</v>
      </c>
      <c r="L195" s="130">
        <v>2</v>
      </c>
      <c r="M195" s="70" t="s">
        <v>105</v>
      </c>
      <c r="N195" s="137" t="s">
        <v>648</v>
      </c>
      <c r="O195" s="67"/>
      <c r="P195" s="67"/>
      <c r="Q195" s="131" t="s">
        <v>150</v>
      </c>
      <c r="R195" s="131"/>
      <c r="S195" s="71" t="s">
        <v>636</v>
      </c>
      <c r="T195" s="72" t="s">
        <v>114</v>
      </c>
      <c r="U195" s="72" t="s">
        <v>88</v>
      </c>
      <c r="V195" s="73" t="s">
        <v>89</v>
      </c>
      <c r="W195" s="74"/>
      <c r="X195" s="75"/>
    </row>
    <row r="196" spans="1:24" ht="15" customHeight="1" thickBot="1" x14ac:dyDescent="0.3">
      <c r="A196" s="225" t="s">
        <v>13394</v>
      </c>
      <c r="B196" s="68" t="s">
        <v>127</v>
      </c>
      <c r="C196" s="67" t="s">
        <v>40</v>
      </c>
      <c r="D196" s="69" t="s">
        <v>379</v>
      </c>
      <c r="E196" s="67" t="s">
        <v>734</v>
      </c>
      <c r="F196" s="67" t="s">
        <v>735</v>
      </c>
      <c r="G196" s="70"/>
      <c r="H196" s="225" t="s">
        <v>13416</v>
      </c>
      <c r="I196" s="67"/>
      <c r="J196" s="67"/>
      <c r="K196" s="67" t="s">
        <v>85</v>
      </c>
      <c r="L196" s="130">
        <v>7</v>
      </c>
      <c r="M196" s="70" t="s">
        <v>665</v>
      </c>
      <c r="N196" s="137" t="s">
        <v>666</v>
      </c>
      <c r="O196" s="67"/>
      <c r="P196" s="67"/>
      <c r="Q196" s="131" t="s">
        <v>150</v>
      </c>
      <c r="R196" s="131"/>
      <c r="S196" s="71" t="s">
        <v>636</v>
      </c>
      <c r="T196" s="72" t="s">
        <v>114</v>
      </c>
      <c r="U196" s="72" t="s">
        <v>88</v>
      </c>
      <c r="V196" s="73" t="s">
        <v>89</v>
      </c>
      <c r="W196" s="74"/>
      <c r="X196" s="75"/>
    </row>
    <row r="197" spans="1:24" ht="15" customHeight="1" thickBot="1" x14ac:dyDescent="0.3">
      <c r="A197" s="225" t="s">
        <v>13394</v>
      </c>
      <c r="B197" s="68" t="s">
        <v>127</v>
      </c>
      <c r="C197" s="67" t="s">
        <v>40</v>
      </c>
      <c r="D197" s="69" t="s">
        <v>383</v>
      </c>
      <c r="E197" s="67" t="s">
        <v>736</v>
      </c>
      <c r="F197" s="67" t="s">
        <v>737</v>
      </c>
      <c r="G197" s="70"/>
      <c r="H197" s="225" t="s">
        <v>13417</v>
      </c>
      <c r="I197" s="67"/>
      <c r="J197" s="67"/>
      <c r="K197" s="67" t="s">
        <v>85</v>
      </c>
      <c r="L197" s="130">
        <v>7</v>
      </c>
      <c r="M197" s="70" t="s">
        <v>665</v>
      </c>
      <c r="N197" s="137" t="s">
        <v>666</v>
      </c>
      <c r="O197" s="67"/>
      <c r="P197" s="67"/>
      <c r="Q197" s="131" t="s">
        <v>180</v>
      </c>
      <c r="R197" s="131"/>
      <c r="S197" s="71" t="s">
        <v>636</v>
      </c>
      <c r="T197" s="72"/>
      <c r="U197" s="72" t="s">
        <v>88</v>
      </c>
      <c r="V197" s="73" t="s">
        <v>89</v>
      </c>
      <c r="W197" s="74"/>
      <c r="X197" s="75"/>
    </row>
    <row r="198" spans="1:24" ht="15" customHeight="1" thickBot="1" x14ac:dyDescent="0.3">
      <c r="A198" s="67" t="s">
        <v>13394</v>
      </c>
      <c r="B198" s="68" t="s">
        <v>127</v>
      </c>
      <c r="C198" s="67" t="s">
        <v>40</v>
      </c>
      <c r="D198" s="69" t="s">
        <v>388</v>
      </c>
      <c r="E198" s="67" t="s">
        <v>738</v>
      </c>
      <c r="F198" s="67" t="s">
        <v>739</v>
      </c>
      <c r="G198" s="70"/>
      <c r="H198" s="67" t="s">
        <v>740</v>
      </c>
      <c r="I198" s="67"/>
      <c r="J198" s="67"/>
      <c r="K198" s="67" t="s">
        <v>140</v>
      </c>
      <c r="L198" s="130">
        <v>4</v>
      </c>
      <c r="M198" s="70" t="s">
        <v>141</v>
      </c>
      <c r="N198" s="137"/>
      <c r="O198" s="67" t="s">
        <v>644</v>
      </c>
      <c r="P198" s="67" t="s">
        <v>45</v>
      </c>
      <c r="Q198" s="131" t="s">
        <v>150</v>
      </c>
      <c r="R198" s="131"/>
      <c r="S198" s="71" t="s">
        <v>270</v>
      </c>
      <c r="T198" s="72" t="s">
        <v>88</v>
      </c>
      <c r="U198" s="72" t="s">
        <v>114</v>
      </c>
      <c r="V198" s="73" t="s">
        <v>89</v>
      </c>
      <c r="W198" s="74"/>
      <c r="X198" s="75"/>
    </row>
    <row r="199" spans="1:24" ht="15" customHeight="1" thickBot="1" x14ac:dyDescent="0.3">
      <c r="A199" s="67" t="s">
        <v>13394</v>
      </c>
      <c r="B199" s="68" t="s">
        <v>127</v>
      </c>
      <c r="C199" s="67" t="s">
        <v>40</v>
      </c>
      <c r="D199" s="69" t="s">
        <v>393</v>
      </c>
      <c r="E199" s="67" t="s">
        <v>741</v>
      </c>
      <c r="F199" s="67" t="s">
        <v>742</v>
      </c>
      <c r="G199" s="70"/>
      <c r="H199" s="67" t="s">
        <v>743</v>
      </c>
      <c r="I199" s="67"/>
      <c r="J199" s="67"/>
      <c r="K199" s="67" t="s">
        <v>85</v>
      </c>
      <c r="L199" s="130">
        <v>3</v>
      </c>
      <c r="M199" s="70" t="s">
        <v>517</v>
      </c>
      <c r="N199" s="137" t="s">
        <v>659</v>
      </c>
      <c r="O199" s="67"/>
      <c r="P199" s="67"/>
      <c r="Q199" s="131" t="s">
        <v>150</v>
      </c>
      <c r="R199" s="131"/>
      <c r="S199" s="71" t="s">
        <v>270</v>
      </c>
      <c r="T199" s="72" t="s">
        <v>88</v>
      </c>
      <c r="U199" s="72" t="s">
        <v>114</v>
      </c>
      <c r="V199" s="73" t="s">
        <v>89</v>
      </c>
      <c r="W199" s="74"/>
      <c r="X199" s="75"/>
    </row>
    <row r="200" spans="1:24" ht="15" customHeight="1" thickBot="1" x14ac:dyDescent="0.3">
      <c r="A200" s="67" t="s">
        <v>13394</v>
      </c>
      <c r="B200" s="68" t="s">
        <v>127</v>
      </c>
      <c r="C200" s="67" t="s">
        <v>40</v>
      </c>
      <c r="D200" s="69" t="s">
        <v>397</v>
      </c>
      <c r="E200" s="67" t="s">
        <v>744</v>
      </c>
      <c r="F200" s="67" t="s">
        <v>745</v>
      </c>
      <c r="G200" s="70"/>
      <c r="H200" s="67" t="s">
        <v>746</v>
      </c>
      <c r="I200" s="67"/>
      <c r="J200" s="67"/>
      <c r="K200" s="67" t="s">
        <v>85</v>
      </c>
      <c r="L200" s="130">
        <v>2</v>
      </c>
      <c r="M200" s="70" t="s">
        <v>105</v>
      </c>
      <c r="N200" s="137" t="s">
        <v>648</v>
      </c>
      <c r="O200" s="67"/>
      <c r="P200" s="67"/>
      <c r="Q200" s="131" t="s">
        <v>150</v>
      </c>
      <c r="R200" s="131"/>
      <c r="S200" s="71" t="s">
        <v>270</v>
      </c>
      <c r="T200" s="72" t="s">
        <v>88</v>
      </c>
      <c r="U200" s="72" t="s">
        <v>114</v>
      </c>
      <c r="V200" s="73" t="s">
        <v>89</v>
      </c>
      <c r="W200" s="74"/>
      <c r="X200" s="75"/>
    </row>
    <row r="201" spans="1:24" ht="15" customHeight="1" thickBot="1" x14ac:dyDescent="0.3">
      <c r="A201" s="67" t="s">
        <v>13394</v>
      </c>
      <c r="B201" s="68" t="s">
        <v>127</v>
      </c>
      <c r="C201" s="67" t="s">
        <v>40</v>
      </c>
      <c r="D201" s="69" t="s">
        <v>747</v>
      </c>
      <c r="E201" s="67" t="s">
        <v>748</v>
      </c>
      <c r="F201" s="67" t="s">
        <v>749</v>
      </c>
      <c r="G201" s="70"/>
      <c r="H201" s="67" t="s">
        <v>750</v>
      </c>
      <c r="I201" s="67"/>
      <c r="J201" s="67"/>
      <c r="K201" s="67" t="s">
        <v>85</v>
      </c>
      <c r="L201" s="130">
        <v>1</v>
      </c>
      <c r="M201" s="70" t="s">
        <v>99</v>
      </c>
      <c r="N201" s="137" t="s">
        <v>751</v>
      </c>
      <c r="O201" s="67"/>
      <c r="P201" s="67"/>
      <c r="Q201" s="131" t="s">
        <v>150</v>
      </c>
      <c r="R201" s="131"/>
      <c r="S201" s="71" t="s">
        <v>752</v>
      </c>
      <c r="T201" s="72" t="s">
        <v>88</v>
      </c>
      <c r="U201" s="72" t="s">
        <v>114</v>
      </c>
      <c r="V201" s="73" t="s">
        <v>89</v>
      </c>
      <c r="W201" s="74"/>
      <c r="X201" s="75"/>
    </row>
    <row r="202" spans="1:24" ht="15" customHeight="1" thickBot="1" x14ac:dyDescent="0.3">
      <c r="A202" s="67" t="s">
        <v>13394</v>
      </c>
      <c r="B202" s="68" t="s">
        <v>127</v>
      </c>
      <c r="C202" s="67" t="s">
        <v>40</v>
      </c>
      <c r="D202" s="69" t="s">
        <v>753</v>
      </c>
      <c r="E202" s="67" t="s">
        <v>754</v>
      </c>
      <c r="F202" s="67" t="s">
        <v>755</v>
      </c>
      <c r="G202" s="70"/>
      <c r="H202" s="67" t="s">
        <v>756</v>
      </c>
      <c r="I202" s="67"/>
      <c r="J202" s="67"/>
      <c r="K202" s="67" t="s">
        <v>140</v>
      </c>
      <c r="L202" s="130">
        <v>10</v>
      </c>
      <c r="M202" s="70" t="s">
        <v>141</v>
      </c>
      <c r="N202" s="137"/>
      <c r="O202" s="67"/>
      <c r="P202" s="67" t="s">
        <v>45</v>
      </c>
      <c r="Q202" s="131" t="s">
        <v>150</v>
      </c>
      <c r="R202" s="131"/>
      <c r="S202" s="71" t="s">
        <v>752</v>
      </c>
      <c r="T202" s="72" t="s">
        <v>88</v>
      </c>
      <c r="U202" s="72" t="s">
        <v>114</v>
      </c>
      <c r="V202" s="73" t="s">
        <v>89</v>
      </c>
      <c r="W202" s="74"/>
      <c r="X202" s="75"/>
    </row>
    <row r="203" spans="1:24" ht="15" customHeight="1" thickBot="1" x14ac:dyDescent="0.3">
      <c r="A203" s="67" t="s">
        <v>13394</v>
      </c>
      <c r="B203" s="68" t="s">
        <v>127</v>
      </c>
      <c r="C203" s="67" t="s">
        <v>40</v>
      </c>
      <c r="D203" s="69" t="s">
        <v>757</v>
      </c>
      <c r="E203" s="67" t="s">
        <v>758</v>
      </c>
      <c r="F203" s="67" t="s">
        <v>759</v>
      </c>
      <c r="G203" s="70"/>
      <c r="H203" s="67" t="s">
        <v>760</v>
      </c>
      <c r="I203" s="67"/>
      <c r="J203" s="67"/>
      <c r="K203" s="67" t="s">
        <v>429</v>
      </c>
      <c r="L203" s="130">
        <v>3</v>
      </c>
      <c r="M203" s="70" t="s">
        <v>517</v>
      </c>
      <c r="N203" s="137"/>
      <c r="O203" s="67" t="s">
        <v>80</v>
      </c>
      <c r="P203" s="67" t="s">
        <v>517</v>
      </c>
      <c r="Q203" s="131" t="s">
        <v>150</v>
      </c>
      <c r="R203" s="131"/>
      <c r="S203" s="71" t="s">
        <v>752</v>
      </c>
      <c r="T203" s="72" t="s">
        <v>88</v>
      </c>
      <c r="U203" s="72" t="s">
        <v>114</v>
      </c>
      <c r="V203" s="73" t="s">
        <v>89</v>
      </c>
      <c r="W203" s="74"/>
      <c r="X203" s="75"/>
    </row>
    <row r="204" spans="1:24" ht="15" customHeight="1" thickBot="1" x14ac:dyDescent="0.3">
      <c r="A204" s="67" t="s">
        <v>13394</v>
      </c>
      <c r="B204" s="68" t="s">
        <v>127</v>
      </c>
      <c r="C204" s="67" t="s">
        <v>40</v>
      </c>
      <c r="D204" s="69" t="s">
        <v>761</v>
      </c>
      <c r="E204" s="67" t="s">
        <v>762</v>
      </c>
      <c r="F204" s="67" t="s">
        <v>763</v>
      </c>
      <c r="G204" s="70"/>
      <c r="H204" s="67" t="s">
        <v>764</v>
      </c>
      <c r="I204" s="67"/>
      <c r="J204" s="67"/>
      <c r="K204" s="67" t="s">
        <v>85</v>
      </c>
      <c r="L204" s="130">
        <v>1</v>
      </c>
      <c r="M204" s="70" t="s">
        <v>99</v>
      </c>
      <c r="N204" s="137" t="s">
        <v>195</v>
      </c>
      <c r="O204" s="67"/>
      <c r="P204" s="67"/>
      <c r="Q204" s="131" t="s">
        <v>150</v>
      </c>
      <c r="R204" s="131"/>
      <c r="S204" s="71" t="s">
        <v>752</v>
      </c>
      <c r="T204" s="72" t="s">
        <v>88</v>
      </c>
      <c r="U204" s="72" t="s">
        <v>114</v>
      </c>
      <c r="V204" s="73" t="s">
        <v>89</v>
      </c>
      <c r="W204" s="74"/>
      <c r="X204" s="75"/>
    </row>
    <row r="205" spans="1:24" ht="15" customHeight="1" thickBot="1" x14ac:dyDescent="0.3">
      <c r="A205" s="67" t="s">
        <v>13394</v>
      </c>
      <c r="B205" s="68" t="s">
        <v>127</v>
      </c>
      <c r="C205" s="67" t="s">
        <v>40</v>
      </c>
      <c r="D205" s="69" t="s">
        <v>765</v>
      </c>
      <c r="E205" s="67" t="s">
        <v>766</v>
      </c>
      <c r="F205" s="67" t="s">
        <v>767</v>
      </c>
      <c r="G205" s="70"/>
      <c r="H205" s="67" t="s">
        <v>768</v>
      </c>
      <c r="I205" s="67"/>
      <c r="J205" s="67"/>
      <c r="K205" s="67" t="s">
        <v>85</v>
      </c>
      <c r="L205" s="130">
        <v>1</v>
      </c>
      <c r="M205" s="70" t="s">
        <v>99</v>
      </c>
      <c r="N205" s="137" t="s">
        <v>195</v>
      </c>
      <c r="O205" s="67"/>
      <c r="P205" s="67"/>
      <c r="Q205" s="131" t="s">
        <v>150</v>
      </c>
      <c r="R205" s="131"/>
      <c r="S205" s="71" t="s">
        <v>752</v>
      </c>
      <c r="T205" s="72" t="s">
        <v>88</v>
      </c>
      <c r="U205" s="72" t="s">
        <v>114</v>
      </c>
      <c r="V205" s="73" t="s">
        <v>89</v>
      </c>
      <c r="W205" s="74"/>
      <c r="X205" s="75"/>
    </row>
    <row r="206" spans="1:24" ht="15" customHeight="1" thickBot="1" x14ac:dyDescent="0.3">
      <c r="A206" s="67" t="s">
        <v>13394</v>
      </c>
      <c r="B206" s="68" t="s">
        <v>127</v>
      </c>
      <c r="C206" s="67" t="s">
        <v>40</v>
      </c>
      <c r="D206" s="69" t="s">
        <v>769</v>
      </c>
      <c r="E206" s="67" t="s">
        <v>215</v>
      </c>
      <c r="F206" s="67" t="s">
        <v>83</v>
      </c>
      <c r="G206" s="70"/>
      <c r="H206" s="67" t="s">
        <v>770</v>
      </c>
      <c r="I206" s="67"/>
      <c r="J206" s="67"/>
      <c r="K206" s="67" t="s">
        <v>85</v>
      </c>
      <c r="L206" s="130">
        <v>4</v>
      </c>
      <c r="M206" s="70" t="s">
        <v>403</v>
      </c>
      <c r="N206" s="137" t="s">
        <v>86</v>
      </c>
      <c r="O206" s="67"/>
      <c r="P206" s="67"/>
      <c r="Q206" s="131" t="s">
        <v>72</v>
      </c>
      <c r="R206" s="131"/>
      <c r="S206" s="71" t="s">
        <v>752</v>
      </c>
      <c r="T206" s="72" t="s">
        <v>88</v>
      </c>
      <c r="U206" s="72" t="s">
        <v>88</v>
      </c>
      <c r="V206" s="73" t="s">
        <v>89</v>
      </c>
      <c r="W206" s="74"/>
      <c r="X206" s="75"/>
    </row>
    <row r="207" spans="1:24" ht="15" customHeight="1" thickBot="1" x14ac:dyDescent="0.3">
      <c r="A207" s="67" t="s">
        <v>13394</v>
      </c>
      <c r="B207" s="68" t="s">
        <v>127</v>
      </c>
      <c r="C207" s="67" t="s">
        <v>40</v>
      </c>
      <c r="D207" s="69" t="s">
        <v>771</v>
      </c>
      <c r="E207" s="67" t="s">
        <v>772</v>
      </c>
      <c r="F207" s="67" t="s">
        <v>773</v>
      </c>
      <c r="G207" s="70"/>
      <c r="H207" s="67" t="s">
        <v>774</v>
      </c>
      <c r="I207" s="67"/>
      <c r="J207" s="67"/>
      <c r="K207" s="67" t="s">
        <v>111</v>
      </c>
      <c r="L207" s="130">
        <v>4</v>
      </c>
      <c r="M207" s="70">
        <v>9999</v>
      </c>
      <c r="N207" s="137"/>
      <c r="O207" s="67"/>
      <c r="P207" s="67"/>
      <c r="Q207" s="131" t="s">
        <v>150</v>
      </c>
      <c r="R207" s="131"/>
      <c r="S207" s="71" t="s">
        <v>775</v>
      </c>
      <c r="T207" s="72" t="s">
        <v>114</v>
      </c>
      <c r="U207" s="72" t="s">
        <v>88</v>
      </c>
      <c r="V207" s="73" t="s">
        <v>89</v>
      </c>
      <c r="W207" s="74"/>
      <c r="X207" s="75"/>
    </row>
    <row r="208" spans="1:24" ht="15" customHeight="1" thickBot="1" x14ac:dyDescent="0.3">
      <c r="A208" s="67" t="s">
        <v>13394</v>
      </c>
      <c r="B208" s="68" t="s">
        <v>127</v>
      </c>
      <c r="C208" s="67" t="s">
        <v>40</v>
      </c>
      <c r="D208" s="69" t="s">
        <v>776</v>
      </c>
      <c r="E208" s="67" t="s">
        <v>777</v>
      </c>
      <c r="F208" s="67" t="s">
        <v>778</v>
      </c>
      <c r="G208" s="70"/>
      <c r="H208" s="67" t="s">
        <v>779</v>
      </c>
      <c r="I208" s="67"/>
      <c r="J208" s="67"/>
      <c r="K208" s="67" t="s">
        <v>429</v>
      </c>
      <c r="L208" s="130">
        <v>4</v>
      </c>
      <c r="M208" s="70" t="s">
        <v>483</v>
      </c>
      <c r="N208" s="137"/>
      <c r="O208" s="67" t="s">
        <v>80</v>
      </c>
      <c r="P208" s="67" t="s">
        <v>483</v>
      </c>
      <c r="Q208" s="131" t="s">
        <v>150</v>
      </c>
      <c r="R208" s="131"/>
      <c r="S208" s="71" t="s">
        <v>780</v>
      </c>
      <c r="T208" s="72" t="s">
        <v>114</v>
      </c>
      <c r="U208" s="72" t="s">
        <v>88</v>
      </c>
      <c r="V208" s="73" t="s">
        <v>89</v>
      </c>
      <c r="W208" s="74"/>
      <c r="X208" s="75"/>
    </row>
    <row r="209" spans="1:24" ht="15" customHeight="1" thickBot="1" x14ac:dyDescent="0.3">
      <c r="A209" s="67" t="s">
        <v>13394</v>
      </c>
      <c r="B209" s="68" t="s">
        <v>127</v>
      </c>
      <c r="C209" s="67" t="s">
        <v>40</v>
      </c>
      <c r="D209" s="69" t="s">
        <v>781</v>
      </c>
      <c r="E209" s="67" t="s">
        <v>782</v>
      </c>
      <c r="F209" s="67" t="s">
        <v>783</v>
      </c>
      <c r="G209" s="70"/>
      <c r="H209" s="67" t="s">
        <v>784</v>
      </c>
      <c r="I209" s="67"/>
      <c r="J209" s="67"/>
      <c r="K209" s="67" t="s">
        <v>429</v>
      </c>
      <c r="L209" s="130">
        <v>4</v>
      </c>
      <c r="M209" s="70" t="s">
        <v>483</v>
      </c>
      <c r="N209" s="137"/>
      <c r="O209" s="67" t="s">
        <v>80</v>
      </c>
      <c r="P209" s="67" t="s">
        <v>483</v>
      </c>
      <c r="Q209" s="131" t="s">
        <v>150</v>
      </c>
      <c r="R209" s="131"/>
      <c r="S209" s="71" t="s">
        <v>780</v>
      </c>
      <c r="T209" s="72" t="s">
        <v>114</v>
      </c>
      <c r="U209" s="72" t="s">
        <v>88</v>
      </c>
      <c r="V209" s="73" t="s">
        <v>89</v>
      </c>
      <c r="W209" s="74"/>
      <c r="X209" s="75"/>
    </row>
    <row r="210" spans="1:24" ht="15" customHeight="1" thickBot="1" x14ac:dyDescent="0.3">
      <c r="A210" s="67" t="s">
        <v>13394</v>
      </c>
      <c r="B210" s="68" t="s">
        <v>127</v>
      </c>
      <c r="C210" s="67" t="s">
        <v>40</v>
      </c>
      <c r="D210" s="69" t="s">
        <v>785</v>
      </c>
      <c r="E210" s="67" t="s">
        <v>786</v>
      </c>
      <c r="F210" s="67" t="s">
        <v>787</v>
      </c>
      <c r="G210" s="70"/>
      <c r="H210" s="67" t="s">
        <v>788</v>
      </c>
      <c r="I210" s="67"/>
      <c r="J210" s="67"/>
      <c r="K210" s="67" t="s">
        <v>429</v>
      </c>
      <c r="L210" s="130">
        <v>4</v>
      </c>
      <c r="M210" s="70" t="s">
        <v>483</v>
      </c>
      <c r="N210" s="137"/>
      <c r="O210" s="67" t="s">
        <v>80</v>
      </c>
      <c r="P210" s="67" t="s">
        <v>483</v>
      </c>
      <c r="Q210" s="131" t="s">
        <v>150</v>
      </c>
      <c r="R210" s="131"/>
      <c r="S210" s="71" t="s">
        <v>780</v>
      </c>
      <c r="T210" s="72" t="s">
        <v>114</v>
      </c>
      <c r="U210" s="72" t="s">
        <v>88</v>
      </c>
      <c r="V210" s="73" t="s">
        <v>89</v>
      </c>
      <c r="W210" s="74"/>
      <c r="X210" s="75"/>
    </row>
    <row r="211" spans="1:24" ht="15" customHeight="1" thickBot="1" x14ac:dyDescent="0.3">
      <c r="A211" s="67" t="s">
        <v>13394</v>
      </c>
      <c r="B211" s="68" t="s">
        <v>127</v>
      </c>
      <c r="C211" s="67" t="s">
        <v>40</v>
      </c>
      <c r="D211" s="69" t="s">
        <v>789</v>
      </c>
      <c r="E211" s="67" t="s">
        <v>790</v>
      </c>
      <c r="F211" s="67" t="s">
        <v>791</v>
      </c>
      <c r="G211" s="70"/>
      <c r="H211" s="67" t="s">
        <v>792</v>
      </c>
      <c r="I211" s="67"/>
      <c r="J211" s="67"/>
      <c r="K211" s="67" t="s">
        <v>429</v>
      </c>
      <c r="L211" s="130">
        <v>4</v>
      </c>
      <c r="M211" s="70" t="s">
        <v>483</v>
      </c>
      <c r="N211" s="137"/>
      <c r="O211" s="67" t="s">
        <v>80</v>
      </c>
      <c r="P211" s="67" t="s">
        <v>483</v>
      </c>
      <c r="Q211" s="131" t="s">
        <v>150</v>
      </c>
      <c r="R211" s="131"/>
      <c r="S211" s="71" t="s">
        <v>780</v>
      </c>
      <c r="T211" s="72" t="s">
        <v>114</v>
      </c>
      <c r="U211" s="72" t="s">
        <v>88</v>
      </c>
      <c r="V211" s="73" t="s">
        <v>89</v>
      </c>
      <c r="W211" s="74"/>
      <c r="X211" s="75"/>
    </row>
    <row r="212" spans="1:24" ht="15" customHeight="1" thickBot="1" x14ac:dyDescent="0.3">
      <c r="A212" s="67" t="s">
        <v>13394</v>
      </c>
      <c r="B212" s="68" t="s">
        <v>127</v>
      </c>
      <c r="C212" s="67" t="s">
        <v>40</v>
      </c>
      <c r="D212" s="69" t="s">
        <v>793</v>
      </c>
      <c r="E212" s="67" t="s">
        <v>794</v>
      </c>
      <c r="F212" s="67" t="s">
        <v>795</v>
      </c>
      <c r="G212" s="70"/>
      <c r="H212" s="67" t="s">
        <v>796</v>
      </c>
      <c r="I212" s="67"/>
      <c r="J212" s="67"/>
      <c r="K212" s="67" t="s">
        <v>429</v>
      </c>
      <c r="L212" s="130">
        <v>4</v>
      </c>
      <c r="M212" s="70" t="s">
        <v>483</v>
      </c>
      <c r="N212" s="137"/>
      <c r="O212" s="67" t="s">
        <v>80</v>
      </c>
      <c r="P212" s="67" t="s">
        <v>483</v>
      </c>
      <c r="Q212" s="131" t="s">
        <v>150</v>
      </c>
      <c r="R212" s="131"/>
      <c r="S212" s="71" t="s">
        <v>780</v>
      </c>
      <c r="T212" s="72" t="s">
        <v>114</v>
      </c>
      <c r="U212" s="72" t="s">
        <v>88</v>
      </c>
      <c r="V212" s="73" t="s">
        <v>89</v>
      </c>
      <c r="W212" s="74"/>
      <c r="X212" s="75"/>
    </row>
    <row r="213" spans="1:24" ht="15" customHeight="1" thickBot="1" x14ac:dyDescent="0.3">
      <c r="A213" s="67" t="s">
        <v>13394</v>
      </c>
      <c r="B213" s="68" t="s">
        <v>127</v>
      </c>
      <c r="C213" s="67" t="s">
        <v>40</v>
      </c>
      <c r="D213" s="69" t="s">
        <v>797</v>
      </c>
      <c r="E213" s="67" t="s">
        <v>798</v>
      </c>
      <c r="F213" s="67" t="s">
        <v>799</v>
      </c>
      <c r="G213" s="70"/>
      <c r="H213" s="67" t="s">
        <v>800</v>
      </c>
      <c r="I213" s="67"/>
      <c r="J213" s="67"/>
      <c r="K213" s="67" t="s">
        <v>140</v>
      </c>
      <c r="L213" s="130">
        <v>10</v>
      </c>
      <c r="M213" s="70" t="s">
        <v>141</v>
      </c>
      <c r="N213" s="137"/>
      <c r="O213" s="67"/>
      <c r="P213" s="67"/>
      <c r="Q213" s="131" t="s">
        <v>72</v>
      </c>
      <c r="R213" s="131"/>
      <c r="S213" s="71" t="s">
        <v>775</v>
      </c>
      <c r="T213" s="72" t="s">
        <v>114</v>
      </c>
      <c r="U213" s="72" t="s">
        <v>88</v>
      </c>
      <c r="V213" s="73" t="s">
        <v>89</v>
      </c>
      <c r="W213" s="74"/>
      <c r="X213" s="75"/>
    </row>
    <row r="214" spans="1:24" ht="15" customHeight="1" thickBot="1" x14ac:dyDescent="0.3">
      <c r="A214" s="67" t="s">
        <v>13394</v>
      </c>
      <c r="B214" s="68" t="s">
        <v>127</v>
      </c>
      <c r="C214" s="67" t="s">
        <v>40</v>
      </c>
      <c r="D214" s="69" t="s">
        <v>801</v>
      </c>
      <c r="E214" s="67" t="s">
        <v>802</v>
      </c>
      <c r="F214" s="67" t="s">
        <v>803</v>
      </c>
      <c r="G214" s="70"/>
      <c r="H214" s="67" t="s">
        <v>804</v>
      </c>
      <c r="I214" s="67"/>
      <c r="J214" s="67"/>
      <c r="K214" s="67" t="s">
        <v>111</v>
      </c>
      <c r="L214" s="130">
        <v>2</v>
      </c>
      <c r="M214" s="70" t="s">
        <v>805</v>
      </c>
      <c r="N214" s="137"/>
      <c r="O214" s="67" t="s">
        <v>81</v>
      </c>
      <c r="P214" s="67" t="s">
        <v>805</v>
      </c>
      <c r="Q214" s="131" t="s">
        <v>150</v>
      </c>
      <c r="R214" s="131"/>
      <c r="S214" s="71" t="s">
        <v>780</v>
      </c>
      <c r="T214" s="72" t="s">
        <v>114</v>
      </c>
      <c r="U214" s="72" t="s">
        <v>88</v>
      </c>
      <c r="V214" s="73" t="s">
        <v>89</v>
      </c>
      <c r="W214" s="74"/>
      <c r="X214" s="75"/>
    </row>
    <row r="215" spans="1:24" ht="15" customHeight="1" thickBot="1" x14ac:dyDescent="0.3">
      <c r="A215" s="67" t="s">
        <v>13394</v>
      </c>
      <c r="B215" s="68" t="s">
        <v>127</v>
      </c>
      <c r="C215" s="67" t="s">
        <v>40</v>
      </c>
      <c r="D215" s="69" t="s">
        <v>806</v>
      </c>
      <c r="E215" s="67" t="s">
        <v>807</v>
      </c>
      <c r="F215" s="67" t="s">
        <v>808</v>
      </c>
      <c r="G215" s="70"/>
      <c r="H215" s="67" t="s">
        <v>809</v>
      </c>
      <c r="I215" s="67"/>
      <c r="J215" s="67"/>
      <c r="K215" s="67" t="s">
        <v>85</v>
      </c>
      <c r="L215" s="130">
        <v>2</v>
      </c>
      <c r="M215" s="70" t="s">
        <v>105</v>
      </c>
      <c r="N215" s="137" t="s">
        <v>807</v>
      </c>
      <c r="O215" s="67"/>
      <c r="P215" s="67"/>
      <c r="Q215" s="131" t="s">
        <v>72</v>
      </c>
      <c r="R215" s="131"/>
      <c r="S215" s="71" t="s">
        <v>810</v>
      </c>
      <c r="T215" s="72" t="s">
        <v>88</v>
      </c>
      <c r="U215" s="72" t="s">
        <v>88</v>
      </c>
      <c r="V215" s="73" t="s">
        <v>89</v>
      </c>
      <c r="W215" s="74"/>
      <c r="X215" s="75"/>
    </row>
    <row r="216" spans="1:24" ht="15" customHeight="1" thickBot="1" x14ac:dyDescent="0.3">
      <c r="A216" s="67" t="s">
        <v>13394</v>
      </c>
      <c r="B216" s="68" t="s">
        <v>127</v>
      </c>
      <c r="C216" s="67" t="s">
        <v>40</v>
      </c>
      <c r="D216" s="69" t="s">
        <v>811</v>
      </c>
      <c r="E216" s="67" t="s">
        <v>812</v>
      </c>
      <c r="F216" s="67" t="s">
        <v>813</v>
      </c>
      <c r="G216" s="70"/>
      <c r="H216" s="67" t="s">
        <v>814</v>
      </c>
      <c r="I216" s="67"/>
      <c r="J216" s="67"/>
      <c r="K216" s="67" t="s">
        <v>85</v>
      </c>
      <c r="L216" s="130">
        <v>2</v>
      </c>
      <c r="M216" s="70" t="s">
        <v>105</v>
      </c>
      <c r="N216" s="137" t="s">
        <v>815</v>
      </c>
      <c r="O216" s="67"/>
      <c r="P216" s="67"/>
      <c r="Q216" s="131" t="s">
        <v>150</v>
      </c>
      <c r="R216" s="131"/>
      <c r="S216" s="71" t="s">
        <v>168</v>
      </c>
      <c r="T216" s="72" t="s">
        <v>88</v>
      </c>
      <c r="U216" s="72" t="s">
        <v>88</v>
      </c>
      <c r="V216" s="73" t="s">
        <v>89</v>
      </c>
      <c r="W216" s="74"/>
      <c r="X216" s="75"/>
    </row>
    <row r="217" spans="1:24" ht="15" customHeight="1" thickBot="1" x14ac:dyDescent="0.3">
      <c r="A217" s="67" t="s">
        <v>13394</v>
      </c>
      <c r="B217" s="68" t="s">
        <v>127</v>
      </c>
      <c r="C217" s="67" t="s">
        <v>40</v>
      </c>
      <c r="D217" s="69" t="s">
        <v>816</v>
      </c>
      <c r="E217" s="67" t="s">
        <v>817</v>
      </c>
      <c r="F217" s="67" t="s">
        <v>818</v>
      </c>
      <c r="G217" s="70"/>
      <c r="H217" s="67" t="s">
        <v>819</v>
      </c>
      <c r="I217" s="67"/>
      <c r="J217" s="67"/>
      <c r="K217" s="67" t="s">
        <v>429</v>
      </c>
      <c r="L217" s="130">
        <v>6</v>
      </c>
      <c r="M217" s="70" t="s">
        <v>406</v>
      </c>
      <c r="N217" s="137"/>
      <c r="O217" s="67" t="s">
        <v>81</v>
      </c>
      <c r="P217" s="67" t="s">
        <v>406</v>
      </c>
      <c r="Q217" s="131" t="s">
        <v>150</v>
      </c>
      <c r="R217" s="131"/>
      <c r="S217" s="71" t="s">
        <v>168</v>
      </c>
      <c r="T217" s="72" t="s">
        <v>88</v>
      </c>
      <c r="U217" s="72" t="s">
        <v>88</v>
      </c>
      <c r="V217" s="73" t="s">
        <v>89</v>
      </c>
      <c r="W217" s="74"/>
      <c r="X217" s="75"/>
    </row>
    <row r="218" spans="1:24" ht="15" customHeight="1" thickBot="1" x14ac:dyDescent="0.3">
      <c r="A218" s="67" t="s">
        <v>13394</v>
      </c>
      <c r="B218" s="68" t="s">
        <v>127</v>
      </c>
      <c r="C218" s="67" t="s">
        <v>40</v>
      </c>
      <c r="D218" s="69" t="s">
        <v>820</v>
      </c>
      <c r="E218" s="67" t="s">
        <v>821</v>
      </c>
      <c r="F218" s="67" t="s">
        <v>822</v>
      </c>
      <c r="G218" s="70"/>
      <c r="H218" s="67" t="s">
        <v>823</v>
      </c>
      <c r="I218" s="67"/>
      <c r="J218" s="67"/>
      <c r="K218" s="67" t="s">
        <v>429</v>
      </c>
      <c r="L218" s="130">
        <v>3</v>
      </c>
      <c r="M218" s="70" t="s">
        <v>517</v>
      </c>
      <c r="N218" s="137"/>
      <c r="O218" s="67" t="s">
        <v>81</v>
      </c>
      <c r="P218" s="67" t="s">
        <v>824</v>
      </c>
      <c r="Q218" s="131" t="s">
        <v>150</v>
      </c>
      <c r="R218" s="131"/>
      <c r="S218" s="71" t="s">
        <v>168</v>
      </c>
      <c r="T218" s="72" t="s">
        <v>88</v>
      </c>
      <c r="U218" s="72" t="s">
        <v>88</v>
      </c>
      <c r="V218" s="73" t="s">
        <v>89</v>
      </c>
      <c r="W218" s="74"/>
      <c r="X218" s="75"/>
    </row>
    <row r="219" spans="1:24" ht="15" customHeight="1" thickBot="1" x14ac:dyDescent="0.3">
      <c r="A219" s="67" t="s">
        <v>13394</v>
      </c>
      <c r="B219" s="68" t="s">
        <v>127</v>
      </c>
      <c r="C219" s="67" t="s">
        <v>40</v>
      </c>
      <c r="D219" s="69" t="s">
        <v>825</v>
      </c>
      <c r="E219" s="67" t="s">
        <v>826</v>
      </c>
      <c r="F219" s="67" t="s">
        <v>827</v>
      </c>
      <c r="G219" s="70"/>
      <c r="H219" s="67" t="s">
        <v>828</v>
      </c>
      <c r="I219" s="67"/>
      <c r="J219" s="67"/>
      <c r="K219" s="67" t="s">
        <v>429</v>
      </c>
      <c r="L219" s="130">
        <v>4</v>
      </c>
      <c r="M219" s="70" t="s">
        <v>403</v>
      </c>
      <c r="N219" s="137"/>
      <c r="O219" s="67" t="s">
        <v>81</v>
      </c>
      <c r="P219" s="67" t="s">
        <v>829</v>
      </c>
      <c r="Q219" s="131" t="s">
        <v>150</v>
      </c>
      <c r="R219" s="131"/>
      <c r="S219" s="71" t="s">
        <v>168</v>
      </c>
      <c r="T219" s="72" t="s">
        <v>88</v>
      </c>
      <c r="U219" s="72" t="s">
        <v>88</v>
      </c>
      <c r="V219" s="73" t="s">
        <v>89</v>
      </c>
      <c r="W219" s="74"/>
      <c r="X219" s="75"/>
    </row>
    <row r="220" spans="1:24" ht="15" customHeight="1" thickBot="1" x14ac:dyDescent="0.3">
      <c r="A220" s="67" t="s">
        <v>13394</v>
      </c>
      <c r="B220" s="68" t="s">
        <v>127</v>
      </c>
      <c r="C220" s="67" t="s">
        <v>40</v>
      </c>
      <c r="D220" s="69" t="s">
        <v>830</v>
      </c>
      <c r="E220" s="67" t="s">
        <v>831</v>
      </c>
      <c r="F220" s="67" t="s">
        <v>832</v>
      </c>
      <c r="G220" s="70"/>
      <c r="H220" s="67" t="s">
        <v>833</v>
      </c>
      <c r="I220" s="67"/>
      <c r="J220" s="67"/>
      <c r="K220" s="67" t="s">
        <v>429</v>
      </c>
      <c r="L220" s="130">
        <v>4</v>
      </c>
      <c r="M220" s="70" t="s">
        <v>247</v>
      </c>
      <c r="N220" s="137"/>
      <c r="O220" s="67" t="s">
        <v>80</v>
      </c>
      <c r="P220" s="67" t="s">
        <v>834</v>
      </c>
      <c r="Q220" s="131" t="s">
        <v>150</v>
      </c>
      <c r="R220" s="131"/>
      <c r="S220" s="71" t="s">
        <v>168</v>
      </c>
      <c r="T220" s="72" t="s">
        <v>88</v>
      </c>
      <c r="U220" s="72" t="s">
        <v>88</v>
      </c>
      <c r="V220" s="73" t="s">
        <v>89</v>
      </c>
      <c r="W220" s="74"/>
      <c r="X220" s="75" t="s">
        <v>835</v>
      </c>
    </row>
    <row r="221" spans="1:24" ht="15" customHeight="1" thickBot="1" x14ac:dyDescent="0.3">
      <c r="A221" s="67" t="s">
        <v>13394</v>
      </c>
      <c r="B221" s="68" t="s">
        <v>127</v>
      </c>
      <c r="C221" s="67" t="s">
        <v>40</v>
      </c>
      <c r="D221" s="69" t="s">
        <v>836</v>
      </c>
      <c r="E221" s="67" t="s">
        <v>837</v>
      </c>
      <c r="F221" s="67" t="s">
        <v>838</v>
      </c>
      <c r="G221" s="70"/>
      <c r="H221" s="67" t="s">
        <v>839</v>
      </c>
      <c r="I221" s="67"/>
      <c r="J221" s="67"/>
      <c r="K221" s="67" t="s">
        <v>85</v>
      </c>
      <c r="L221" s="130">
        <v>2</v>
      </c>
      <c r="M221" s="70" t="s">
        <v>105</v>
      </c>
      <c r="N221" s="137" t="s">
        <v>840</v>
      </c>
      <c r="O221" s="67"/>
      <c r="P221" s="67"/>
      <c r="Q221" s="131" t="s">
        <v>150</v>
      </c>
      <c r="R221" s="131"/>
      <c r="S221" s="71" t="s">
        <v>168</v>
      </c>
      <c r="T221" s="72" t="s">
        <v>88</v>
      </c>
      <c r="U221" s="72" t="s">
        <v>88</v>
      </c>
      <c r="V221" s="73" t="s">
        <v>89</v>
      </c>
      <c r="W221" s="74"/>
      <c r="X221" s="75"/>
    </row>
    <row r="222" spans="1:24" ht="15" customHeight="1" thickBot="1" x14ac:dyDescent="0.3">
      <c r="A222" s="67" t="s">
        <v>13394</v>
      </c>
      <c r="B222" s="68" t="s">
        <v>127</v>
      </c>
      <c r="C222" s="67" t="s">
        <v>40</v>
      </c>
      <c r="D222" s="69" t="s">
        <v>841</v>
      </c>
      <c r="E222" s="67" t="s">
        <v>842</v>
      </c>
      <c r="F222" s="67" t="s">
        <v>843</v>
      </c>
      <c r="G222" s="70"/>
      <c r="H222" s="67" t="s">
        <v>844</v>
      </c>
      <c r="I222" s="67"/>
      <c r="J222" s="67"/>
      <c r="K222" s="67" t="s">
        <v>462</v>
      </c>
      <c r="L222" s="130">
        <v>5</v>
      </c>
      <c r="M222" s="70">
        <v>999.9</v>
      </c>
      <c r="N222" s="137"/>
      <c r="O222" s="67" t="s">
        <v>80</v>
      </c>
      <c r="P222" s="67" t="s">
        <v>845</v>
      </c>
      <c r="Q222" s="131" t="s">
        <v>150</v>
      </c>
      <c r="R222" s="131"/>
      <c r="S222" s="71" t="s">
        <v>168</v>
      </c>
      <c r="T222" s="72" t="s">
        <v>88</v>
      </c>
      <c r="U222" s="72" t="s">
        <v>88</v>
      </c>
      <c r="V222" s="73" t="s">
        <v>89</v>
      </c>
      <c r="W222" s="74"/>
      <c r="X222" s="75"/>
    </row>
    <row r="223" spans="1:24" ht="15" customHeight="1" thickBot="1" x14ac:dyDescent="0.3">
      <c r="A223" s="67" t="s">
        <v>13394</v>
      </c>
      <c r="B223" s="68" t="s">
        <v>127</v>
      </c>
      <c r="C223" s="67" t="s">
        <v>40</v>
      </c>
      <c r="D223" s="69" t="s">
        <v>846</v>
      </c>
      <c r="E223" s="67" t="s">
        <v>847</v>
      </c>
      <c r="F223" s="67" t="s">
        <v>848</v>
      </c>
      <c r="G223" s="70"/>
      <c r="H223" s="67" t="s">
        <v>849</v>
      </c>
      <c r="I223" s="67"/>
      <c r="J223" s="67"/>
      <c r="K223" s="67" t="s">
        <v>85</v>
      </c>
      <c r="L223" s="130">
        <v>2</v>
      </c>
      <c r="M223" s="70" t="s">
        <v>105</v>
      </c>
      <c r="N223" s="137" t="s">
        <v>840</v>
      </c>
      <c r="O223" s="67"/>
      <c r="P223" s="67"/>
      <c r="Q223" s="131" t="s">
        <v>150</v>
      </c>
      <c r="R223" s="131"/>
      <c r="S223" s="71" t="s">
        <v>168</v>
      </c>
      <c r="T223" s="72" t="s">
        <v>88</v>
      </c>
      <c r="U223" s="72" t="s">
        <v>88</v>
      </c>
      <c r="V223" s="73" t="s">
        <v>89</v>
      </c>
      <c r="W223" s="74"/>
      <c r="X223" s="75"/>
    </row>
    <row r="224" spans="1:24" ht="15" customHeight="1" thickBot="1" x14ac:dyDescent="0.3">
      <c r="A224" s="67" t="s">
        <v>13394</v>
      </c>
      <c r="B224" s="68" t="s">
        <v>127</v>
      </c>
      <c r="C224" s="67" t="s">
        <v>40</v>
      </c>
      <c r="D224" s="69" t="s">
        <v>850</v>
      </c>
      <c r="E224" s="67" t="s">
        <v>851</v>
      </c>
      <c r="F224" s="67" t="s">
        <v>852</v>
      </c>
      <c r="G224" s="70"/>
      <c r="H224" s="67" t="s">
        <v>853</v>
      </c>
      <c r="I224" s="67"/>
      <c r="J224" s="67"/>
      <c r="K224" s="67" t="s">
        <v>462</v>
      </c>
      <c r="L224" s="130">
        <v>5</v>
      </c>
      <c r="M224" s="70">
        <v>999.9</v>
      </c>
      <c r="N224" s="137"/>
      <c r="O224" s="67" t="s">
        <v>80</v>
      </c>
      <c r="P224" s="67" t="s">
        <v>845</v>
      </c>
      <c r="Q224" s="131" t="s">
        <v>150</v>
      </c>
      <c r="R224" s="131"/>
      <c r="S224" s="71" t="s">
        <v>168</v>
      </c>
      <c r="T224" s="72" t="s">
        <v>88</v>
      </c>
      <c r="U224" s="72" t="s">
        <v>88</v>
      </c>
      <c r="V224" s="73" t="s">
        <v>89</v>
      </c>
      <c r="W224" s="74"/>
      <c r="X224" s="75"/>
    </row>
    <row r="225" spans="1:24" ht="15" customHeight="1" thickBot="1" x14ac:dyDescent="0.3">
      <c r="A225" s="67" t="s">
        <v>13394</v>
      </c>
      <c r="B225" s="68" t="s">
        <v>127</v>
      </c>
      <c r="C225" s="67" t="s">
        <v>40</v>
      </c>
      <c r="D225" s="69" t="s">
        <v>854</v>
      </c>
      <c r="E225" s="67" t="s">
        <v>855</v>
      </c>
      <c r="F225" s="67" t="s">
        <v>856</v>
      </c>
      <c r="G225" s="70"/>
      <c r="H225" s="67" t="s">
        <v>857</v>
      </c>
      <c r="I225" s="67"/>
      <c r="J225" s="67"/>
      <c r="K225" s="67" t="s">
        <v>85</v>
      </c>
      <c r="L225" s="130">
        <v>2</v>
      </c>
      <c r="M225" s="70" t="s">
        <v>105</v>
      </c>
      <c r="N225" s="137" t="s">
        <v>840</v>
      </c>
      <c r="O225" s="67"/>
      <c r="P225" s="67"/>
      <c r="Q225" s="131" t="s">
        <v>150</v>
      </c>
      <c r="R225" s="131"/>
      <c r="S225" s="71" t="s">
        <v>168</v>
      </c>
      <c r="T225" s="72" t="s">
        <v>88</v>
      </c>
      <c r="U225" s="72" t="s">
        <v>88</v>
      </c>
      <c r="V225" s="73" t="s">
        <v>89</v>
      </c>
      <c r="W225" s="74"/>
      <c r="X225" s="75"/>
    </row>
    <row r="226" spans="1:24" ht="15" customHeight="1" thickBot="1" x14ac:dyDescent="0.3">
      <c r="A226" s="67" t="s">
        <v>13394</v>
      </c>
      <c r="B226" s="68" t="s">
        <v>127</v>
      </c>
      <c r="C226" s="67" t="s">
        <v>40</v>
      </c>
      <c r="D226" s="69" t="s">
        <v>858</v>
      </c>
      <c r="E226" s="67" t="s">
        <v>859</v>
      </c>
      <c r="F226" s="67" t="s">
        <v>860</v>
      </c>
      <c r="G226" s="70"/>
      <c r="H226" s="67" t="s">
        <v>861</v>
      </c>
      <c r="I226" s="67"/>
      <c r="J226" s="67"/>
      <c r="K226" s="67" t="s">
        <v>462</v>
      </c>
      <c r="L226" s="130">
        <v>5</v>
      </c>
      <c r="M226" s="70">
        <v>999.9</v>
      </c>
      <c r="N226" s="137"/>
      <c r="O226" s="67" t="s">
        <v>80</v>
      </c>
      <c r="P226" s="67" t="s">
        <v>845</v>
      </c>
      <c r="Q226" s="131" t="s">
        <v>150</v>
      </c>
      <c r="R226" s="131"/>
      <c r="S226" s="71" t="s">
        <v>168</v>
      </c>
      <c r="T226" s="72" t="s">
        <v>88</v>
      </c>
      <c r="U226" s="72" t="s">
        <v>88</v>
      </c>
      <c r="V226" s="73" t="s">
        <v>89</v>
      </c>
      <c r="W226" s="74"/>
      <c r="X226" s="75"/>
    </row>
    <row r="227" spans="1:24" ht="15" customHeight="1" thickBot="1" x14ac:dyDescent="0.3">
      <c r="A227" s="67" t="s">
        <v>13394</v>
      </c>
      <c r="B227" s="68" t="s">
        <v>127</v>
      </c>
      <c r="C227" s="67" t="s">
        <v>40</v>
      </c>
      <c r="D227" s="69" t="s">
        <v>862</v>
      </c>
      <c r="E227" s="67" t="s">
        <v>863</v>
      </c>
      <c r="F227" s="67" t="s">
        <v>864</v>
      </c>
      <c r="G227" s="70"/>
      <c r="H227" s="67" t="s">
        <v>865</v>
      </c>
      <c r="I227" s="67"/>
      <c r="J227" s="67"/>
      <c r="K227" s="67" t="s">
        <v>85</v>
      </c>
      <c r="L227" s="130">
        <v>2</v>
      </c>
      <c r="M227" s="70" t="s">
        <v>105</v>
      </c>
      <c r="N227" s="137" t="s">
        <v>840</v>
      </c>
      <c r="O227" s="67"/>
      <c r="P227" s="67"/>
      <c r="Q227" s="131" t="s">
        <v>150</v>
      </c>
      <c r="R227" s="131"/>
      <c r="S227" s="71" t="s">
        <v>168</v>
      </c>
      <c r="T227" s="72" t="s">
        <v>88</v>
      </c>
      <c r="U227" s="72" t="s">
        <v>88</v>
      </c>
      <c r="V227" s="73" t="s">
        <v>89</v>
      </c>
      <c r="W227" s="74"/>
      <c r="X227" s="75"/>
    </row>
    <row r="228" spans="1:24" ht="15" customHeight="1" thickBot="1" x14ac:dyDescent="0.3">
      <c r="A228" s="67" t="s">
        <v>13394</v>
      </c>
      <c r="B228" s="68" t="s">
        <v>127</v>
      </c>
      <c r="C228" s="67" t="s">
        <v>40</v>
      </c>
      <c r="D228" s="69" t="s">
        <v>866</v>
      </c>
      <c r="E228" s="67" t="s">
        <v>867</v>
      </c>
      <c r="F228" s="67" t="s">
        <v>868</v>
      </c>
      <c r="G228" s="70"/>
      <c r="H228" s="67" t="s">
        <v>869</v>
      </c>
      <c r="I228" s="67"/>
      <c r="J228" s="67"/>
      <c r="K228" s="67" t="s">
        <v>462</v>
      </c>
      <c r="L228" s="130">
        <v>5</v>
      </c>
      <c r="M228" s="70">
        <v>999.9</v>
      </c>
      <c r="N228" s="137"/>
      <c r="O228" s="67" t="s">
        <v>80</v>
      </c>
      <c r="P228" s="67" t="s">
        <v>845</v>
      </c>
      <c r="Q228" s="131" t="s">
        <v>150</v>
      </c>
      <c r="R228" s="131"/>
      <c r="S228" s="71" t="s">
        <v>168</v>
      </c>
      <c r="T228" s="72" t="s">
        <v>88</v>
      </c>
      <c r="U228" s="72" t="s">
        <v>88</v>
      </c>
      <c r="V228" s="73" t="s">
        <v>89</v>
      </c>
      <c r="W228" s="74"/>
      <c r="X228" s="75"/>
    </row>
    <row r="229" spans="1:24" ht="15" customHeight="1" thickBot="1" x14ac:dyDescent="0.3">
      <c r="A229" s="67" t="s">
        <v>13394</v>
      </c>
      <c r="B229" s="68" t="s">
        <v>127</v>
      </c>
      <c r="C229" s="67" t="s">
        <v>40</v>
      </c>
      <c r="D229" s="69" t="s">
        <v>870</v>
      </c>
      <c r="E229" s="67" t="s">
        <v>871</v>
      </c>
      <c r="F229" s="67" t="s">
        <v>872</v>
      </c>
      <c r="G229" s="70"/>
      <c r="H229" s="67" t="s">
        <v>873</v>
      </c>
      <c r="I229" s="67"/>
      <c r="J229" s="67"/>
      <c r="K229" s="67" t="s">
        <v>85</v>
      </c>
      <c r="L229" s="130">
        <v>2</v>
      </c>
      <c r="M229" s="70" t="s">
        <v>105</v>
      </c>
      <c r="N229" s="137" t="s">
        <v>815</v>
      </c>
      <c r="O229" s="67"/>
      <c r="P229" s="67"/>
      <c r="Q229" s="131" t="s">
        <v>180</v>
      </c>
      <c r="R229" s="131"/>
      <c r="S229" s="71" t="s">
        <v>168</v>
      </c>
      <c r="T229" s="72" t="s">
        <v>88</v>
      </c>
      <c r="U229" s="72" t="s">
        <v>88</v>
      </c>
      <c r="V229" s="73" t="s">
        <v>89</v>
      </c>
      <c r="W229" s="74"/>
      <c r="X229" s="75"/>
    </row>
    <row r="230" spans="1:24" ht="15" customHeight="1" thickBot="1" x14ac:dyDescent="0.3">
      <c r="A230" s="67" t="s">
        <v>13394</v>
      </c>
      <c r="B230" s="68" t="s">
        <v>127</v>
      </c>
      <c r="C230" s="67" t="s">
        <v>40</v>
      </c>
      <c r="D230" s="69" t="s">
        <v>874</v>
      </c>
      <c r="E230" s="67" t="s">
        <v>875</v>
      </c>
      <c r="F230" s="67" t="s">
        <v>876</v>
      </c>
      <c r="G230" s="70"/>
      <c r="H230" s="67" t="s">
        <v>877</v>
      </c>
      <c r="I230" s="67"/>
      <c r="J230" s="67"/>
      <c r="K230" s="67" t="s">
        <v>429</v>
      </c>
      <c r="L230" s="130">
        <v>6</v>
      </c>
      <c r="M230" s="70" t="s">
        <v>406</v>
      </c>
      <c r="N230" s="137"/>
      <c r="O230" s="67" t="s">
        <v>81</v>
      </c>
      <c r="P230" s="67" t="s">
        <v>406</v>
      </c>
      <c r="Q230" s="131" t="s">
        <v>150</v>
      </c>
      <c r="R230" s="131"/>
      <c r="S230" s="71" t="s">
        <v>168</v>
      </c>
      <c r="T230" s="72" t="s">
        <v>88</v>
      </c>
      <c r="U230" s="72" t="s">
        <v>88</v>
      </c>
      <c r="V230" s="73" t="s">
        <v>89</v>
      </c>
      <c r="W230" s="74"/>
      <c r="X230" s="75"/>
    </row>
    <row r="231" spans="1:24" ht="15" customHeight="1" thickBot="1" x14ac:dyDescent="0.3">
      <c r="A231" s="67" t="s">
        <v>13394</v>
      </c>
      <c r="B231" s="68" t="s">
        <v>127</v>
      </c>
      <c r="C231" s="67" t="s">
        <v>40</v>
      </c>
      <c r="D231" s="69" t="s">
        <v>878</v>
      </c>
      <c r="E231" s="67" t="s">
        <v>879</v>
      </c>
      <c r="F231" s="67" t="s">
        <v>880</v>
      </c>
      <c r="G231" s="70"/>
      <c r="H231" s="67" t="s">
        <v>881</v>
      </c>
      <c r="I231" s="67"/>
      <c r="J231" s="67"/>
      <c r="K231" s="67" t="s">
        <v>429</v>
      </c>
      <c r="L231" s="130">
        <v>3</v>
      </c>
      <c r="M231" s="70" t="s">
        <v>517</v>
      </c>
      <c r="N231" s="137"/>
      <c r="O231" s="67" t="s">
        <v>81</v>
      </c>
      <c r="P231" s="67" t="s">
        <v>824</v>
      </c>
      <c r="Q231" s="131" t="s">
        <v>150</v>
      </c>
      <c r="R231" s="131"/>
      <c r="S231" s="71" t="s">
        <v>168</v>
      </c>
      <c r="T231" s="72" t="s">
        <v>88</v>
      </c>
      <c r="U231" s="72" t="s">
        <v>88</v>
      </c>
      <c r="V231" s="73" t="s">
        <v>89</v>
      </c>
      <c r="W231" s="74"/>
      <c r="X231" s="75"/>
    </row>
    <row r="232" spans="1:24" ht="15" customHeight="1" thickBot="1" x14ac:dyDescent="0.3">
      <c r="A232" s="67" t="s">
        <v>13394</v>
      </c>
      <c r="B232" s="68" t="s">
        <v>127</v>
      </c>
      <c r="C232" s="67" t="s">
        <v>40</v>
      </c>
      <c r="D232" s="69" t="s">
        <v>882</v>
      </c>
      <c r="E232" s="67" t="s">
        <v>883</v>
      </c>
      <c r="F232" s="67" t="s">
        <v>884</v>
      </c>
      <c r="G232" s="70"/>
      <c r="H232" s="67" t="s">
        <v>885</v>
      </c>
      <c r="I232" s="67"/>
      <c r="J232" s="67"/>
      <c r="K232" s="67" t="s">
        <v>429</v>
      </c>
      <c r="L232" s="130">
        <v>4</v>
      </c>
      <c r="M232" s="70" t="s">
        <v>403</v>
      </c>
      <c r="N232" s="137"/>
      <c r="O232" s="67" t="s">
        <v>81</v>
      </c>
      <c r="P232" s="67" t="s">
        <v>403</v>
      </c>
      <c r="Q232" s="131" t="s">
        <v>150</v>
      </c>
      <c r="R232" s="131"/>
      <c r="S232" s="71" t="s">
        <v>168</v>
      </c>
      <c r="T232" s="72" t="s">
        <v>88</v>
      </c>
      <c r="U232" s="72" t="s">
        <v>88</v>
      </c>
      <c r="V232" s="73" t="s">
        <v>89</v>
      </c>
      <c r="W232" s="74"/>
      <c r="X232" s="75"/>
    </row>
    <row r="233" spans="1:24" ht="15" customHeight="1" thickBot="1" x14ac:dyDescent="0.3">
      <c r="A233" s="67" t="s">
        <v>13394</v>
      </c>
      <c r="B233" s="68" t="s">
        <v>127</v>
      </c>
      <c r="C233" s="67" t="s">
        <v>40</v>
      </c>
      <c r="D233" s="69" t="s">
        <v>886</v>
      </c>
      <c r="E233" s="67" t="s">
        <v>887</v>
      </c>
      <c r="F233" s="67" t="s">
        <v>888</v>
      </c>
      <c r="G233" s="70"/>
      <c r="H233" s="67" t="s">
        <v>889</v>
      </c>
      <c r="I233" s="67"/>
      <c r="J233" s="67"/>
      <c r="K233" s="67" t="s">
        <v>429</v>
      </c>
      <c r="L233" s="130">
        <v>4</v>
      </c>
      <c r="M233" s="70" t="s">
        <v>247</v>
      </c>
      <c r="N233" s="137"/>
      <c r="O233" s="67" t="s">
        <v>80</v>
      </c>
      <c r="P233" s="67" t="s">
        <v>834</v>
      </c>
      <c r="Q233" s="131" t="s">
        <v>150</v>
      </c>
      <c r="R233" s="131"/>
      <c r="S233" s="71" t="s">
        <v>168</v>
      </c>
      <c r="T233" s="72" t="s">
        <v>88</v>
      </c>
      <c r="U233" s="72" t="s">
        <v>88</v>
      </c>
      <c r="V233" s="73" t="s">
        <v>89</v>
      </c>
      <c r="W233" s="74"/>
      <c r="X233" s="75"/>
    </row>
    <row r="234" spans="1:24" ht="15" customHeight="1" thickBot="1" x14ac:dyDescent="0.3">
      <c r="A234" s="67" t="s">
        <v>13394</v>
      </c>
      <c r="B234" s="68" t="s">
        <v>127</v>
      </c>
      <c r="C234" s="67" t="s">
        <v>40</v>
      </c>
      <c r="D234" s="69" t="s">
        <v>890</v>
      </c>
      <c r="E234" s="67" t="s">
        <v>891</v>
      </c>
      <c r="F234" s="67" t="s">
        <v>892</v>
      </c>
      <c r="G234" s="70"/>
      <c r="H234" s="67" t="s">
        <v>839</v>
      </c>
      <c r="I234" s="67"/>
      <c r="J234" s="67"/>
      <c r="K234" s="67" t="s">
        <v>85</v>
      </c>
      <c r="L234" s="130">
        <v>2</v>
      </c>
      <c r="M234" s="70" t="s">
        <v>105</v>
      </c>
      <c r="N234" s="137" t="s">
        <v>840</v>
      </c>
      <c r="O234" s="67"/>
      <c r="P234" s="67"/>
      <c r="Q234" s="131" t="s">
        <v>150</v>
      </c>
      <c r="R234" s="131"/>
      <c r="S234" s="71" t="s">
        <v>168</v>
      </c>
      <c r="T234" s="72" t="s">
        <v>88</v>
      </c>
      <c r="U234" s="72" t="s">
        <v>88</v>
      </c>
      <c r="V234" s="73" t="s">
        <v>89</v>
      </c>
      <c r="W234" s="74"/>
      <c r="X234" s="75"/>
    </row>
    <row r="235" spans="1:24" ht="15" customHeight="1" thickBot="1" x14ac:dyDescent="0.3">
      <c r="A235" s="67" t="s">
        <v>13394</v>
      </c>
      <c r="B235" s="68" t="s">
        <v>127</v>
      </c>
      <c r="C235" s="67" t="s">
        <v>40</v>
      </c>
      <c r="D235" s="69" t="s">
        <v>893</v>
      </c>
      <c r="E235" s="67" t="s">
        <v>894</v>
      </c>
      <c r="F235" s="67" t="s">
        <v>895</v>
      </c>
      <c r="G235" s="70"/>
      <c r="H235" s="67" t="s">
        <v>844</v>
      </c>
      <c r="I235" s="67"/>
      <c r="J235" s="67"/>
      <c r="K235" s="67" t="s">
        <v>462</v>
      </c>
      <c r="L235" s="130">
        <v>5</v>
      </c>
      <c r="M235" s="70">
        <v>999.9</v>
      </c>
      <c r="N235" s="137"/>
      <c r="O235" s="67" t="s">
        <v>80</v>
      </c>
      <c r="P235" s="67" t="s">
        <v>845</v>
      </c>
      <c r="Q235" s="131" t="s">
        <v>150</v>
      </c>
      <c r="R235" s="131"/>
      <c r="S235" s="71" t="s">
        <v>168</v>
      </c>
      <c r="T235" s="72" t="s">
        <v>88</v>
      </c>
      <c r="U235" s="72" t="s">
        <v>88</v>
      </c>
      <c r="V235" s="73" t="s">
        <v>89</v>
      </c>
      <c r="W235" s="74"/>
      <c r="X235" s="75"/>
    </row>
    <row r="236" spans="1:24" ht="15" customHeight="1" thickBot="1" x14ac:dyDescent="0.3">
      <c r="A236" s="67" t="s">
        <v>13394</v>
      </c>
      <c r="B236" s="68" t="s">
        <v>127</v>
      </c>
      <c r="C236" s="67" t="s">
        <v>40</v>
      </c>
      <c r="D236" s="69" t="s">
        <v>896</v>
      </c>
      <c r="E236" s="67" t="s">
        <v>897</v>
      </c>
      <c r="F236" s="67" t="s">
        <v>898</v>
      </c>
      <c r="G236" s="70"/>
      <c r="H236" s="67" t="s">
        <v>849</v>
      </c>
      <c r="I236" s="67"/>
      <c r="J236" s="67"/>
      <c r="K236" s="67" t="s">
        <v>85</v>
      </c>
      <c r="L236" s="130"/>
      <c r="M236" s="70" t="s">
        <v>105</v>
      </c>
      <c r="N236" s="137" t="s">
        <v>840</v>
      </c>
      <c r="O236" s="67"/>
      <c r="P236" s="67"/>
      <c r="Q236" s="131" t="s">
        <v>150</v>
      </c>
      <c r="R236" s="131"/>
      <c r="S236" s="71" t="s">
        <v>168</v>
      </c>
      <c r="T236" s="72" t="s">
        <v>88</v>
      </c>
      <c r="U236" s="72" t="s">
        <v>88</v>
      </c>
      <c r="V236" s="73" t="s">
        <v>89</v>
      </c>
      <c r="W236" s="74"/>
      <c r="X236" s="75"/>
    </row>
    <row r="237" spans="1:24" ht="15" customHeight="1" thickBot="1" x14ac:dyDescent="0.3">
      <c r="A237" s="67" t="s">
        <v>13394</v>
      </c>
      <c r="B237" s="68" t="s">
        <v>127</v>
      </c>
      <c r="C237" s="67" t="s">
        <v>40</v>
      </c>
      <c r="D237" s="69" t="s">
        <v>899</v>
      </c>
      <c r="E237" s="67" t="s">
        <v>900</v>
      </c>
      <c r="F237" s="67" t="s">
        <v>901</v>
      </c>
      <c r="G237" s="70"/>
      <c r="H237" s="67" t="s">
        <v>853</v>
      </c>
      <c r="I237" s="67"/>
      <c r="J237" s="67"/>
      <c r="K237" s="67" t="s">
        <v>462</v>
      </c>
      <c r="L237" s="130">
        <v>5</v>
      </c>
      <c r="M237" s="70">
        <v>999.9</v>
      </c>
      <c r="N237" s="137"/>
      <c r="O237" s="67" t="s">
        <v>80</v>
      </c>
      <c r="P237" s="67" t="s">
        <v>845</v>
      </c>
      <c r="Q237" s="131" t="s">
        <v>150</v>
      </c>
      <c r="R237" s="131"/>
      <c r="S237" s="71" t="s">
        <v>168</v>
      </c>
      <c r="T237" s="72" t="s">
        <v>88</v>
      </c>
      <c r="U237" s="72" t="s">
        <v>88</v>
      </c>
      <c r="V237" s="73" t="s">
        <v>89</v>
      </c>
      <c r="W237" s="74"/>
      <c r="X237" s="75"/>
    </row>
    <row r="238" spans="1:24" ht="15" customHeight="1" thickBot="1" x14ac:dyDescent="0.3">
      <c r="A238" s="67" t="s">
        <v>13394</v>
      </c>
      <c r="B238" s="68" t="s">
        <v>127</v>
      </c>
      <c r="C238" s="67" t="s">
        <v>40</v>
      </c>
      <c r="D238" s="69" t="s">
        <v>902</v>
      </c>
      <c r="E238" s="67" t="s">
        <v>903</v>
      </c>
      <c r="F238" s="67" t="s">
        <v>904</v>
      </c>
      <c r="G238" s="70"/>
      <c r="H238" s="67" t="s">
        <v>857</v>
      </c>
      <c r="I238" s="67"/>
      <c r="J238" s="67"/>
      <c r="K238" s="67" t="s">
        <v>85</v>
      </c>
      <c r="L238" s="130">
        <v>2</v>
      </c>
      <c r="M238" s="70" t="s">
        <v>105</v>
      </c>
      <c r="N238" s="137" t="s">
        <v>840</v>
      </c>
      <c r="O238" s="67"/>
      <c r="P238" s="67"/>
      <c r="Q238" s="131" t="s">
        <v>150</v>
      </c>
      <c r="R238" s="131"/>
      <c r="S238" s="71" t="s">
        <v>168</v>
      </c>
      <c r="T238" s="72" t="s">
        <v>88</v>
      </c>
      <c r="U238" s="72" t="s">
        <v>88</v>
      </c>
      <c r="V238" s="73" t="s">
        <v>89</v>
      </c>
      <c r="W238" s="74"/>
      <c r="X238" s="75"/>
    </row>
    <row r="239" spans="1:24" ht="15" customHeight="1" thickBot="1" x14ac:dyDescent="0.3">
      <c r="A239" s="67" t="s">
        <v>13394</v>
      </c>
      <c r="B239" s="68" t="s">
        <v>127</v>
      </c>
      <c r="C239" s="67" t="s">
        <v>40</v>
      </c>
      <c r="D239" s="69" t="s">
        <v>905</v>
      </c>
      <c r="E239" s="67" t="s">
        <v>906</v>
      </c>
      <c r="F239" s="67" t="s">
        <v>907</v>
      </c>
      <c r="G239" s="70"/>
      <c r="H239" s="67" t="s">
        <v>861</v>
      </c>
      <c r="I239" s="67"/>
      <c r="J239" s="67"/>
      <c r="K239" s="67" t="s">
        <v>462</v>
      </c>
      <c r="L239" s="130">
        <v>5</v>
      </c>
      <c r="M239" s="70">
        <v>999.9</v>
      </c>
      <c r="N239" s="137"/>
      <c r="O239" s="67" t="s">
        <v>80</v>
      </c>
      <c r="P239" s="67" t="s">
        <v>845</v>
      </c>
      <c r="Q239" s="131" t="s">
        <v>150</v>
      </c>
      <c r="R239" s="131"/>
      <c r="S239" s="71" t="s">
        <v>168</v>
      </c>
      <c r="T239" s="72" t="s">
        <v>88</v>
      </c>
      <c r="U239" s="72" t="s">
        <v>88</v>
      </c>
      <c r="V239" s="73" t="s">
        <v>89</v>
      </c>
      <c r="W239" s="74"/>
      <c r="X239" s="75"/>
    </row>
    <row r="240" spans="1:24" ht="15" customHeight="1" thickBot="1" x14ac:dyDescent="0.3">
      <c r="A240" s="67" t="s">
        <v>13394</v>
      </c>
      <c r="B240" s="68" t="s">
        <v>127</v>
      </c>
      <c r="C240" s="67" t="s">
        <v>40</v>
      </c>
      <c r="D240" s="69" t="s">
        <v>908</v>
      </c>
      <c r="E240" s="67" t="s">
        <v>909</v>
      </c>
      <c r="F240" s="67" t="s">
        <v>910</v>
      </c>
      <c r="G240" s="70"/>
      <c r="H240" s="67" t="s">
        <v>865</v>
      </c>
      <c r="I240" s="67"/>
      <c r="J240" s="67"/>
      <c r="K240" s="67" t="s">
        <v>85</v>
      </c>
      <c r="L240" s="130">
        <v>2</v>
      </c>
      <c r="M240" s="70" t="s">
        <v>105</v>
      </c>
      <c r="N240" s="137" t="s">
        <v>840</v>
      </c>
      <c r="O240" s="67"/>
      <c r="P240" s="67"/>
      <c r="Q240" s="131" t="s">
        <v>150</v>
      </c>
      <c r="R240" s="131"/>
      <c r="S240" s="71" t="s">
        <v>168</v>
      </c>
      <c r="T240" s="72" t="s">
        <v>88</v>
      </c>
      <c r="U240" s="72" t="s">
        <v>88</v>
      </c>
      <c r="V240" s="73" t="s">
        <v>89</v>
      </c>
      <c r="W240" s="74"/>
      <c r="X240" s="75"/>
    </row>
    <row r="241" spans="1:24" ht="15" customHeight="1" thickBot="1" x14ac:dyDescent="0.3">
      <c r="A241" s="67" t="s">
        <v>13394</v>
      </c>
      <c r="B241" s="68" t="s">
        <v>127</v>
      </c>
      <c r="C241" s="67" t="s">
        <v>40</v>
      </c>
      <c r="D241" s="69" t="s">
        <v>911</v>
      </c>
      <c r="E241" s="67" t="s">
        <v>912</v>
      </c>
      <c r="F241" s="67" t="s">
        <v>913</v>
      </c>
      <c r="G241" s="70"/>
      <c r="H241" s="67" t="s">
        <v>869</v>
      </c>
      <c r="I241" s="67"/>
      <c r="J241" s="67"/>
      <c r="K241" s="67" t="s">
        <v>462</v>
      </c>
      <c r="L241" s="130">
        <v>5</v>
      </c>
      <c r="M241" s="70">
        <v>999.9</v>
      </c>
      <c r="N241" s="137"/>
      <c r="O241" s="67" t="s">
        <v>80</v>
      </c>
      <c r="P241" s="67" t="s">
        <v>845</v>
      </c>
      <c r="Q241" s="131" t="s">
        <v>150</v>
      </c>
      <c r="R241" s="131"/>
      <c r="S241" s="71" t="s">
        <v>168</v>
      </c>
      <c r="T241" s="72" t="s">
        <v>88</v>
      </c>
      <c r="U241" s="72" t="s">
        <v>88</v>
      </c>
      <c r="V241" s="73" t="s">
        <v>89</v>
      </c>
      <c r="W241" s="74"/>
      <c r="X241" s="75"/>
    </row>
    <row r="242" spans="1:24" ht="15" customHeight="1" thickBot="1" x14ac:dyDescent="0.3">
      <c r="A242" s="67" t="s">
        <v>13394</v>
      </c>
      <c r="B242" s="68" t="s">
        <v>127</v>
      </c>
      <c r="C242" s="67" t="s">
        <v>40</v>
      </c>
      <c r="D242" s="69" t="s">
        <v>914</v>
      </c>
      <c r="E242" s="67" t="s">
        <v>915</v>
      </c>
      <c r="F242" s="67" t="s">
        <v>916</v>
      </c>
      <c r="G242" s="70"/>
      <c r="H242" s="67" t="s">
        <v>917</v>
      </c>
      <c r="I242" s="67"/>
      <c r="J242" s="67"/>
      <c r="K242" s="67" t="s">
        <v>85</v>
      </c>
      <c r="L242" s="130">
        <v>2</v>
      </c>
      <c r="M242" s="70" t="s">
        <v>105</v>
      </c>
      <c r="N242" s="137" t="s">
        <v>815</v>
      </c>
      <c r="O242" s="67"/>
      <c r="P242" s="67"/>
      <c r="Q242" s="131" t="s">
        <v>180</v>
      </c>
      <c r="R242" s="131"/>
      <c r="S242" s="71" t="s">
        <v>168</v>
      </c>
      <c r="T242" s="72" t="s">
        <v>88</v>
      </c>
      <c r="U242" s="72" t="s">
        <v>88</v>
      </c>
      <c r="V242" s="73" t="s">
        <v>89</v>
      </c>
      <c r="W242" s="74"/>
      <c r="X242" s="75"/>
    </row>
    <row r="243" spans="1:24" ht="15" customHeight="1" thickBot="1" x14ac:dyDescent="0.3">
      <c r="A243" s="67" t="s">
        <v>13394</v>
      </c>
      <c r="B243" s="68" t="s">
        <v>127</v>
      </c>
      <c r="C243" s="67" t="s">
        <v>40</v>
      </c>
      <c r="D243" s="69" t="s">
        <v>918</v>
      </c>
      <c r="E243" s="67" t="s">
        <v>919</v>
      </c>
      <c r="F243" s="67" t="s">
        <v>920</v>
      </c>
      <c r="G243" s="70"/>
      <c r="H243" s="67" t="s">
        <v>921</v>
      </c>
      <c r="I243" s="67"/>
      <c r="J243" s="67"/>
      <c r="K243" s="67" t="s">
        <v>429</v>
      </c>
      <c r="L243" s="130">
        <v>6</v>
      </c>
      <c r="M243" s="70" t="s">
        <v>406</v>
      </c>
      <c r="N243" s="137"/>
      <c r="O243" s="67" t="s">
        <v>81</v>
      </c>
      <c r="P243" s="67" t="s">
        <v>406</v>
      </c>
      <c r="Q243" s="131" t="s">
        <v>150</v>
      </c>
      <c r="R243" s="131"/>
      <c r="S243" s="71" t="s">
        <v>168</v>
      </c>
      <c r="T243" s="72" t="s">
        <v>88</v>
      </c>
      <c r="U243" s="72" t="s">
        <v>88</v>
      </c>
      <c r="V243" s="73" t="s">
        <v>89</v>
      </c>
      <c r="W243" s="74"/>
      <c r="X243" s="75"/>
    </row>
    <row r="244" spans="1:24" ht="15" customHeight="1" thickBot="1" x14ac:dyDescent="0.3">
      <c r="A244" s="67" t="s">
        <v>13394</v>
      </c>
      <c r="B244" s="68" t="s">
        <v>127</v>
      </c>
      <c r="C244" s="67" t="s">
        <v>40</v>
      </c>
      <c r="D244" s="69" t="s">
        <v>922</v>
      </c>
      <c r="E244" s="67" t="s">
        <v>923</v>
      </c>
      <c r="F244" s="67" t="s">
        <v>924</v>
      </c>
      <c r="G244" s="70"/>
      <c r="H244" s="67" t="s">
        <v>925</v>
      </c>
      <c r="I244" s="67"/>
      <c r="J244" s="67"/>
      <c r="K244" s="67" t="s">
        <v>429</v>
      </c>
      <c r="L244" s="130">
        <v>3</v>
      </c>
      <c r="M244" s="70" t="s">
        <v>517</v>
      </c>
      <c r="N244" s="137"/>
      <c r="O244" s="67" t="s">
        <v>81</v>
      </c>
      <c r="P244" s="67" t="s">
        <v>824</v>
      </c>
      <c r="Q244" s="131" t="s">
        <v>150</v>
      </c>
      <c r="R244" s="131"/>
      <c r="S244" s="71" t="s">
        <v>168</v>
      </c>
      <c r="T244" s="72" t="s">
        <v>88</v>
      </c>
      <c r="U244" s="72" t="s">
        <v>88</v>
      </c>
      <c r="V244" s="73" t="s">
        <v>89</v>
      </c>
      <c r="W244" s="74"/>
      <c r="X244" s="75"/>
    </row>
    <row r="245" spans="1:24" ht="15" customHeight="1" thickBot="1" x14ac:dyDescent="0.3">
      <c r="A245" s="67" t="s">
        <v>13394</v>
      </c>
      <c r="B245" s="68" t="s">
        <v>127</v>
      </c>
      <c r="C245" s="67" t="s">
        <v>40</v>
      </c>
      <c r="D245" s="69" t="s">
        <v>926</v>
      </c>
      <c r="E245" s="67" t="s">
        <v>927</v>
      </c>
      <c r="F245" s="67" t="s">
        <v>928</v>
      </c>
      <c r="G245" s="70"/>
      <c r="H245" s="67" t="s">
        <v>929</v>
      </c>
      <c r="I245" s="67"/>
      <c r="J245" s="67"/>
      <c r="K245" s="67" t="s">
        <v>429</v>
      </c>
      <c r="L245" s="130">
        <v>4</v>
      </c>
      <c r="M245" s="70" t="s">
        <v>403</v>
      </c>
      <c r="N245" s="137"/>
      <c r="O245" s="67" t="s">
        <v>81</v>
      </c>
      <c r="P245" s="67" t="s">
        <v>403</v>
      </c>
      <c r="Q245" s="131" t="s">
        <v>150</v>
      </c>
      <c r="R245" s="131"/>
      <c r="S245" s="71" t="s">
        <v>168</v>
      </c>
      <c r="T245" s="72" t="s">
        <v>88</v>
      </c>
      <c r="U245" s="72" t="s">
        <v>88</v>
      </c>
      <c r="V245" s="73" t="s">
        <v>89</v>
      </c>
      <c r="W245" s="74"/>
      <c r="X245" s="75"/>
    </row>
    <row r="246" spans="1:24" ht="15" customHeight="1" thickBot="1" x14ac:dyDescent="0.3">
      <c r="A246" s="67" t="s">
        <v>13394</v>
      </c>
      <c r="B246" s="68" t="s">
        <v>127</v>
      </c>
      <c r="C246" s="67" t="s">
        <v>40</v>
      </c>
      <c r="D246" s="69" t="s">
        <v>805</v>
      </c>
      <c r="E246" s="67" t="s">
        <v>930</v>
      </c>
      <c r="F246" s="67" t="s">
        <v>931</v>
      </c>
      <c r="G246" s="70"/>
      <c r="H246" s="67" t="s">
        <v>932</v>
      </c>
      <c r="I246" s="67"/>
      <c r="J246" s="67"/>
      <c r="K246" s="67" t="s">
        <v>429</v>
      </c>
      <c r="L246" s="130">
        <v>4</v>
      </c>
      <c r="M246" s="70" t="s">
        <v>247</v>
      </c>
      <c r="N246" s="137"/>
      <c r="O246" s="67" t="s">
        <v>80</v>
      </c>
      <c r="P246" s="67" t="s">
        <v>834</v>
      </c>
      <c r="Q246" s="131" t="s">
        <v>150</v>
      </c>
      <c r="R246" s="131"/>
      <c r="S246" s="71" t="s">
        <v>168</v>
      </c>
      <c r="T246" s="72" t="s">
        <v>88</v>
      </c>
      <c r="U246" s="72" t="s">
        <v>88</v>
      </c>
      <c r="V246" s="73" t="s">
        <v>89</v>
      </c>
      <c r="W246" s="74"/>
      <c r="X246" s="75"/>
    </row>
    <row r="247" spans="1:24" ht="15" customHeight="1" thickBot="1" x14ac:dyDescent="0.3">
      <c r="A247" s="67" t="s">
        <v>13394</v>
      </c>
      <c r="B247" s="68" t="s">
        <v>127</v>
      </c>
      <c r="C247" s="67" t="s">
        <v>40</v>
      </c>
      <c r="D247" s="69" t="s">
        <v>933</v>
      </c>
      <c r="E247" s="67" t="s">
        <v>934</v>
      </c>
      <c r="F247" s="67" t="s">
        <v>935</v>
      </c>
      <c r="G247" s="70"/>
      <c r="H247" s="67" t="s">
        <v>839</v>
      </c>
      <c r="I247" s="67"/>
      <c r="J247" s="67"/>
      <c r="K247" s="67" t="s">
        <v>85</v>
      </c>
      <c r="L247" s="130">
        <v>2</v>
      </c>
      <c r="M247" s="70" t="s">
        <v>105</v>
      </c>
      <c r="N247" s="137" t="s">
        <v>840</v>
      </c>
      <c r="O247" s="67"/>
      <c r="P247" s="67"/>
      <c r="Q247" s="131" t="s">
        <v>150</v>
      </c>
      <c r="R247" s="131"/>
      <c r="S247" s="71" t="s">
        <v>168</v>
      </c>
      <c r="T247" s="72" t="s">
        <v>88</v>
      </c>
      <c r="U247" s="72" t="s">
        <v>88</v>
      </c>
      <c r="V247" s="73" t="s">
        <v>89</v>
      </c>
      <c r="W247" s="74"/>
      <c r="X247" s="75"/>
    </row>
    <row r="248" spans="1:24" ht="15" customHeight="1" thickBot="1" x14ac:dyDescent="0.3">
      <c r="A248" s="67" t="s">
        <v>13394</v>
      </c>
      <c r="B248" s="68" t="s">
        <v>127</v>
      </c>
      <c r="C248" s="67" t="s">
        <v>40</v>
      </c>
      <c r="D248" s="69" t="s">
        <v>936</v>
      </c>
      <c r="E248" s="67" t="s">
        <v>937</v>
      </c>
      <c r="F248" s="67" t="s">
        <v>938</v>
      </c>
      <c r="G248" s="70"/>
      <c r="H248" s="67" t="s">
        <v>844</v>
      </c>
      <c r="I248" s="67"/>
      <c r="J248" s="67"/>
      <c r="K248" s="67" t="s">
        <v>462</v>
      </c>
      <c r="L248" s="130">
        <v>5</v>
      </c>
      <c r="M248" s="70">
        <v>999.9</v>
      </c>
      <c r="N248" s="137"/>
      <c r="O248" s="67" t="s">
        <v>80</v>
      </c>
      <c r="P248" s="67" t="s">
        <v>845</v>
      </c>
      <c r="Q248" s="131" t="s">
        <v>150</v>
      </c>
      <c r="R248" s="131"/>
      <c r="S248" s="71" t="s">
        <v>168</v>
      </c>
      <c r="T248" s="72" t="s">
        <v>88</v>
      </c>
      <c r="U248" s="72" t="s">
        <v>88</v>
      </c>
      <c r="V248" s="73" t="s">
        <v>89</v>
      </c>
      <c r="W248" s="74"/>
      <c r="X248" s="75"/>
    </row>
    <row r="249" spans="1:24" ht="15" customHeight="1" thickBot="1" x14ac:dyDescent="0.3">
      <c r="A249" s="67" t="s">
        <v>13394</v>
      </c>
      <c r="B249" s="68" t="s">
        <v>127</v>
      </c>
      <c r="C249" s="67" t="s">
        <v>40</v>
      </c>
      <c r="D249" s="69" t="s">
        <v>939</v>
      </c>
      <c r="E249" s="67" t="s">
        <v>940</v>
      </c>
      <c r="F249" s="67" t="s">
        <v>941</v>
      </c>
      <c r="G249" s="70"/>
      <c r="H249" s="67" t="s">
        <v>849</v>
      </c>
      <c r="I249" s="67"/>
      <c r="J249" s="67"/>
      <c r="K249" s="67" t="s">
        <v>85</v>
      </c>
      <c r="L249" s="130">
        <v>2</v>
      </c>
      <c r="M249" s="70" t="s">
        <v>105</v>
      </c>
      <c r="N249" s="137" t="s">
        <v>840</v>
      </c>
      <c r="O249" s="67"/>
      <c r="P249" s="67"/>
      <c r="Q249" s="131" t="s">
        <v>150</v>
      </c>
      <c r="R249" s="131"/>
      <c r="S249" s="71" t="s">
        <v>168</v>
      </c>
      <c r="T249" s="72" t="s">
        <v>88</v>
      </c>
      <c r="U249" s="72" t="s">
        <v>88</v>
      </c>
      <c r="V249" s="73" t="s">
        <v>89</v>
      </c>
      <c r="W249" s="74"/>
      <c r="X249" s="75"/>
    </row>
    <row r="250" spans="1:24" ht="15" customHeight="1" thickBot="1" x14ac:dyDescent="0.3">
      <c r="A250" s="67" t="s">
        <v>13394</v>
      </c>
      <c r="B250" s="68" t="s">
        <v>127</v>
      </c>
      <c r="C250" s="67" t="s">
        <v>40</v>
      </c>
      <c r="D250" s="69" t="s">
        <v>942</v>
      </c>
      <c r="E250" s="67" t="s">
        <v>943</v>
      </c>
      <c r="F250" s="67" t="s">
        <v>944</v>
      </c>
      <c r="G250" s="70"/>
      <c r="H250" s="67" t="s">
        <v>853</v>
      </c>
      <c r="I250" s="67"/>
      <c r="J250" s="67"/>
      <c r="K250" s="67" t="s">
        <v>462</v>
      </c>
      <c r="L250" s="130">
        <v>5</v>
      </c>
      <c r="M250" s="70">
        <v>999.9</v>
      </c>
      <c r="N250" s="137"/>
      <c r="O250" s="67" t="s">
        <v>80</v>
      </c>
      <c r="P250" s="67" t="s">
        <v>845</v>
      </c>
      <c r="Q250" s="131" t="s">
        <v>150</v>
      </c>
      <c r="R250" s="131"/>
      <c r="S250" s="71" t="s">
        <v>168</v>
      </c>
      <c r="T250" s="72" t="s">
        <v>88</v>
      </c>
      <c r="U250" s="72" t="s">
        <v>88</v>
      </c>
      <c r="V250" s="73" t="s">
        <v>89</v>
      </c>
      <c r="W250" s="74"/>
      <c r="X250" s="75"/>
    </row>
    <row r="251" spans="1:24" ht="15" customHeight="1" thickBot="1" x14ac:dyDescent="0.3">
      <c r="A251" s="67" t="s">
        <v>13394</v>
      </c>
      <c r="B251" s="68" t="s">
        <v>127</v>
      </c>
      <c r="C251" s="67" t="s">
        <v>40</v>
      </c>
      <c r="D251" s="69" t="s">
        <v>945</v>
      </c>
      <c r="E251" s="67" t="s">
        <v>946</v>
      </c>
      <c r="F251" s="67" t="s">
        <v>947</v>
      </c>
      <c r="G251" s="70"/>
      <c r="H251" s="67" t="s">
        <v>857</v>
      </c>
      <c r="I251" s="67"/>
      <c r="J251" s="67"/>
      <c r="K251" s="67" t="s">
        <v>85</v>
      </c>
      <c r="L251" s="130">
        <v>2</v>
      </c>
      <c r="M251" s="70" t="s">
        <v>105</v>
      </c>
      <c r="N251" s="137" t="s">
        <v>840</v>
      </c>
      <c r="O251" s="67"/>
      <c r="P251" s="67"/>
      <c r="Q251" s="131" t="s">
        <v>150</v>
      </c>
      <c r="R251" s="131"/>
      <c r="S251" s="71" t="s">
        <v>168</v>
      </c>
      <c r="T251" s="72" t="s">
        <v>88</v>
      </c>
      <c r="U251" s="72" t="s">
        <v>88</v>
      </c>
      <c r="V251" s="73" t="s">
        <v>89</v>
      </c>
      <c r="W251" s="74"/>
      <c r="X251" s="75"/>
    </row>
    <row r="252" spans="1:24" ht="15" customHeight="1" thickBot="1" x14ac:dyDescent="0.3">
      <c r="A252" s="67" t="s">
        <v>13394</v>
      </c>
      <c r="B252" s="68" t="s">
        <v>127</v>
      </c>
      <c r="C252" s="67" t="s">
        <v>40</v>
      </c>
      <c r="D252" s="69" t="s">
        <v>948</v>
      </c>
      <c r="E252" s="67" t="s">
        <v>949</v>
      </c>
      <c r="F252" s="67" t="s">
        <v>950</v>
      </c>
      <c r="G252" s="70"/>
      <c r="H252" s="67" t="s">
        <v>861</v>
      </c>
      <c r="I252" s="67"/>
      <c r="J252" s="67"/>
      <c r="K252" s="67" t="s">
        <v>462</v>
      </c>
      <c r="L252" s="130">
        <v>5</v>
      </c>
      <c r="M252" s="70">
        <v>999.9</v>
      </c>
      <c r="N252" s="137"/>
      <c r="O252" s="67" t="s">
        <v>80</v>
      </c>
      <c r="P252" s="67" t="s">
        <v>845</v>
      </c>
      <c r="Q252" s="131" t="s">
        <v>150</v>
      </c>
      <c r="R252" s="131"/>
      <c r="S252" s="71" t="s">
        <v>168</v>
      </c>
      <c r="T252" s="72" t="s">
        <v>88</v>
      </c>
      <c r="U252" s="72" t="s">
        <v>88</v>
      </c>
      <c r="V252" s="73" t="s">
        <v>89</v>
      </c>
      <c r="W252" s="74"/>
      <c r="X252" s="75"/>
    </row>
    <row r="253" spans="1:24" ht="15" customHeight="1" thickBot="1" x14ac:dyDescent="0.3">
      <c r="A253" s="67" t="s">
        <v>13394</v>
      </c>
      <c r="B253" s="68" t="s">
        <v>127</v>
      </c>
      <c r="C253" s="67" t="s">
        <v>40</v>
      </c>
      <c r="D253" s="69" t="s">
        <v>951</v>
      </c>
      <c r="E253" s="67" t="s">
        <v>952</v>
      </c>
      <c r="F253" s="67" t="s">
        <v>953</v>
      </c>
      <c r="G253" s="70"/>
      <c r="H253" s="67" t="s">
        <v>865</v>
      </c>
      <c r="I253" s="67"/>
      <c r="J253" s="67"/>
      <c r="K253" s="67" t="s">
        <v>85</v>
      </c>
      <c r="L253" s="130">
        <v>2</v>
      </c>
      <c r="M253" s="70" t="s">
        <v>105</v>
      </c>
      <c r="N253" s="137" t="s">
        <v>840</v>
      </c>
      <c r="O253" s="67"/>
      <c r="P253" s="67"/>
      <c r="Q253" s="131" t="s">
        <v>150</v>
      </c>
      <c r="R253" s="131"/>
      <c r="S253" s="71" t="s">
        <v>168</v>
      </c>
      <c r="T253" s="72" t="s">
        <v>88</v>
      </c>
      <c r="U253" s="72" t="s">
        <v>88</v>
      </c>
      <c r="V253" s="73" t="s">
        <v>89</v>
      </c>
      <c r="W253" s="74"/>
      <c r="X253" s="75"/>
    </row>
    <row r="254" spans="1:24" ht="15" customHeight="1" thickBot="1" x14ac:dyDescent="0.3">
      <c r="A254" s="67" t="s">
        <v>13394</v>
      </c>
      <c r="B254" s="68" t="s">
        <v>127</v>
      </c>
      <c r="C254" s="67" t="s">
        <v>40</v>
      </c>
      <c r="D254" s="69" t="s">
        <v>954</v>
      </c>
      <c r="E254" s="67" t="s">
        <v>955</v>
      </c>
      <c r="F254" s="67" t="s">
        <v>956</v>
      </c>
      <c r="G254" s="70"/>
      <c r="H254" s="67" t="s">
        <v>869</v>
      </c>
      <c r="I254" s="67"/>
      <c r="J254" s="67"/>
      <c r="K254" s="67" t="s">
        <v>462</v>
      </c>
      <c r="L254" s="130">
        <v>5</v>
      </c>
      <c r="M254" s="70">
        <v>999.9</v>
      </c>
      <c r="N254" s="137"/>
      <c r="O254" s="67" t="s">
        <v>80</v>
      </c>
      <c r="P254" s="67" t="s">
        <v>845</v>
      </c>
      <c r="Q254" s="131" t="s">
        <v>150</v>
      </c>
      <c r="R254" s="131"/>
      <c r="S254" s="71" t="s">
        <v>168</v>
      </c>
      <c r="T254" s="72" t="s">
        <v>88</v>
      </c>
      <c r="U254" s="72" t="s">
        <v>88</v>
      </c>
      <c r="V254" s="73" t="s">
        <v>89</v>
      </c>
      <c r="W254" s="74"/>
      <c r="X254" s="75"/>
    </row>
    <row r="255" spans="1:24" ht="15" customHeight="1" thickBot="1" x14ac:dyDescent="0.3">
      <c r="A255" s="67" t="s">
        <v>13394</v>
      </c>
      <c r="B255" s="68" t="s">
        <v>127</v>
      </c>
      <c r="C255" s="67" t="s">
        <v>40</v>
      </c>
      <c r="D255" s="69" t="s">
        <v>957</v>
      </c>
      <c r="E255" s="67" t="s">
        <v>958</v>
      </c>
      <c r="F255" s="67" t="s">
        <v>959</v>
      </c>
      <c r="G255" s="70"/>
      <c r="H255" s="67" t="s">
        <v>960</v>
      </c>
      <c r="I255" s="67"/>
      <c r="J255" s="67"/>
      <c r="K255" s="67" t="s">
        <v>85</v>
      </c>
      <c r="L255" s="130">
        <v>2</v>
      </c>
      <c r="M255" s="70" t="s">
        <v>105</v>
      </c>
      <c r="N255" s="137" t="s">
        <v>961</v>
      </c>
      <c r="O255" s="67"/>
      <c r="P255" s="67"/>
      <c r="Q255" s="131" t="s">
        <v>180</v>
      </c>
      <c r="R255" s="131"/>
      <c r="S255" s="71" t="s">
        <v>168</v>
      </c>
      <c r="T255" s="72" t="s">
        <v>88</v>
      </c>
      <c r="U255" s="72" t="s">
        <v>88</v>
      </c>
      <c r="V255" s="73" t="s">
        <v>89</v>
      </c>
      <c r="W255" s="74"/>
      <c r="X255" s="75"/>
    </row>
    <row r="256" spans="1:24" ht="15" customHeight="1" thickBot="1" x14ac:dyDescent="0.3">
      <c r="A256" s="67" t="s">
        <v>13394</v>
      </c>
      <c r="B256" s="68" t="s">
        <v>127</v>
      </c>
      <c r="C256" s="67" t="s">
        <v>40</v>
      </c>
      <c r="D256" s="69" t="s">
        <v>962</v>
      </c>
      <c r="E256" s="67" t="s">
        <v>963</v>
      </c>
      <c r="F256" s="67" t="s">
        <v>964</v>
      </c>
      <c r="G256" s="70"/>
      <c r="H256" s="67" t="s">
        <v>965</v>
      </c>
      <c r="I256" s="67"/>
      <c r="J256" s="67"/>
      <c r="K256" s="67" t="s">
        <v>429</v>
      </c>
      <c r="L256" s="130">
        <v>6</v>
      </c>
      <c r="M256" s="70" t="s">
        <v>406</v>
      </c>
      <c r="N256" s="137"/>
      <c r="O256" s="67" t="s">
        <v>80</v>
      </c>
      <c r="P256" s="67" t="s">
        <v>406</v>
      </c>
      <c r="Q256" s="131" t="s">
        <v>150</v>
      </c>
      <c r="R256" s="131"/>
      <c r="S256" s="71" t="s">
        <v>168</v>
      </c>
      <c r="T256" s="72" t="s">
        <v>88</v>
      </c>
      <c r="U256" s="72" t="s">
        <v>88</v>
      </c>
      <c r="V256" s="73" t="s">
        <v>89</v>
      </c>
      <c r="W256" s="74"/>
      <c r="X256" s="75"/>
    </row>
    <row r="257" spans="1:24" ht="15" customHeight="1" thickBot="1" x14ac:dyDescent="0.3">
      <c r="A257" s="67" t="s">
        <v>13394</v>
      </c>
      <c r="B257" s="68" t="s">
        <v>127</v>
      </c>
      <c r="C257" s="67" t="s">
        <v>40</v>
      </c>
      <c r="D257" s="69" t="s">
        <v>966</v>
      </c>
      <c r="E257" s="67" t="s">
        <v>967</v>
      </c>
      <c r="F257" s="67" t="s">
        <v>968</v>
      </c>
      <c r="G257" s="70"/>
      <c r="H257" s="67" t="s">
        <v>960</v>
      </c>
      <c r="I257" s="67"/>
      <c r="J257" s="67"/>
      <c r="K257" s="67" t="s">
        <v>85</v>
      </c>
      <c r="L257" s="130">
        <v>2</v>
      </c>
      <c r="M257" s="70" t="s">
        <v>105</v>
      </c>
      <c r="N257" s="137" t="s">
        <v>961</v>
      </c>
      <c r="O257" s="67"/>
      <c r="P257" s="67"/>
      <c r="Q257" s="131" t="s">
        <v>180</v>
      </c>
      <c r="R257" s="131"/>
      <c r="S257" s="71" t="s">
        <v>168</v>
      </c>
      <c r="T257" s="72" t="s">
        <v>88</v>
      </c>
      <c r="U257" s="72" t="s">
        <v>88</v>
      </c>
      <c r="V257" s="73" t="s">
        <v>89</v>
      </c>
      <c r="W257" s="74"/>
      <c r="X257" s="75"/>
    </row>
    <row r="258" spans="1:24" ht="15" customHeight="1" thickBot="1" x14ac:dyDescent="0.3">
      <c r="A258" s="67" t="s">
        <v>13394</v>
      </c>
      <c r="B258" s="68" t="s">
        <v>127</v>
      </c>
      <c r="C258" s="67" t="s">
        <v>40</v>
      </c>
      <c r="D258" s="69" t="s">
        <v>969</v>
      </c>
      <c r="E258" s="67" t="s">
        <v>970</v>
      </c>
      <c r="F258" s="67" t="s">
        <v>971</v>
      </c>
      <c r="G258" s="70"/>
      <c r="H258" s="67" t="s">
        <v>965</v>
      </c>
      <c r="I258" s="67"/>
      <c r="J258" s="67"/>
      <c r="K258" s="67" t="s">
        <v>429</v>
      </c>
      <c r="L258" s="130">
        <v>6</v>
      </c>
      <c r="M258" s="70" t="s">
        <v>406</v>
      </c>
      <c r="N258" s="137"/>
      <c r="O258" s="67" t="s">
        <v>80</v>
      </c>
      <c r="P258" s="67" t="s">
        <v>406</v>
      </c>
      <c r="Q258" s="131" t="s">
        <v>150</v>
      </c>
      <c r="R258" s="131"/>
      <c r="S258" s="71" t="s">
        <v>168</v>
      </c>
      <c r="T258" s="72" t="s">
        <v>88</v>
      </c>
      <c r="U258" s="72" t="s">
        <v>88</v>
      </c>
      <c r="V258" s="73" t="s">
        <v>89</v>
      </c>
      <c r="W258" s="74"/>
      <c r="X258" s="75"/>
    </row>
    <row r="259" spans="1:24" ht="15" customHeight="1" thickBot="1" x14ac:dyDescent="0.3">
      <c r="A259" s="67" t="s">
        <v>13394</v>
      </c>
      <c r="B259" s="68" t="s">
        <v>127</v>
      </c>
      <c r="C259" s="67" t="s">
        <v>40</v>
      </c>
      <c r="D259" s="69" t="s">
        <v>972</v>
      </c>
      <c r="E259" s="67" t="s">
        <v>973</v>
      </c>
      <c r="F259" s="67" t="s">
        <v>974</v>
      </c>
      <c r="G259" s="70"/>
      <c r="H259" s="67" t="s">
        <v>960</v>
      </c>
      <c r="I259" s="67"/>
      <c r="J259" s="67"/>
      <c r="K259" s="67" t="s">
        <v>85</v>
      </c>
      <c r="L259" s="130">
        <v>2</v>
      </c>
      <c r="M259" s="70" t="s">
        <v>105</v>
      </c>
      <c r="N259" s="137" t="s">
        <v>961</v>
      </c>
      <c r="O259" s="67"/>
      <c r="P259" s="67"/>
      <c r="Q259" s="131" t="s">
        <v>180</v>
      </c>
      <c r="R259" s="131"/>
      <c r="S259" s="71" t="s">
        <v>168</v>
      </c>
      <c r="T259" s="72" t="s">
        <v>88</v>
      </c>
      <c r="U259" s="72" t="s">
        <v>88</v>
      </c>
      <c r="V259" s="73" t="s">
        <v>89</v>
      </c>
      <c r="W259" s="74"/>
      <c r="X259" s="75"/>
    </row>
    <row r="260" spans="1:24" ht="15" customHeight="1" thickBot="1" x14ac:dyDescent="0.3">
      <c r="A260" s="67" t="s">
        <v>13394</v>
      </c>
      <c r="B260" s="68" t="s">
        <v>127</v>
      </c>
      <c r="C260" s="67" t="s">
        <v>40</v>
      </c>
      <c r="D260" s="69" t="s">
        <v>975</v>
      </c>
      <c r="E260" s="67" t="s">
        <v>976</v>
      </c>
      <c r="F260" s="67" t="s">
        <v>977</v>
      </c>
      <c r="G260" s="70"/>
      <c r="H260" s="67" t="s">
        <v>965</v>
      </c>
      <c r="I260" s="67"/>
      <c r="J260" s="67"/>
      <c r="K260" s="67" t="s">
        <v>429</v>
      </c>
      <c r="L260" s="130">
        <v>6</v>
      </c>
      <c r="M260" s="70" t="s">
        <v>406</v>
      </c>
      <c r="N260" s="137"/>
      <c r="O260" s="67" t="s">
        <v>80</v>
      </c>
      <c r="P260" s="67" t="s">
        <v>406</v>
      </c>
      <c r="Q260" s="131" t="s">
        <v>150</v>
      </c>
      <c r="R260" s="131"/>
      <c r="S260" s="71" t="s">
        <v>168</v>
      </c>
      <c r="T260" s="72" t="s">
        <v>88</v>
      </c>
      <c r="U260" s="72" t="s">
        <v>88</v>
      </c>
      <c r="V260" s="73" t="s">
        <v>89</v>
      </c>
      <c r="W260" s="74"/>
      <c r="X260" s="75"/>
    </row>
    <row r="261" spans="1:24" ht="15" customHeight="1" thickBot="1" x14ac:dyDescent="0.3">
      <c r="A261" s="67" t="s">
        <v>13394</v>
      </c>
      <c r="B261" s="68" t="s">
        <v>127</v>
      </c>
      <c r="C261" s="67" t="s">
        <v>40</v>
      </c>
      <c r="D261" s="69" t="s">
        <v>978</v>
      </c>
      <c r="E261" s="67" t="s">
        <v>979</v>
      </c>
      <c r="F261" s="67" t="s">
        <v>980</v>
      </c>
      <c r="G261" s="70"/>
      <c r="H261" s="67" t="s">
        <v>960</v>
      </c>
      <c r="I261" s="67"/>
      <c r="J261" s="67"/>
      <c r="K261" s="67" t="s">
        <v>85</v>
      </c>
      <c r="L261" s="130">
        <v>2</v>
      </c>
      <c r="M261" s="70" t="s">
        <v>105</v>
      </c>
      <c r="N261" s="137" t="s">
        <v>961</v>
      </c>
      <c r="O261" s="67"/>
      <c r="P261" s="67"/>
      <c r="Q261" s="131" t="s">
        <v>180</v>
      </c>
      <c r="R261" s="131"/>
      <c r="S261" s="71" t="s">
        <v>168</v>
      </c>
      <c r="T261" s="72" t="s">
        <v>88</v>
      </c>
      <c r="U261" s="72" t="s">
        <v>88</v>
      </c>
      <c r="V261" s="73" t="s">
        <v>89</v>
      </c>
      <c r="W261" s="74"/>
      <c r="X261" s="75"/>
    </row>
    <row r="262" spans="1:24" ht="15" customHeight="1" thickBot="1" x14ac:dyDescent="0.3">
      <c r="A262" s="67" t="s">
        <v>13394</v>
      </c>
      <c r="B262" s="68" t="s">
        <v>127</v>
      </c>
      <c r="C262" s="67" t="s">
        <v>40</v>
      </c>
      <c r="D262" s="69" t="s">
        <v>981</v>
      </c>
      <c r="E262" s="67" t="s">
        <v>982</v>
      </c>
      <c r="F262" s="67" t="s">
        <v>983</v>
      </c>
      <c r="G262" s="70"/>
      <c r="H262" s="67" t="s">
        <v>965</v>
      </c>
      <c r="I262" s="67"/>
      <c r="J262" s="67"/>
      <c r="K262" s="67" t="s">
        <v>429</v>
      </c>
      <c r="L262" s="130">
        <v>6</v>
      </c>
      <c r="M262" s="70" t="s">
        <v>406</v>
      </c>
      <c r="N262" s="137"/>
      <c r="O262" s="67" t="s">
        <v>80</v>
      </c>
      <c r="P262" s="67" t="s">
        <v>406</v>
      </c>
      <c r="Q262" s="131" t="s">
        <v>150</v>
      </c>
      <c r="R262" s="131"/>
      <c r="S262" s="71" t="s">
        <v>168</v>
      </c>
      <c r="T262" s="72" t="s">
        <v>88</v>
      </c>
      <c r="U262" s="72" t="s">
        <v>88</v>
      </c>
      <c r="V262" s="73" t="s">
        <v>89</v>
      </c>
      <c r="W262" s="74"/>
      <c r="X262" s="75"/>
    </row>
    <row r="263" spans="1:24" ht="15" customHeight="1" thickBot="1" x14ac:dyDescent="0.3">
      <c r="A263" s="67" t="s">
        <v>13394</v>
      </c>
      <c r="B263" s="68" t="s">
        <v>127</v>
      </c>
      <c r="C263" s="67" t="s">
        <v>40</v>
      </c>
      <c r="D263" s="69" t="s">
        <v>984</v>
      </c>
      <c r="E263" s="67" t="s">
        <v>985</v>
      </c>
      <c r="F263" s="67" t="s">
        <v>986</v>
      </c>
      <c r="G263" s="70"/>
      <c r="H263" s="67" t="s">
        <v>13378</v>
      </c>
      <c r="I263" s="67"/>
      <c r="J263" s="67"/>
      <c r="K263" s="67" t="s">
        <v>85</v>
      </c>
      <c r="L263" s="130">
        <v>2</v>
      </c>
      <c r="M263" s="70" t="s">
        <v>105</v>
      </c>
      <c r="N263" s="137" t="s">
        <v>840</v>
      </c>
      <c r="O263" s="67"/>
      <c r="P263" s="67"/>
      <c r="Q263" s="131" t="s">
        <v>150</v>
      </c>
      <c r="R263" s="131"/>
      <c r="S263" s="71" t="s">
        <v>987</v>
      </c>
      <c r="T263" s="72" t="s">
        <v>88</v>
      </c>
      <c r="U263" s="72" t="s">
        <v>88</v>
      </c>
      <c r="V263" s="73" t="s">
        <v>89</v>
      </c>
      <c r="W263" s="74"/>
      <c r="X263" s="75"/>
    </row>
    <row r="264" spans="1:24" ht="15" customHeight="1" thickBot="1" x14ac:dyDescent="0.3">
      <c r="A264" s="67" t="s">
        <v>13394</v>
      </c>
      <c r="B264" s="68" t="s">
        <v>127</v>
      </c>
      <c r="C264" s="67" t="s">
        <v>40</v>
      </c>
      <c r="D264" s="69" t="s">
        <v>988</v>
      </c>
      <c r="E264" s="67" t="s">
        <v>989</v>
      </c>
      <c r="F264" s="67" t="s">
        <v>990</v>
      </c>
      <c r="G264" s="70"/>
      <c r="H264" s="67" t="s">
        <v>844</v>
      </c>
      <c r="I264" s="67"/>
      <c r="J264" s="67"/>
      <c r="K264" s="67" t="s">
        <v>462</v>
      </c>
      <c r="L264" s="130">
        <v>5</v>
      </c>
      <c r="M264" s="70">
        <v>999.9</v>
      </c>
      <c r="N264" s="137"/>
      <c r="O264" s="67" t="s">
        <v>80</v>
      </c>
      <c r="P264" s="67" t="s">
        <v>845</v>
      </c>
      <c r="Q264" s="131" t="s">
        <v>150</v>
      </c>
      <c r="R264" s="131"/>
      <c r="S264" s="71" t="s">
        <v>987</v>
      </c>
      <c r="T264" s="72" t="s">
        <v>88</v>
      </c>
      <c r="U264" s="72" t="s">
        <v>88</v>
      </c>
      <c r="V264" s="73" t="s">
        <v>89</v>
      </c>
      <c r="W264" s="74"/>
      <c r="X264" s="75"/>
    </row>
    <row r="265" spans="1:24" ht="15" customHeight="1" thickBot="1" x14ac:dyDescent="0.3">
      <c r="A265" s="67" t="s">
        <v>13394</v>
      </c>
      <c r="B265" s="68" t="s">
        <v>127</v>
      </c>
      <c r="C265" s="67" t="s">
        <v>40</v>
      </c>
      <c r="D265" s="69" t="s">
        <v>991</v>
      </c>
      <c r="E265" s="67" t="s">
        <v>992</v>
      </c>
      <c r="F265" s="67" t="s">
        <v>993</v>
      </c>
      <c r="G265" s="70"/>
      <c r="H265" s="67" t="s">
        <v>13379</v>
      </c>
      <c r="I265" s="67"/>
      <c r="J265" s="67"/>
      <c r="K265" s="67" t="s">
        <v>85</v>
      </c>
      <c r="L265" s="130">
        <v>2</v>
      </c>
      <c r="M265" s="70" t="s">
        <v>105</v>
      </c>
      <c r="N265" s="137" t="s">
        <v>840</v>
      </c>
      <c r="O265" s="67"/>
      <c r="P265" s="67"/>
      <c r="Q265" s="131" t="s">
        <v>150</v>
      </c>
      <c r="R265" s="131"/>
      <c r="S265" s="71" t="s">
        <v>987</v>
      </c>
      <c r="T265" s="72" t="s">
        <v>88</v>
      </c>
      <c r="U265" s="72" t="s">
        <v>88</v>
      </c>
      <c r="V265" s="73" t="s">
        <v>89</v>
      </c>
      <c r="W265" s="74"/>
      <c r="X265" s="75"/>
    </row>
    <row r="266" spans="1:24" ht="15" customHeight="1" thickBot="1" x14ac:dyDescent="0.3">
      <c r="A266" s="67" t="s">
        <v>13394</v>
      </c>
      <c r="B266" s="68" t="s">
        <v>127</v>
      </c>
      <c r="C266" s="67" t="s">
        <v>40</v>
      </c>
      <c r="D266" s="69" t="s">
        <v>994</v>
      </c>
      <c r="E266" s="67" t="s">
        <v>995</v>
      </c>
      <c r="F266" s="67" t="s">
        <v>996</v>
      </c>
      <c r="G266" s="70"/>
      <c r="H266" s="67" t="s">
        <v>853</v>
      </c>
      <c r="I266" s="67"/>
      <c r="J266" s="67"/>
      <c r="K266" s="67" t="s">
        <v>462</v>
      </c>
      <c r="L266" s="130">
        <v>5</v>
      </c>
      <c r="M266" s="70">
        <v>999.9</v>
      </c>
      <c r="N266" s="137"/>
      <c r="O266" s="67" t="s">
        <v>80</v>
      </c>
      <c r="P266" s="67" t="s">
        <v>845</v>
      </c>
      <c r="Q266" s="131" t="s">
        <v>150</v>
      </c>
      <c r="R266" s="131"/>
      <c r="S266" s="71" t="s">
        <v>987</v>
      </c>
      <c r="T266" s="72" t="s">
        <v>88</v>
      </c>
      <c r="U266" s="72" t="s">
        <v>88</v>
      </c>
      <c r="V266" s="73" t="s">
        <v>89</v>
      </c>
      <c r="W266" s="74"/>
      <c r="X266" s="75"/>
    </row>
    <row r="267" spans="1:24" ht="15" customHeight="1" thickBot="1" x14ac:dyDescent="0.3">
      <c r="A267" s="67" t="s">
        <v>13394</v>
      </c>
      <c r="B267" s="68" t="s">
        <v>127</v>
      </c>
      <c r="C267" s="67" t="s">
        <v>40</v>
      </c>
      <c r="D267" s="69" t="s">
        <v>997</v>
      </c>
      <c r="E267" s="67" t="s">
        <v>998</v>
      </c>
      <c r="F267" s="67" t="s">
        <v>999</v>
      </c>
      <c r="G267" s="70"/>
      <c r="H267" s="67" t="s">
        <v>13380</v>
      </c>
      <c r="I267" s="67"/>
      <c r="J267" s="67"/>
      <c r="K267" s="67" t="s">
        <v>85</v>
      </c>
      <c r="L267" s="130">
        <v>2</v>
      </c>
      <c r="M267" s="70" t="s">
        <v>105</v>
      </c>
      <c r="N267" s="250" t="s">
        <v>840</v>
      </c>
      <c r="O267" s="67"/>
      <c r="P267" s="67"/>
      <c r="Q267" s="131" t="s">
        <v>150</v>
      </c>
      <c r="R267" s="131"/>
      <c r="S267" s="71" t="s">
        <v>987</v>
      </c>
      <c r="T267" s="72" t="s">
        <v>88</v>
      </c>
      <c r="U267" s="72" t="s">
        <v>88</v>
      </c>
      <c r="V267" s="73" t="s">
        <v>89</v>
      </c>
      <c r="W267" s="74"/>
      <c r="X267" s="75"/>
    </row>
    <row r="268" spans="1:24" ht="15" customHeight="1" thickBot="1" x14ac:dyDescent="0.3">
      <c r="A268" s="67" t="s">
        <v>13394</v>
      </c>
      <c r="B268" s="68" t="s">
        <v>127</v>
      </c>
      <c r="C268" s="67" t="s">
        <v>40</v>
      </c>
      <c r="D268" s="69" t="s">
        <v>1000</v>
      </c>
      <c r="E268" s="67" t="s">
        <v>1001</v>
      </c>
      <c r="F268" s="67" t="s">
        <v>1002</v>
      </c>
      <c r="G268" s="70"/>
      <c r="H268" s="67" t="s">
        <v>861</v>
      </c>
      <c r="I268" s="67"/>
      <c r="J268" s="67"/>
      <c r="K268" s="67" t="s">
        <v>462</v>
      </c>
      <c r="L268" s="130">
        <v>5</v>
      </c>
      <c r="M268" s="70">
        <v>999.9</v>
      </c>
      <c r="N268" s="137"/>
      <c r="O268" s="67" t="s">
        <v>80</v>
      </c>
      <c r="P268" s="67" t="s">
        <v>845</v>
      </c>
      <c r="Q268" s="131" t="s">
        <v>150</v>
      </c>
      <c r="R268" s="131"/>
      <c r="S268" s="71" t="s">
        <v>987</v>
      </c>
      <c r="T268" s="72" t="s">
        <v>88</v>
      </c>
      <c r="U268" s="72" t="s">
        <v>88</v>
      </c>
      <c r="V268" s="73" t="s">
        <v>89</v>
      </c>
      <c r="W268" s="74"/>
      <c r="X268" s="75"/>
    </row>
    <row r="269" spans="1:24" ht="15" customHeight="1" thickBot="1" x14ac:dyDescent="0.3">
      <c r="A269" s="67" t="s">
        <v>13394</v>
      </c>
      <c r="B269" s="68" t="s">
        <v>127</v>
      </c>
      <c r="C269" s="67" t="s">
        <v>40</v>
      </c>
      <c r="D269" s="69" t="s">
        <v>1003</v>
      </c>
      <c r="E269" s="67" t="s">
        <v>1004</v>
      </c>
      <c r="F269" s="67" t="s">
        <v>1005</v>
      </c>
      <c r="G269" s="70"/>
      <c r="H269" s="67" t="s">
        <v>13381</v>
      </c>
      <c r="I269" s="67"/>
      <c r="J269" s="67"/>
      <c r="K269" s="67" t="s">
        <v>85</v>
      </c>
      <c r="L269" s="130">
        <v>2</v>
      </c>
      <c r="M269" s="70" t="s">
        <v>105</v>
      </c>
      <c r="N269" s="137" t="s">
        <v>840</v>
      </c>
      <c r="O269" s="67"/>
      <c r="P269" s="67"/>
      <c r="Q269" s="131" t="s">
        <v>150</v>
      </c>
      <c r="R269" s="131"/>
      <c r="S269" s="71" t="s">
        <v>987</v>
      </c>
      <c r="T269" s="72" t="s">
        <v>88</v>
      </c>
      <c r="U269" s="72" t="s">
        <v>88</v>
      </c>
      <c r="V269" s="73" t="s">
        <v>89</v>
      </c>
      <c r="W269" s="74"/>
      <c r="X269" s="75"/>
    </row>
    <row r="270" spans="1:24" ht="15" customHeight="1" thickBot="1" x14ac:dyDescent="0.3">
      <c r="A270" s="67" t="s">
        <v>13394</v>
      </c>
      <c r="B270" s="68" t="s">
        <v>127</v>
      </c>
      <c r="C270" s="67" t="s">
        <v>40</v>
      </c>
      <c r="D270" s="69" t="s">
        <v>1006</v>
      </c>
      <c r="E270" s="67" t="s">
        <v>1007</v>
      </c>
      <c r="F270" s="67" t="s">
        <v>1008</v>
      </c>
      <c r="G270" s="70"/>
      <c r="H270" s="67" t="s">
        <v>869</v>
      </c>
      <c r="I270" s="67"/>
      <c r="J270" s="67"/>
      <c r="K270" s="67" t="s">
        <v>462</v>
      </c>
      <c r="L270" s="130">
        <v>5</v>
      </c>
      <c r="M270" s="70">
        <v>999.9</v>
      </c>
      <c r="N270" s="137"/>
      <c r="O270" s="67" t="s">
        <v>80</v>
      </c>
      <c r="P270" s="67" t="s">
        <v>845</v>
      </c>
      <c r="Q270" s="131" t="s">
        <v>150</v>
      </c>
      <c r="R270" s="131"/>
      <c r="S270" s="71" t="s">
        <v>987</v>
      </c>
      <c r="T270" s="72" t="s">
        <v>88</v>
      </c>
      <c r="U270" s="72" t="s">
        <v>88</v>
      </c>
      <c r="V270" s="73" t="s">
        <v>89</v>
      </c>
      <c r="W270" s="74"/>
      <c r="X270" s="75"/>
    </row>
    <row r="271" spans="1:24" ht="15" customHeight="1" thickBot="1" x14ac:dyDescent="0.3">
      <c r="A271" s="67" t="s">
        <v>13394</v>
      </c>
      <c r="B271" s="68" t="s">
        <v>127</v>
      </c>
      <c r="C271" s="67" t="s">
        <v>40</v>
      </c>
      <c r="D271" s="69" t="s">
        <v>1009</v>
      </c>
      <c r="E271" s="67" t="s">
        <v>1010</v>
      </c>
      <c r="F271" s="67" t="s">
        <v>1011</v>
      </c>
      <c r="G271" s="70"/>
      <c r="H271" s="67" t="s">
        <v>1012</v>
      </c>
      <c r="I271" s="67"/>
      <c r="J271" s="67"/>
      <c r="K271" s="67" t="s">
        <v>140</v>
      </c>
      <c r="L271" s="130"/>
      <c r="M271" s="70" t="s">
        <v>141</v>
      </c>
      <c r="N271" s="137"/>
      <c r="O271" s="67"/>
      <c r="P271" s="67"/>
      <c r="Q271" s="131" t="s">
        <v>180</v>
      </c>
      <c r="R271" s="131"/>
      <c r="S271" s="71" t="s">
        <v>464</v>
      </c>
      <c r="T271" s="72" t="s">
        <v>88</v>
      </c>
      <c r="U271" s="72" t="s">
        <v>88</v>
      </c>
      <c r="V271" s="73" t="s">
        <v>89</v>
      </c>
      <c r="W271" s="74"/>
      <c r="X271" s="75"/>
    </row>
    <row r="272" spans="1:24" ht="15" customHeight="1" thickBot="1" x14ac:dyDescent="0.3">
      <c r="A272" s="67" t="s">
        <v>13394</v>
      </c>
      <c r="B272" s="68" t="s">
        <v>127</v>
      </c>
      <c r="C272" s="67" t="s">
        <v>40</v>
      </c>
      <c r="D272" s="69" t="s">
        <v>1013</v>
      </c>
      <c r="E272" s="67" t="s">
        <v>1014</v>
      </c>
      <c r="F272" s="67" t="s">
        <v>1015</v>
      </c>
      <c r="G272" s="70"/>
      <c r="H272" s="67" t="s">
        <v>1016</v>
      </c>
      <c r="I272" s="67"/>
      <c r="J272" s="67"/>
      <c r="K272" s="67" t="s">
        <v>85</v>
      </c>
      <c r="L272" s="130">
        <v>2</v>
      </c>
      <c r="M272" s="70" t="s">
        <v>105</v>
      </c>
      <c r="N272" s="137" t="s">
        <v>1017</v>
      </c>
      <c r="O272" s="67"/>
      <c r="P272" s="67"/>
      <c r="Q272" s="131" t="s">
        <v>150</v>
      </c>
      <c r="R272" s="131"/>
      <c r="S272" s="71" t="s">
        <v>126</v>
      </c>
      <c r="T272" s="72" t="s">
        <v>88</v>
      </c>
      <c r="U272" s="72" t="s">
        <v>88</v>
      </c>
      <c r="V272" s="73" t="s">
        <v>89</v>
      </c>
      <c r="W272" s="74"/>
      <c r="X272" s="75"/>
    </row>
    <row r="273" spans="1:24" ht="15" customHeight="1" thickBot="1" x14ac:dyDescent="0.3">
      <c r="A273" s="67" t="s">
        <v>13394</v>
      </c>
      <c r="B273" s="68" t="s">
        <v>127</v>
      </c>
      <c r="C273" s="67" t="s">
        <v>40</v>
      </c>
      <c r="D273" s="69" t="s">
        <v>1018</v>
      </c>
      <c r="E273" s="67" t="s">
        <v>580</v>
      </c>
      <c r="F273" s="67" t="s">
        <v>581</v>
      </c>
      <c r="G273" s="70"/>
      <c r="H273" s="67" t="s">
        <v>1019</v>
      </c>
      <c r="I273" s="67"/>
      <c r="J273" s="67"/>
      <c r="K273" s="67" t="s">
        <v>125</v>
      </c>
      <c r="L273" s="130">
        <v>250</v>
      </c>
      <c r="M273" s="70"/>
      <c r="N273" s="137"/>
      <c r="O273" s="67"/>
      <c r="P273" s="67"/>
      <c r="Q273" s="131" t="s">
        <v>180</v>
      </c>
      <c r="R273" s="131"/>
      <c r="S273" s="71"/>
      <c r="T273" s="72" t="s">
        <v>114</v>
      </c>
      <c r="U273" s="72" t="s">
        <v>88</v>
      </c>
      <c r="V273" s="73"/>
      <c r="W273" s="74"/>
      <c r="X273" s="75"/>
    </row>
    <row r="274" spans="1:24" s="66" customFormat="1" ht="15" customHeight="1" thickBot="1" x14ac:dyDescent="0.3">
      <c r="A274" s="19" t="s">
        <v>13394</v>
      </c>
      <c r="B274" s="59">
        <v>9</v>
      </c>
      <c r="C274" s="19" t="s">
        <v>41</v>
      </c>
      <c r="D274" s="19" t="s">
        <v>80</v>
      </c>
      <c r="E274" s="19" t="s">
        <v>60</v>
      </c>
      <c r="F274" s="60" t="s">
        <v>61</v>
      </c>
      <c r="G274" s="19"/>
      <c r="H274" s="19" t="s">
        <v>63</v>
      </c>
      <c r="I274" s="19"/>
      <c r="J274" s="19"/>
      <c r="K274" s="19"/>
      <c r="L274" s="19"/>
      <c r="M274" s="61"/>
      <c r="N274" s="19"/>
      <c r="O274" s="19"/>
      <c r="P274" s="19"/>
      <c r="Q274" s="62"/>
      <c r="R274" s="62"/>
      <c r="S274" s="58"/>
      <c r="T274" s="78"/>
      <c r="U274" s="78"/>
      <c r="V274" s="78"/>
      <c r="W274" s="58"/>
      <c r="X274" s="58"/>
    </row>
    <row r="275" spans="1:24" ht="15" customHeight="1" thickBot="1" x14ac:dyDescent="0.3">
      <c r="A275" s="67" t="s">
        <v>13394</v>
      </c>
      <c r="B275" s="68" t="s">
        <v>132</v>
      </c>
      <c r="C275" s="67" t="s">
        <v>41</v>
      </c>
      <c r="D275" s="69" t="s">
        <v>81</v>
      </c>
      <c r="E275" s="67" t="s">
        <v>619</v>
      </c>
      <c r="F275" s="67" t="s">
        <v>620</v>
      </c>
      <c r="G275" s="70"/>
      <c r="H275" s="67" t="s">
        <v>621</v>
      </c>
      <c r="I275" s="67"/>
      <c r="J275" s="67"/>
      <c r="K275" s="67" t="s">
        <v>160</v>
      </c>
      <c r="L275" s="130">
        <v>9</v>
      </c>
      <c r="M275" s="70" t="s">
        <v>452</v>
      </c>
      <c r="N275" s="137"/>
      <c r="O275" s="67"/>
      <c r="P275" s="67"/>
      <c r="Q275" s="131" t="s">
        <v>72</v>
      </c>
      <c r="R275" s="131"/>
      <c r="S275" s="71"/>
      <c r="T275" s="72"/>
      <c r="U275" s="72"/>
      <c r="V275" s="73"/>
      <c r="W275" s="74"/>
      <c r="X275" s="75"/>
    </row>
    <row r="276" spans="1:24" ht="15" customHeight="1" thickBot="1" x14ac:dyDescent="0.3">
      <c r="A276" s="67" t="s">
        <v>13394</v>
      </c>
      <c r="B276" s="68" t="s">
        <v>132</v>
      </c>
      <c r="C276" s="67" t="s">
        <v>41</v>
      </c>
      <c r="D276" s="69" t="s">
        <v>90</v>
      </c>
      <c r="E276" s="67" t="s">
        <v>82</v>
      </c>
      <c r="F276" s="67" t="s">
        <v>83</v>
      </c>
      <c r="G276" s="70"/>
      <c r="H276" s="67" t="s">
        <v>1020</v>
      </c>
      <c r="I276" s="67"/>
      <c r="J276" s="67"/>
      <c r="K276" s="67" t="s">
        <v>85</v>
      </c>
      <c r="L276" s="130">
        <v>4</v>
      </c>
      <c r="M276" s="70">
        <v>9999</v>
      </c>
      <c r="N276" s="137" t="s">
        <v>86</v>
      </c>
      <c r="O276" s="67"/>
      <c r="P276" s="67"/>
      <c r="Q276" s="131" t="s">
        <v>72</v>
      </c>
      <c r="R276" s="131"/>
      <c r="S276" s="71"/>
      <c r="T276" s="72"/>
      <c r="U276" s="72"/>
      <c r="V276" s="73"/>
      <c r="W276" s="74"/>
      <c r="X276" s="75"/>
    </row>
    <row r="277" spans="1:24" ht="15" customHeight="1" thickBot="1" x14ac:dyDescent="0.3">
      <c r="A277" s="67" t="s">
        <v>13394</v>
      </c>
      <c r="B277" s="68" t="s">
        <v>132</v>
      </c>
      <c r="C277" s="67" t="s">
        <v>41</v>
      </c>
      <c r="D277" s="69" t="s">
        <v>95</v>
      </c>
      <c r="E277" s="67" t="s">
        <v>1021</v>
      </c>
      <c r="F277" s="67" t="s">
        <v>1022</v>
      </c>
      <c r="G277" s="70"/>
      <c r="H277" s="67" t="s">
        <v>1023</v>
      </c>
      <c r="I277" s="67"/>
      <c r="J277" s="67"/>
      <c r="K277" s="67" t="s">
        <v>85</v>
      </c>
      <c r="L277" s="130">
        <v>1</v>
      </c>
      <c r="M277" s="70" t="s">
        <v>132</v>
      </c>
      <c r="N277" s="137" t="s">
        <v>1021</v>
      </c>
      <c r="O277" s="67" t="s">
        <v>81</v>
      </c>
      <c r="P277" s="67" t="s">
        <v>95</v>
      </c>
      <c r="Q277" s="131" t="s">
        <v>150</v>
      </c>
      <c r="R277" s="131"/>
      <c r="S277" s="71"/>
      <c r="T277" s="72"/>
      <c r="U277" s="72"/>
      <c r="V277" s="73"/>
      <c r="W277" s="74"/>
      <c r="X277" s="75"/>
    </row>
    <row r="278" spans="1:24" ht="15" customHeight="1" thickBot="1" x14ac:dyDescent="0.3">
      <c r="A278" s="67" t="s">
        <v>13394</v>
      </c>
      <c r="B278" s="68" t="s">
        <v>132</v>
      </c>
      <c r="C278" s="67" t="s">
        <v>41</v>
      </c>
      <c r="D278" s="69" t="s">
        <v>101</v>
      </c>
      <c r="E278" s="67" t="s">
        <v>122</v>
      </c>
      <c r="F278" s="67" t="s">
        <v>123</v>
      </c>
      <c r="G278" s="70"/>
      <c r="H278" s="67" t="s">
        <v>124</v>
      </c>
      <c r="I278" s="67"/>
      <c r="J278" s="67"/>
      <c r="K278" s="67" t="s">
        <v>125</v>
      </c>
      <c r="L278" s="130">
        <v>15</v>
      </c>
      <c r="M278" s="70"/>
      <c r="N278" s="137"/>
      <c r="O278" s="67"/>
      <c r="P278" s="67"/>
      <c r="Q278" s="131" t="s">
        <v>150</v>
      </c>
      <c r="R278" s="131"/>
      <c r="S278" s="71"/>
      <c r="T278" s="72"/>
      <c r="U278" s="72"/>
      <c r="V278" s="73"/>
      <c r="W278" s="74"/>
      <c r="X278" s="75"/>
    </row>
    <row r="279" spans="1:24" ht="15" customHeight="1" thickBot="1" x14ac:dyDescent="0.3">
      <c r="A279" s="67" t="s">
        <v>13394</v>
      </c>
      <c r="B279" s="68" t="s">
        <v>132</v>
      </c>
      <c r="C279" s="67" t="s">
        <v>41</v>
      </c>
      <c r="D279" s="69" t="s">
        <v>107</v>
      </c>
      <c r="E279" s="67" t="s">
        <v>128</v>
      </c>
      <c r="F279" s="67" t="s">
        <v>129</v>
      </c>
      <c r="G279" s="70"/>
      <c r="H279" s="67" t="s">
        <v>409</v>
      </c>
      <c r="I279" s="67"/>
      <c r="J279" s="67"/>
      <c r="K279" s="67" t="s">
        <v>125</v>
      </c>
      <c r="L279" s="130">
        <v>25</v>
      </c>
      <c r="M279" s="70"/>
      <c r="N279" s="137"/>
      <c r="O279" s="67"/>
      <c r="P279" s="67"/>
      <c r="Q279" s="131" t="s">
        <v>150</v>
      </c>
      <c r="R279" s="131"/>
      <c r="S279" s="71"/>
      <c r="T279" s="72"/>
      <c r="U279" s="72"/>
      <c r="V279" s="73"/>
      <c r="W279" s="74"/>
      <c r="X279" s="75"/>
    </row>
    <row r="280" spans="1:24" ht="15" customHeight="1" thickBot="1" x14ac:dyDescent="0.3">
      <c r="A280" s="67" t="s">
        <v>13394</v>
      </c>
      <c r="B280" s="68" t="s">
        <v>132</v>
      </c>
      <c r="C280" s="67" t="s">
        <v>41</v>
      </c>
      <c r="D280" s="69" t="s">
        <v>116</v>
      </c>
      <c r="E280" s="67" t="s">
        <v>133</v>
      </c>
      <c r="F280" s="67" t="s">
        <v>134</v>
      </c>
      <c r="G280" s="70"/>
      <c r="H280" s="67" t="s">
        <v>411</v>
      </c>
      <c r="I280" s="67"/>
      <c r="J280" s="67"/>
      <c r="K280" s="67" t="s">
        <v>125</v>
      </c>
      <c r="L280" s="130">
        <v>50</v>
      </c>
      <c r="M280" s="70"/>
      <c r="N280" s="137"/>
      <c r="O280" s="67"/>
      <c r="P280" s="67"/>
      <c r="Q280" s="131" t="s">
        <v>150</v>
      </c>
      <c r="R280" s="131"/>
      <c r="S280" s="71"/>
      <c r="T280" s="72"/>
      <c r="U280" s="72"/>
      <c r="V280" s="73"/>
      <c r="W280" s="74"/>
      <c r="X280" s="75"/>
    </row>
    <row r="281" spans="1:24" ht="15" customHeight="1" thickBot="1" x14ac:dyDescent="0.3">
      <c r="A281" s="67" t="s">
        <v>13394</v>
      </c>
      <c r="B281" s="68" t="s">
        <v>132</v>
      </c>
      <c r="C281" s="67" t="s">
        <v>41</v>
      </c>
      <c r="D281" s="69" t="s">
        <v>121</v>
      </c>
      <c r="E281" s="67" t="s">
        <v>1024</v>
      </c>
      <c r="F281" s="67" t="s">
        <v>1025</v>
      </c>
      <c r="G281" s="70"/>
      <c r="H281" s="67" t="s">
        <v>1026</v>
      </c>
      <c r="I281" s="67"/>
      <c r="J281" s="67"/>
      <c r="K281" s="67" t="s">
        <v>85</v>
      </c>
      <c r="L281" s="130">
        <v>6</v>
      </c>
      <c r="M281" s="70" t="s">
        <v>406</v>
      </c>
      <c r="N281" s="137" t="s">
        <v>1027</v>
      </c>
      <c r="O281" s="67"/>
      <c r="P281" s="67"/>
      <c r="Q281" s="131" t="s">
        <v>72</v>
      </c>
      <c r="R281" s="131"/>
      <c r="S281" s="71"/>
      <c r="T281" s="72"/>
      <c r="U281" s="72"/>
      <c r="V281" s="73"/>
      <c r="W281" s="74"/>
      <c r="X281" s="75"/>
    </row>
    <row r="282" spans="1:24" ht="15" customHeight="1" thickBot="1" x14ac:dyDescent="0.3">
      <c r="A282" s="67" t="s">
        <v>13394</v>
      </c>
      <c r="B282" s="68" t="s">
        <v>132</v>
      </c>
      <c r="C282" s="67" t="s">
        <v>41</v>
      </c>
      <c r="D282" s="69" t="s">
        <v>127</v>
      </c>
      <c r="E282" s="67" t="s">
        <v>1028</v>
      </c>
      <c r="F282" s="67" t="s">
        <v>1029</v>
      </c>
      <c r="G282" s="70"/>
      <c r="H282" s="67" t="s">
        <v>1030</v>
      </c>
      <c r="I282" s="67"/>
      <c r="J282" s="67"/>
      <c r="K282" s="67" t="s">
        <v>85</v>
      </c>
      <c r="L282" s="130">
        <v>1</v>
      </c>
      <c r="M282" s="70" t="s">
        <v>99</v>
      </c>
      <c r="N282" s="137" t="s">
        <v>1028</v>
      </c>
      <c r="O282" s="67"/>
      <c r="P282" s="67"/>
      <c r="Q282" s="131" t="s">
        <v>150</v>
      </c>
      <c r="R282" s="131"/>
      <c r="S282" s="71"/>
      <c r="T282" s="72"/>
      <c r="U282" s="72"/>
      <c r="V282" s="73"/>
      <c r="W282" s="74"/>
      <c r="X282" s="75"/>
    </row>
    <row r="283" spans="1:24" ht="15" customHeight="1" thickBot="1" x14ac:dyDescent="0.3">
      <c r="A283" s="67" t="s">
        <v>13394</v>
      </c>
      <c r="B283" s="68" t="s">
        <v>132</v>
      </c>
      <c r="C283" s="67" t="s">
        <v>41</v>
      </c>
      <c r="D283" s="69" t="s">
        <v>132</v>
      </c>
      <c r="E283" s="67" t="s">
        <v>1031</v>
      </c>
      <c r="F283" s="67" t="s">
        <v>1031</v>
      </c>
      <c r="G283" s="70"/>
      <c r="H283" s="67" t="s">
        <v>1032</v>
      </c>
      <c r="I283" s="67"/>
      <c r="J283" s="67"/>
      <c r="K283" s="67" t="s">
        <v>429</v>
      </c>
      <c r="L283" s="130">
        <v>5</v>
      </c>
      <c r="M283" s="70" t="s">
        <v>1033</v>
      </c>
      <c r="N283" s="137"/>
      <c r="O283" s="67" t="s">
        <v>80</v>
      </c>
      <c r="P283" s="67" t="s">
        <v>1034</v>
      </c>
      <c r="Q283" s="131" t="s">
        <v>72</v>
      </c>
      <c r="R283" s="131"/>
      <c r="S283" s="71"/>
      <c r="T283" s="72"/>
      <c r="U283" s="72"/>
      <c r="V283" s="73"/>
      <c r="W283" s="74"/>
      <c r="X283" s="75"/>
    </row>
    <row r="284" spans="1:24" ht="15" customHeight="1" thickBot="1" x14ac:dyDescent="0.3">
      <c r="A284" s="67" t="s">
        <v>13394</v>
      </c>
      <c r="B284" s="68" t="s">
        <v>132</v>
      </c>
      <c r="C284" s="67" t="s">
        <v>41</v>
      </c>
      <c r="D284" s="69" t="s">
        <v>136</v>
      </c>
      <c r="E284" s="67" t="s">
        <v>1035</v>
      </c>
      <c r="F284" s="67" t="s">
        <v>1036</v>
      </c>
      <c r="G284" s="70"/>
      <c r="H284" s="67" t="s">
        <v>1037</v>
      </c>
      <c r="I284" s="67"/>
      <c r="J284" s="67"/>
      <c r="K284" s="67" t="s">
        <v>429</v>
      </c>
      <c r="L284" s="130">
        <v>6</v>
      </c>
      <c r="M284" s="70" t="s">
        <v>672</v>
      </c>
      <c r="N284" s="137"/>
      <c r="O284" s="67" t="s">
        <v>80</v>
      </c>
      <c r="P284" s="67" t="s">
        <v>672</v>
      </c>
      <c r="Q284" s="131" t="s">
        <v>150</v>
      </c>
      <c r="R284" s="131"/>
      <c r="S284" s="71"/>
      <c r="T284" s="72"/>
      <c r="U284" s="72"/>
      <c r="V284" s="73"/>
      <c r="W284" s="74"/>
      <c r="X284" s="75"/>
    </row>
    <row r="285" spans="1:24" ht="15" customHeight="1" thickBot="1" x14ac:dyDescent="0.3">
      <c r="A285" s="67" t="s">
        <v>13394</v>
      </c>
      <c r="B285" s="68" t="s">
        <v>132</v>
      </c>
      <c r="C285" s="67" t="s">
        <v>41</v>
      </c>
      <c r="D285" s="69" t="s">
        <v>142</v>
      </c>
      <c r="E285" s="67" t="s">
        <v>1038</v>
      </c>
      <c r="F285" s="67" t="s">
        <v>1039</v>
      </c>
      <c r="G285" s="70"/>
      <c r="H285" s="67" t="s">
        <v>1040</v>
      </c>
      <c r="I285" s="67"/>
      <c r="J285" s="67"/>
      <c r="K285" s="67" t="s">
        <v>462</v>
      </c>
      <c r="L285" s="130">
        <v>4</v>
      </c>
      <c r="M285" s="70" t="s">
        <v>1041</v>
      </c>
      <c r="N285" s="137"/>
      <c r="O285" s="67" t="s">
        <v>80</v>
      </c>
      <c r="P285" s="67">
        <v>80</v>
      </c>
      <c r="Q285" s="131" t="s">
        <v>150</v>
      </c>
      <c r="R285" s="131"/>
      <c r="S285" s="71"/>
      <c r="T285" s="72"/>
      <c r="U285" s="72"/>
      <c r="V285" s="73"/>
      <c r="W285" s="74"/>
      <c r="X285" s="75"/>
    </row>
    <row r="286" spans="1:24" ht="15" customHeight="1" thickBot="1" x14ac:dyDescent="0.3">
      <c r="A286" s="67" t="s">
        <v>13394</v>
      </c>
      <c r="B286" s="68" t="s">
        <v>132</v>
      </c>
      <c r="C286" s="67" t="s">
        <v>41</v>
      </c>
      <c r="D286" s="69" t="s">
        <v>146</v>
      </c>
      <c r="E286" s="67" t="s">
        <v>1042</v>
      </c>
      <c r="F286" s="67" t="s">
        <v>1043</v>
      </c>
      <c r="G286" s="70"/>
      <c r="H286" s="67" t="s">
        <v>1044</v>
      </c>
      <c r="I286" s="67"/>
      <c r="J286" s="67"/>
      <c r="K286" s="67" t="s">
        <v>429</v>
      </c>
      <c r="L286" s="130">
        <v>2</v>
      </c>
      <c r="M286" s="70" t="s">
        <v>805</v>
      </c>
      <c r="N286" s="250"/>
      <c r="O286" s="67" t="s">
        <v>80</v>
      </c>
      <c r="P286" s="67" t="s">
        <v>393</v>
      </c>
      <c r="Q286" s="131" t="s">
        <v>150</v>
      </c>
      <c r="R286" s="131"/>
      <c r="S286" s="71"/>
      <c r="T286" s="72"/>
      <c r="U286" s="72"/>
      <c r="V286" s="73"/>
      <c r="W286" s="74"/>
      <c r="X286" s="75"/>
    </row>
    <row r="287" spans="1:24" ht="15" customHeight="1" thickBot="1" x14ac:dyDescent="0.3">
      <c r="A287" s="67" t="s">
        <v>13394</v>
      </c>
      <c r="B287" s="68" t="s">
        <v>132</v>
      </c>
      <c r="C287" s="67" t="s">
        <v>41</v>
      </c>
      <c r="D287" s="69" t="s">
        <v>152</v>
      </c>
      <c r="E287" s="67" t="s">
        <v>1045</v>
      </c>
      <c r="F287" s="67" t="s">
        <v>1046</v>
      </c>
      <c r="G287" s="70"/>
      <c r="H287" s="67" t="s">
        <v>1047</v>
      </c>
      <c r="I287" s="67"/>
      <c r="J287" s="67"/>
      <c r="K287" s="67" t="s">
        <v>140</v>
      </c>
      <c r="L287" s="130">
        <v>10</v>
      </c>
      <c r="M287" s="70" t="s">
        <v>141</v>
      </c>
      <c r="N287" s="137"/>
      <c r="O287" s="67"/>
      <c r="P287" s="67"/>
      <c r="Q287" s="131" t="s">
        <v>72</v>
      </c>
      <c r="R287" s="131"/>
      <c r="S287" s="71"/>
      <c r="T287" s="72"/>
      <c r="U287" s="72"/>
      <c r="V287" s="73"/>
      <c r="W287" s="74"/>
      <c r="X287" s="75"/>
    </row>
    <row r="288" spans="1:24" ht="15" customHeight="1" thickBot="1" x14ac:dyDescent="0.3">
      <c r="A288" s="67" t="s">
        <v>13394</v>
      </c>
      <c r="B288" s="68" t="s">
        <v>132</v>
      </c>
      <c r="C288" s="67" t="s">
        <v>41</v>
      </c>
      <c r="D288" s="69" t="s">
        <v>156</v>
      </c>
      <c r="E288" s="67" t="s">
        <v>1048</v>
      </c>
      <c r="F288" s="67" t="s">
        <v>1049</v>
      </c>
      <c r="G288" s="70"/>
      <c r="H288" s="67" t="s">
        <v>1050</v>
      </c>
      <c r="I288" s="67"/>
      <c r="J288" s="67"/>
      <c r="K288" s="67" t="s">
        <v>140</v>
      </c>
      <c r="L288" s="130">
        <v>10</v>
      </c>
      <c r="M288" s="70" t="s">
        <v>141</v>
      </c>
      <c r="N288" s="137"/>
      <c r="O288" s="67"/>
      <c r="P288" s="67"/>
      <c r="Q288" s="131" t="s">
        <v>150</v>
      </c>
      <c r="R288" s="131"/>
      <c r="S288" s="71"/>
      <c r="T288" s="72"/>
      <c r="U288" s="72"/>
      <c r="V288" s="73"/>
      <c r="W288" s="74"/>
      <c r="X288" s="75"/>
    </row>
    <row r="289" spans="1:24" ht="15" customHeight="1" thickBot="1" x14ac:dyDescent="0.3">
      <c r="A289" s="67" t="s">
        <v>13394</v>
      </c>
      <c r="B289" s="68" t="s">
        <v>132</v>
      </c>
      <c r="C289" s="67" t="s">
        <v>41</v>
      </c>
      <c r="D289" s="69" t="s">
        <v>161</v>
      </c>
      <c r="E289" s="67" t="s">
        <v>580</v>
      </c>
      <c r="F289" s="67" t="s">
        <v>581</v>
      </c>
      <c r="G289" s="70"/>
      <c r="H289" s="67" t="s">
        <v>1019</v>
      </c>
      <c r="I289" s="67"/>
      <c r="J289" s="67"/>
      <c r="K289" s="67" t="s">
        <v>125</v>
      </c>
      <c r="L289" s="130">
        <v>250</v>
      </c>
      <c r="M289" s="70"/>
      <c r="N289" s="137"/>
      <c r="O289" s="67"/>
      <c r="P289" s="67"/>
      <c r="Q289" s="131" t="s">
        <v>180</v>
      </c>
      <c r="R289" s="131"/>
      <c r="S289" s="71"/>
      <c r="T289" s="72"/>
      <c r="U289" s="72"/>
      <c r="V289" s="73"/>
      <c r="W289" s="74"/>
      <c r="X289" s="75"/>
    </row>
    <row r="290" spans="1:24" s="66" customFormat="1" ht="15" customHeight="1" thickBot="1" x14ac:dyDescent="0.3">
      <c r="A290" s="19" t="s">
        <v>13394</v>
      </c>
      <c r="B290" s="76" t="s">
        <v>136</v>
      </c>
      <c r="C290" s="19" t="s">
        <v>42</v>
      </c>
      <c r="D290" s="19" t="s">
        <v>80</v>
      </c>
      <c r="E290" s="19" t="s">
        <v>60</v>
      </c>
      <c r="F290" s="60" t="s">
        <v>61</v>
      </c>
      <c r="G290" s="19" t="b">
        <v>0</v>
      </c>
      <c r="H290" s="19" t="s">
        <v>63</v>
      </c>
      <c r="I290" s="19"/>
      <c r="J290" s="19"/>
      <c r="K290" s="19"/>
      <c r="L290" s="19"/>
      <c r="M290" s="61"/>
      <c r="N290" s="19"/>
      <c r="O290" s="19"/>
      <c r="P290" s="19"/>
      <c r="Q290" s="62"/>
      <c r="R290" s="62"/>
      <c r="S290" s="58"/>
      <c r="T290" s="78"/>
      <c r="U290" s="78"/>
      <c r="V290" s="78"/>
      <c r="W290" s="58"/>
      <c r="X290" s="58"/>
    </row>
    <row r="291" spans="1:24" ht="15" customHeight="1" thickBot="1" x14ac:dyDescent="0.3">
      <c r="A291" s="67" t="s">
        <v>13394</v>
      </c>
      <c r="B291" s="68" t="s">
        <v>136</v>
      </c>
      <c r="C291" s="67" t="s">
        <v>42</v>
      </c>
      <c r="D291" s="69" t="s">
        <v>81</v>
      </c>
      <c r="E291" s="67" t="s">
        <v>165</v>
      </c>
      <c r="F291" s="67" t="s">
        <v>166</v>
      </c>
      <c r="G291" s="70"/>
      <c r="H291" s="67" t="s">
        <v>167</v>
      </c>
      <c r="I291" s="67"/>
      <c r="J291" s="67"/>
      <c r="K291" s="67" t="s">
        <v>160</v>
      </c>
      <c r="L291" s="130">
        <v>9</v>
      </c>
      <c r="M291" s="70">
        <v>999999999</v>
      </c>
      <c r="N291" s="137"/>
      <c r="O291" s="67"/>
      <c r="P291" s="67"/>
      <c r="Q291" s="131" t="s">
        <v>72</v>
      </c>
      <c r="R291" s="131"/>
      <c r="S291" s="71"/>
      <c r="T291" s="72"/>
      <c r="U291" s="72"/>
      <c r="V291" s="73"/>
      <c r="W291" s="74"/>
      <c r="X291" s="75"/>
    </row>
    <row r="292" spans="1:24" ht="15" customHeight="1" thickBot="1" x14ac:dyDescent="0.3">
      <c r="A292" s="67" t="s">
        <v>13394</v>
      </c>
      <c r="B292" s="68" t="s">
        <v>136</v>
      </c>
      <c r="C292" s="67" t="s">
        <v>42</v>
      </c>
      <c r="D292" s="69" t="s">
        <v>90</v>
      </c>
      <c r="E292" s="67" t="s">
        <v>1051</v>
      </c>
      <c r="F292" s="67" t="s">
        <v>1052</v>
      </c>
      <c r="G292" s="70"/>
      <c r="H292" s="67" t="s">
        <v>1053</v>
      </c>
      <c r="I292" s="67"/>
      <c r="J292" s="67"/>
      <c r="K292" s="67" t="s">
        <v>125</v>
      </c>
      <c r="L292" s="130">
        <v>9</v>
      </c>
      <c r="M292" s="70" t="s">
        <v>452</v>
      </c>
      <c r="N292" s="137"/>
      <c r="O292" s="67"/>
      <c r="P292" s="67"/>
      <c r="Q292" s="131" t="s">
        <v>72</v>
      </c>
      <c r="R292" s="131"/>
      <c r="S292" s="71"/>
      <c r="T292" s="72"/>
      <c r="U292" s="72"/>
      <c r="V292" s="73"/>
      <c r="W292" s="74"/>
      <c r="X292" s="75"/>
    </row>
    <row r="293" spans="1:24" ht="15" customHeight="1" thickBot="1" x14ac:dyDescent="0.3">
      <c r="A293" s="67" t="s">
        <v>13394</v>
      </c>
      <c r="B293" s="68" t="s">
        <v>136</v>
      </c>
      <c r="C293" s="67" t="s">
        <v>42</v>
      </c>
      <c r="D293" s="69" t="s">
        <v>95</v>
      </c>
      <c r="E293" s="67" t="s">
        <v>1054</v>
      </c>
      <c r="F293" s="67" t="s">
        <v>1055</v>
      </c>
      <c r="G293" s="70"/>
      <c r="H293" s="67" t="s">
        <v>1056</v>
      </c>
      <c r="I293" s="67"/>
      <c r="J293" s="67"/>
      <c r="K293" s="67" t="s">
        <v>140</v>
      </c>
      <c r="L293" s="130">
        <v>10</v>
      </c>
      <c r="M293" s="70" t="s">
        <v>141</v>
      </c>
      <c r="N293" s="137"/>
      <c r="O293" s="67"/>
      <c r="P293" s="67"/>
      <c r="Q293" s="131" t="s">
        <v>72</v>
      </c>
      <c r="R293" s="131"/>
      <c r="S293" s="71"/>
      <c r="T293" s="72"/>
      <c r="U293" s="72"/>
      <c r="V293" s="73"/>
      <c r="W293" s="74"/>
      <c r="X293" s="75"/>
    </row>
    <row r="294" spans="1:24" ht="15" customHeight="1" thickBot="1" x14ac:dyDescent="0.3">
      <c r="A294" s="67" t="s">
        <v>13394</v>
      </c>
      <c r="B294" s="68" t="s">
        <v>136</v>
      </c>
      <c r="C294" s="67" t="s">
        <v>42</v>
      </c>
      <c r="D294" s="69" t="s">
        <v>101</v>
      </c>
      <c r="E294" s="67" t="s">
        <v>1057</v>
      </c>
      <c r="F294" s="67" t="s">
        <v>1058</v>
      </c>
      <c r="G294" s="70"/>
      <c r="H294" s="67" t="s">
        <v>1059</v>
      </c>
      <c r="I294" s="67"/>
      <c r="J294" s="67"/>
      <c r="K294" s="67" t="s">
        <v>160</v>
      </c>
      <c r="L294" s="130">
        <v>9</v>
      </c>
      <c r="M294" s="70" t="s">
        <v>452</v>
      </c>
      <c r="N294" s="137"/>
      <c r="O294" s="67"/>
      <c r="P294" s="67"/>
      <c r="Q294" s="131" t="s">
        <v>72</v>
      </c>
      <c r="R294" s="131"/>
      <c r="S294" s="71"/>
      <c r="T294" s="72"/>
      <c r="U294" s="72"/>
      <c r="V294" s="73"/>
      <c r="W294" s="74"/>
      <c r="X294" s="75"/>
    </row>
    <row r="295" spans="1:24" ht="15" customHeight="1" thickBot="1" x14ac:dyDescent="0.3">
      <c r="A295" s="67" t="s">
        <v>13394</v>
      </c>
      <c r="B295" s="68" t="s">
        <v>136</v>
      </c>
      <c r="C295" s="67" t="s">
        <v>42</v>
      </c>
      <c r="D295" s="69" t="s">
        <v>107</v>
      </c>
      <c r="E295" s="67" t="s">
        <v>1060</v>
      </c>
      <c r="F295" s="67" t="s">
        <v>1061</v>
      </c>
      <c r="G295" s="70"/>
      <c r="H295" s="67" t="s">
        <v>1062</v>
      </c>
      <c r="I295" s="67"/>
      <c r="J295" s="67"/>
      <c r="K295" s="67" t="s">
        <v>85</v>
      </c>
      <c r="L295" s="130">
        <v>3</v>
      </c>
      <c r="M295" s="70" t="s">
        <v>255</v>
      </c>
      <c r="N295" s="137" t="s">
        <v>1063</v>
      </c>
      <c r="O295" s="67"/>
      <c r="P295" s="67"/>
      <c r="Q295" s="131" t="s">
        <v>72</v>
      </c>
      <c r="R295" s="131"/>
      <c r="S295" s="71"/>
      <c r="T295" s="72"/>
      <c r="U295" s="72"/>
      <c r="V295" s="73"/>
      <c r="W295" s="74"/>
      <c r="X295" s="75"/>
    </row>
    <row r="296" spans="1:24" ht="15" customHeight="1" thickBot="1" x14ac:dyDescent="0.3">
      <c r="A296" s="67" t="s">
        <v>13394</v>
      </c>
      <c r="B296" s="68" t="s">
        <v>136</v>
      </c>
      <c r="C296" s="67" t="s">
        <v>42</v>
      </c>
      <c r="D296" s="69" t="s">
        <v>116</v>
      </c>
      <c r="E296" s="67" t="s">
        <v>1064</v>
      </c>
      <c r="F296" s="67" t="s">
        <v>1065</v>
      </c>
      <c r="G296" s="70"/>
      <c r="H296" s="67" t="s">
        <v>1066</v>
      </c>
      <c r="I296" s="67"/>
      <c r="J296" s="67"/>
      <c r="K296" s="67" t="s">
        <v>429</v>
      </c>
      <c r="L296" s="130">
        <v>5</v>
      </c>
      <c r="M296" s="70">
        <v>999.9</v>
      </c>
      <c r="N296" s="137"/>
      <c r="O296" s="67"/>
      <c r="P296" s="67"/>
      <c r="Q296" s="131" t="s">
        <v>72</v>
      </c>
      <c r="R296" s="131"/>
      <c r="S296" s="71"/>
      <c r="T296" s="72"/>
      <c r="U296" s="72"/>
      <c r="V296" s="73"/>
      <c r="W296" s="74"/>
      <c r="X296" s="75"/>
    </row>
    <row r="297" spans="1:24" ht="15" customHeight="1" thickBot="1" x14ac:dyDescent="0.3">
      <c r="A297" s="67" t="s">
        <v>13394</v>
      </c>
      <c r="B297" s="68" t="s">
        <v>136</v>
      </c>
      <c r="C297" s="67" t="s">
        <v>42</v>
      </c>
      <c r="D297" s="69" t="s">
        <v>121</v>
      </c>
      <c r="E297" s="67" t="s">
        <v>1067</v>
      </c>
      <c r="F297" s="67" t="s">
        <v>1068</v>
      </c>
      <c r="G297" s="70"/>
      <c r="H297" s="67" t="s">
        <v>1069</v>
      </c>
      <c r="I297" s="67"/>
      <c r="J297" s="67"/>
      <c r="K297" s="67" t="s">
        <v>85</v>
      </c>
      <c r="L297" s="130">
        <v>3</v>
      </c>
      <c r="M297" s="70">
        <v>999</v>
      </c>
      <c r="N297" s="137" t="s">
        <v>1070</v>
      </c>
      <c r="O297" s="67"/>
      <c r="P297" s="67"/>
      <c r="Q297" s="131" t="s">
        <v>72</v>
      </c>
      <c r="R297" s="131"/>
      <c r="S297" s="71"/>
      <c r="T297" s="72"/>
      <c r="U297" s="72"/>
      <c r="V297" s="73"/>
      <c r="W297" s="74"/>
      <c r="X297" s="75"/>
    </row>
    <row r="298" spans="1:24" ht="15" customHeight="1" thickBot="1" x14ac:dyDescent="0.3">
      <c r="A298" s="67" t="s">
        <v>13394</v>
      </c>
      <c r="B298" s="68" t="s">
        <v>136</v>
      </c>
      <c r="C298" s="67" t="s">
        <v>42</v>
      </c>
      <c r="D298" s="69" t="s">
        <v>127</v>
      </c>
      <c r="E298" s="67" t="s">
        <v>1071</v>
      </c>
      <c r="F298" s="67" t="s">
        <v>1072</v>
      </c>
      <c r="G298" s="70"/>
      <c r="H298" s="67" t="s">
        <v>1073</v>
      </c>
      <c r="I298" s="67"/>
      <c r="J298" s="67"/>
      <c r="K298" s="67" t="s">
        <v>85</v>
      </c>
      <c r="L298" s="130">
        <v>3</v>
      </c>
      <c r="M298" s="70">
        <v>999</v>
      </c>
      <c r="N298" s="137" t="s">
        <v>1070</v>
      </c>
      <c r="O298" s="67"/>
      <c r="P298" s="67"/>
      <c r="Q298" s="131" t="s">
        <v>150</v>
      </c>
      <c r="R298" s="131"/>
      <c r="S298" s="71"/>
      <c r="T298" s="72"/>
      <c r="U298" s="72"/>
      <c r="V298" s="73"/>
      <c r="W298" s="74"/>
      <c r="X298" s="75"/>
    </row>
    <row r="299" spans="1:24" ht="15" customHeight="1" thickBot="1" x14ac:dyDescent="0.3">
      <c r="A299" s="67" t="s">
        <v>13394</v>
      </c>
      <c r="B299" s="68" t="s">
        <v>136</v>
      </c>
      <c r="C299" s="67" t="s">
        <v>42</v>
      </c>
      <c r="D299" s="69" t="s">
        <v>132</v>
      </c>
      <c r="E299" s="67" t="s">
        <v>1074</v>
      </c>
      <c r="F299" s="67" t="s">
        <v>83</v>
      </c>
      <c r="G299" s="70"/>
      <c r="H299" s="67" t="s">
        <v>1075</v>
      </c>
      <c r="I299" s="67"/>
      <c r="J299" s="67"/>
      <c r="K299" s="67" t="s">
        <v>85</v>
      </c>
      <c r="L299" s="130">
        <v>4</v>
      </c>
      <c r="M299" s="70">
        <v>9999</v>
      </c>
      <c r="N299" s="137" t="s">
        <v>86</v>
      </c>
      <c r="O299" s="67"/>
      <c r="P299" s="67"/>
      <c r="Q299" s="131" t="s">
        <v>72</v>
      </c>
      <c r="R299" s="131"/>
      <c r="S299" s="71"/>
      <c r="T299" s="72"/>
      <c r="U299" s="72"/>
      <c r="V299" s="73"/>
      <c r="W299" s="74"/>
      <c r="X299" s="75"/>
    </row>
    <row r="300" spans="1:24" ht="15" customHeight="1" thickBot="1" x14ac:dyDescent="0.3">
      <c r="A300" s="67" t="s">
        <v>13394</v>
      </c>
      <c r="B300" s="68" t="s">
        <v>136</v>
      </c>
      <c r="C300" s="67" t="s">
        <v>42</v>
      </c>
      <c r="D300" s="69" t="s">
        <v>136</v>
      </c>
      <c r="E300" s="67" t="s">
        <v>1076</v>
      </c>
      <c r="F300" s="67" t="s">
        <v>1077</v>
      </c>
      <c r="G300" s="70"/>
      <c r="H300" s="67" t="s">
        <v>1078</v>
      </c>
      <c r="I300" s="67"/>
      <c r="J300" s="67"/>
      <c r="K300" s="67" t="s">
        <v>85</v>
      </c>
      <c r="L300" s="130">
        <v>1</v>
      </c>
      <c r="M300" s="70" t="s">
        <v>99</v>
      </c>
      <c r="N300" s="137" t="s">
        <v>195</v>
      </c>
      <c r="O300" s="67"/>
      <c r="P300" s="67"/>
      <c r="Q300" s="131" t="s">
        <v>72</v>
      </c>
      <c r="R300" s="131"/>
      <c r="S300" s="71"/>
      <c r="T300" s="72"/>
      <c r="U300" s="72"/>
      <c r="V300" s="73"/>
      <c r="W300" s="74"/>
      <c r="X300" s="75"/>
    </row>
    <row r="301" spans="1:24" ht="15" customHeight="1" thickBot="1" x14ac:dyDescent="0.3">
      <c r="A301" s="67" t="s">
        <v>13394</v>
      </c>
      <c r="B301" s="68" t="s">
        <v>136</v>
      </c>
      <c r="C301" s="67" t="s">
        <v>42</v>
      </c>
      <c r="D301" s="69" t="s">
        <v>142</v>
      </c>
      <c r="E301" s="67" t="s">
        <v>1079</v>
      </c>
      <c r="F301" s="67" t="s">
        <v>1080</v>
      </c>
      <c r="G301" s="70"/>
      <c r="H301" s="67" t="s">
        <v>1081</v>
      </c>
      <c r="I301" s="67"/>
      <c r="J301" s="67"/>
      <c r="K301" s="67" t="s">
        <v>85</v>
      </c>
      <c r="L301" s="130">
        <v>3</v>
      </c>
      <c r="M301" s="70" t="s">
        <v>255</v>
      </c>
      <c r="N301" s="137" t="s">
        <v>1082</v>
      </c>
      <c r="O301" s="67"/>
      <c r="P301" s="67"/>
      <c r="Q301" s="131" t="s">
        <v>150</v>
      </c>
      <c r="R301" s="131"/>
      <c r="S301" s="71"/>
      <c r="T301" s="72"/>
      <c r="U301" s="72"/>
      <c r="V301" s="73"/>
      <c r="W301" s="74"/>
      <c r="X301" s="75"/>
    </row>
    <row r="302" spans="1:24" ht="15" customHeight="1" thickBot="1" x14ac:dyDescent="0.3">
      <c r="A302" s="67" t="s">
        <v>13394</v>
      </c>
      <c r="B302" s="68" t="s">
        <v>136</v>
      </c>
      <c r="C302" s="67" t="s">
        <v>42</v>
      </c>
      <c r="D302" s="69" t="s">
        <v>146</v>
      </c>
      <c r="E302" s="67" t="s">
        <v>1083</v>
      </c>
      <c r="F302" s="67" t="s">
        <v>1084</v>
      </c>
      <c r="G302" s="70"/>
      <c r="H302" s="67" t="s">
        <v>1085</v>
      </c>
      <c r="I302" s="67"/>
      <c r="J302" s="67"/>
      <c r="K302" s="67" t="s">
        <v>85</v>
      </c>
      <c r="L302" s="130">
        <v>1</v>
      </c>
      <c r="M302" s="70" t="s">
        <v>99</v>
      </c>
      <c r="N302" s="137" t="s">
        <v>195</v>
      </c>
      <c r="O302" s="67"/>
      <c r="P302" s="67"/>
      <c r="Q302" s="131" t="s">
        <v>72</v>
      </c>
      <c r="R302" s="131"/>
      <c r="S302" s="71"/>
      <c r="T302" s="72"/>
      <c r="U302" s="72"/>
      <c r="V302" s="73"/>
      <c r="W302" s="74"/>
      <c r="X302" s="75"/>
    </row>
    <row r="303" spans="1:24" ht="15" customHeight="1" thickBot="1" x14ac:dyDescent="0.3">
      <c r="A303" s="67" t="s">
        <v>13394</v>
      </c>
      <c r="B303" s="68" t="s">
        <v>136</v>
      </c>
      <c r="C303" s="67" t="s">
        <v>42</v>
      </c>
      <c r="D303" s="69" t="s">
        <v>152</v>
      </c>
      <c r="E303" s="67" t="s">
        <v>1086</v>
      </c>
      <c r="F303" s="67" t="s">
        <v>1087</v>
      </c>
      <c r="G303" s="70"/>
      <c r="H303" s="67" t="s">
        <v>1088</v>
      </c>
      <c r="I303" s="67"/>
      <c r="J303" s="67"/>
      <c r="K303" s="67" t="s">
        <v>85</v>
      </c>
      <c r="L303" s="130">
        <v>2</v>
      </c>
      <c r="M303" s="70" t="s">
        <v>105</v>
      </c>
      <c r="N303" s="137" t="s">
        <v>1086</v>
      </c>
      <c r="O303" s="67"/>
      <c r="P303" s="67"/>
      <c r="Q303" s="131" t="s">
        <v>150</v>
      </c>
      <c r="R303" s="131"/>
      <c r="S303" s="71"/>
      <c r="T303" s="72"/>
      <c r="U303" s="72"/>
      <c r="V303" s="73"/>
      <c r="W303" s="74"/>
      <c r="X303" s="75"/>
    </row>
    <row r="304" spans="1:24" ht="15" customHeight="1" thickBot="1" x14ac:dyDescent="0.3">
      <c r="A304" s="67" t="s">
        <v>13394</v>
      </c>
      <c r="B304" s="68" t="s">
        <v>136</v>
      </c>
      <c r="C304" s="67" t="s">
        <v>42</v>
      </c>
      <c r="D304" s="69" t="s">
        <v>156</v>
      </c>
      <c r="E304" s="67" t="s">
        <v>1089</v>
      </c>
      <c r="F304" s="67" t="s">
        <v>1090</v>
      </c>
      <c r="G304" s="70"/>
      <c r="H304" s="67" t="s">
        <v>1091</v>
      </c>
      <c r="I304" s="67"/>
      <c r="J304" s="67"/>
      <c r="K304" s="67" t="s">
        <v>85</v>
      </c>
      <c r="L304" s="130">
        <v>1</v>
      </c>
      <c r="M304" s="70" t="s">
        <v>99</v>
      </c>
      <c r="N304" s="137" t="s">
        <v>195</v>
      </c>
      <c r="O304" s="67"/>
      <c r="P304" s="67"/>
      <c r="Q304" s="131" t="s">
        <v>72</v>
      </c>
      <c r="R304" s="131"/>
      <c r="S304" s="71"/>
      <c r="T304" s="72"/>
      <c r="U304" s="72"/>
      <c r="V304" s="73"/>
      <c r="W304" s="74"/>
      <c r="X304" s="75"/>
    </row>
    <row r="305" spans="1:24" ht="15" customHeight="1" thickBot="1" x14ac:dyDescent="0.3">
      <c r="A305" s="67" t="s">
        <v>13394</v>
      </c>
      <c r="B305" s="68" t="s">
        <v>136</v>
      </c>
      <c r="C305" s="67" t="s">
        <v>42</v>
      </c>
      <c r="D305" s="69" t="s">
        <v>161</v>
      </c>
      <c r="E305" s="67" t="s">
        <v>1092</v>
      </c>
      <c r="F305" s="67" t="s">
        <v>1093</v>
      </c>
      <c r="G305" s="70"/>
      <c r="H305" s="67" t="s">
        <v>1094</v>
      </c>
      <c r="I305" s="67"/>
      <c r="J305" s="67"/>
      <c r="K305" s="67" t="s">
        <v>429</v>
      </c>
      <c r="L305" s="130">
        <v>5</v>
      </c>
      <c r="M305" s="70">
        <v>999.9</v>
      </c>
      <c r="N305" s="137"/>
      <c r="O305" s="67"/>
      <c r="P305" s="67"/>
      <c r="Q305" s="131" t="s">
        <v>180</v>
      </c>
      <c r="R305" s="131"/>
      <c r="S305" s="71"/>
      <c r="T305" s="72"/>
      <c r="U305" s="72"/>
      <c r="V305" s="73"/>
      <c r="W305" s="74"/>
      <c r="X305" s="75"/>
    </row>
    <row r="306" spans="1:24" ht="15" customHeight="1" thickBot="1" x14ac:dyDescent="0.3">
      <c r="A306" s="67" t="s">
        <v>13394</v>
      </c>
      <c r="B306" s="68" t="s">
        <v>136</v>
      </c>
      <c r="C306" s="67" t="s">
        <v>42</v>
      </c>
      <c r="D306" s="69" t="s">
        <v>218</v>
      </c>
      <c r="E306" s="67" t="s">
        <v>1095</v>
      </c>
      <c r="F306" s="67" t="s">
        <v>1096</v>
      </c>
      <c r="G306" s="70"/>
      <c r="H306" s="67" t="s">
        <v>1097</v>
      </c>
      <c r="I306" s="67"/>
      <c r="J306" s="67"/>
      <c r="K306" s="67" t="s">
        <v>85</v>
      </c>
      <c r="L306" s="130">
        <v>2</v>
      </c>
      <c r="M306" s="70" t="s">
        <v>105</v>
      </c>
      <c r="N306" s="137" t="s">
        <v>1095</v>
      </c>
      <c r="O306" s="67"/>
      <c r="P306" s="67"/>
      <c r="Q306" s="131" t="s">
        <v>150</v>
      </c>
      <c r="R306" s="131"/>
      <c r="S306" s="71"/>
      <c r="T306" s="72"/>
      <c r="U306" s="72"/>
      <c r="V306" s="73"/>
      <c r="W306" s="74"/>
      <c r="X306" s="75"/>
    </row>
    <row r="307" spans="1:24" ht="15" customHeight="1" thickBot="1" x14ac:dyDescent="0.3">
      <c r="A307" s="67" t="s">
        <v>13394</v>
      </c>
      <c r="B307" s="68" t="s">
        <v>136</v>
      </c>
      <c r="C307" s="67" t="s">
        <v>42</v>
      </c>
      <c r="D307" s="69" t="s">
        <v>224</v>
      </c>
      <c r="E307" s="67" t="s">
        <v>1098</v>
      </c>
      <c r="F307" s="67" t="s">
        <v>1099</v>
      </c>
      <c r="G307" s="70"/>
      <c r="H307" s="67" t="s">
        <v>1100</v>
      </c>
      <c r="I307" s="67"/>
      <c r="J307" s="67"/>
      <c r="K307" s="67" t="s">
        <v>85</v>
      </c>
      <c r="L307" s="130">
        <v>1</v>
      </c>
      <c r="M307" s="70" t="s">
        <v>99</v>
      </c>
      <c r="N307" s="137" t="s">
        <v>195</v>
      </c>
      <c r="O307" s="67"/>
      <c r="P307" s="67"/>
      <c r="Q307" s="131" t="s">
        <v>72</v>
      </c>
      <c r="R307" s="131"/>
      <c r="S307" s="71"/>
      <c r="T307" s="72"/>
      <c r="U307" s="72"/>
      <c r="V307" s="73"/>
      <c r="W307" s="74"/>
      <c r="X307" s="75"/>
    </row>
    <row r="308" spans="1:24" ht="15" customHeight="1" thickBot="1" x14ac:dyDescent="0.3">
      <c r="A308" s="67" t="s">
        <v>13394</v>
      </c>
      <c r="B308" s="68" t="s">
        <v>136</v>
      </c>
      <c r="C308" s="67" t="s">
        <v>42</v>
      </c>
      <c r="D308" s="69" t="s">
        <v>230</v>
      </c>
      <c r="E308" s="67" t="s">
        <v>1101</v>
      </c>
      <c r="F308" s="67" t="s">
        <v>1102</v>
      </c>
      <c r="G308" s="70"/>
      <c r="H308" s="67" t="s">
        <v>1103</v>
      </c>
      <c r="I308" s="67"/>
      <c r="J308" s="67"/>
      <c r="K308" s="67" t="s">
        <v>85</v>
      </c>
      <c r="L308" s="130">
        <v>1</v>
      </c>
      <c r="M308" s="70" t="s">
        <v>99</v>
      </c>
      <c r="N308" s="250" t="s">
        <v>195</v>
      </c>
      <c r="O308" s="67"/>
      <c r="P308" s="67"/>
      <c r="Q308" s="131" t="s">
        <v>72</v>
      </c>
      <c r="R308" s="131"/>
      <c r="S308" s="71"/>
      <c r="T308" s="72"/>
      <c r="U308" s="72"/>
      <c r="V308" s="73"/>
      <c r="W308" s="74"/>
      <c r="X308" s="75"/>
    </row>
    <row r="309" spans="1:24" ht="15" customHeight="1" thickBot="1" x14ac:dyDescent="0.3">
      <c r="A309" s="138" t="s">
        <v>13394</v>
      </c>
      <c r="B309" s="139" t="s">
        <v>136</v>
      </c>
      <c r="C309" s="138" t="s">
        <v>42</v>
      </c>
      <c r="D309" s="140" t="s">
        <v>236</v>
      </c>
      <c r="E309" s="138" t="s">
        <v>580</v>
      </c>
      <c r="F309" s="138" t="s">
        <v>581</v>
      </c>
      <c r="G309" s="141"/>
      <c r="H309" s="138" t="s">
        <v>1104</v>
      </c>
      <c r="I309" s="138"/>
      <c r="J309" s="138"/>
      <c r="K309" s="138" t="s">
        <v>125</v>
      </c>
      <c r="L309" s="142">
        <v>250</v>
      </c>
      <c r="M309" s="141"/>
      <c r="N309" s="138"/>
      <c r="O309" s="138"/>
      <c r="P309" s="138"/>
      <c r="Q309" s="144" t="s">
        <v>150</v>
      </c>
      <c r="R309" s="216"/>
      <c r="S309" s="71"/>
      <c r="T309" s="72"/>
      <c r="U309" s="72"/>
      <c r="V309" s="73"/>
      <c r="W309" s="74"/>
      <c r="X309" s="75"/>
    </row>
    <row r="310" spans="1:24" s="66" customFormat="1" ht="15" customHeight="1" thickBot="1" x14ac:dyDescent="0.3">
      <c r="A310" s="19" t="s">
        <v>13394</v>
      </c>
      <c r="B310" s="76" t="s">
        <v>142</v>
      </c>
      <c r="C310" s="19" t="s">
        <v>43</v>
      </c>
      <c r="D310" s="19" t="s">
        <v>80</v>
      </c>
      <c r="E310" s="19" t="s">
        <v>60</v>
      </c>
      <c r="F310" s="192" t="s">
        <v>61</v>
      </c>
      <c r="G310" s="19" t="b">
        <v>0</v>
      </c>
      <c r="H310" s="19" t="s">
        <v>63</v>
      </c>
      <c r="I310" s="19"/>
      <c r="J310" s="19"/>
      <c r="K310" s="19"/>
      <c r="L310" s="19"/>
      <c r="M310" s="61"/>
      <c r="N310" s="19"/>
      <c r="O310" s="19"/>
      <c r="P310" s="19"/>
      <c r="Q310" s="62"/>
      <c r="R310" s="62"/>
      <c r="S310" s="58" t="s">
        <v>1105</v>
      </c>
      <c r="T310" s="78"/>
      <c r="U310" s="78"/>
      <c r="V310" s="78"/>
      <c r="W310" s="58"/>
      <c r="X310" s="58"/>
    </row>
    <row r="311" spans="1:24" s="106" customFormat="1" ht="15" customHeight="1" thickBot="1" x14ac:dyDescent="0.3">
      <c r="A311" s="67" t="s">
        <v>13394</v>
      </c>
      <c r="B311" s="68" t="s">
        <v>142</v>
      </c>
      <c r="C311" s="67" t="s">
        <v>43</v>
      </c>
      <c r="D311" s="69" t="s">
        <v>81</v>
      </c>
      <c r="E311" s="67" t="s">
        <v>1106</v>
      </c>
      <c r="F311" s="67" t="s">
        <v>1107</v>
      </c>
      <c r="G311" s="70"/>
      <c r="H311" s="67" t="s">
        <v>1108</v>
      </c>
      <c r="I311" s="67"/>
      <c r="J311" s="67"/>
      <c r="K311" s="67" t="s">
        <v>160</v>
      </c>
      <c r="L311" s="130">
        <v>9</v>
      </c>
      <c r="M311" s="70">
        <v>999999999</v>
      </c>
      <c r="N311" s="137"/>
      <c r="O311" s="67"/>
      <c r="P311" s="67"/>
      <c r="Q311" s="131" t="s">
        <v>72</v>
      </c>
      <c r="R311" s="131"/>
      <c r="S311" s="71" t="s">
        <v>168</v>
      </c>
      <c r="T311" s="217" t="s">
        <v>88</v>
      </c>
      <c r="U311" s="217" t="s">
        <v>88</v>
      </c>
      <c r="V311" s="218" t="s">
        <v>89</v>
      </c>
      <c r="W311" s="219"/>
      <c r="X311" s="220" t="s">
        <v>169</v>
      </c>
    </row>
    <row r="312" spans="1:24" s="106" customFormat="1" ht="15" customHeight="1" thickBot="1" x14ac:dyDescent="0.3">
      <c r="A312" s="67" t="s">
        <v>13394</v>
      </c>
      <c r="B312" s="68" t="s">
        <v>142</v>
      </c>
      <c r="C312" s="67" t="s">
        <v>43</v>
      </c>
      <c r="D312" s="69" t="s">
        <v>90</v>
      </c>
      <c r="E312" s="67" t="s">
        <v>1109</v>
      </c>
      <c r="F312" s="67" t="s">
        <v>1110</v>
      </c>
      <c r="G312" s="70"/>
      <c r="H312" s="67" t="s">
        <v>1111</v>
      </c>
      <c r="I312" s="67"/>
      <c r="J312" s="67"/>
      <c r="K312" s="67" t="s">
        <v>85</v>
      </c>
      <c r="L312" s="130">
        <v>1</v>
      </c>
      <c r="M312" s="70"/>
      <c r="N312" s="137" t="s">
        <v>1109</v>
      </c>
      <c r="O312" s="67"/>
      <c r="P312" s="67"/>
      <c r="Q312" s="131" t="s">
        <v>72</v>
      </c>
      <c r="R312" s="131"/>
      <c r="S312" s="71"/>
      <c r="T312" s="217"/>
      <c r="U312" s="217"/>
      <c r="V312" s="218"/>
      <c r="W312" s="219"/>
      <c r="X312" s="220"/>
    </row>
    <row r="313" spans="1:24" s="106" customFormat="1" ht="15" customHeight="1" thickBot="1" x14ac:dyDescent="0.3">
      <c r="A313" s="67" t="s">
        <v>13394</v>
      </c>
      <c r="B313" s="68" t="s">
        <v>142</v>
      </c>
      <c r="C313" s="67" t="s">
        <v>43</v>
      </c>
      <c r="D313" s="69" t="s">
        <v>95</v>
      </c>
      <c r="E313" s="67" t="s">
        <v>1112</v>
      </c>
      <c r="F313" s="67" t="s">
        <v>1113</v>
      </c>
      <c r="G313" s="70"/>
      <c r="H313" s="67" t="s">
        <v>1114</v>
      </c>
      <c r="I313" s="67"/>
      <c r="J313" s="67"/>
      <c r="K313" s="67" t="s">
        <v>125</v>
      </c>
      <c r="L313" s="130">
        <v>60</v>
      </c>
      <c r="M313" s="70" t="s">
        <v>45</v>
      </c>
      <c r="N313" s="137"/>
      <c r="O313" s="67"/>
      <c r="P313" s="67"/>
      <c r="Q313" s="131" t="s">
        <v>72</v>
      </c>
      <c r="R313" s="131"/>
      <c r="S313" s="71"/>
      <c r="T313" s="217"/>
      <c r="U313" s="217"/>
      <c r="V313" s="218"/>
      <c r="W313" s="219"/>
      <c r="X313" s="220"/>
    </row>
    <row r="314" spans="1:24" s="106" customFormat="1" ht="15" customHeight="1" thickBot="1" x14ac:dyDescent="0.3">
      <c r="A314" s="67" t="s">
        <v>13394</v>
      </c>
      <c r="B314" s="68" t="s">
        <v>142</v>
      </c>
      <c r="C314" s="67" t="s">
        <v>43</v>
      </c>
      <c r="D314" s="69" t="s">
        <v>101</v>
      </c>
      <c r="E314" s="67" t="s">
        <v>1115</v>
      </c>
      <c r="F314" s="67" t="s">
        <v>1116</v>
      </c>
      <c r="G314" s="70"/>
      <c r="H314" s="67" t="s">
        <v>1117</v>
      </c>
      <c r="I314" s="67"/>
      <c r="J314" s="67"/>
      <c r="K314" s="67" t="s">
        <v>125</v>
      </c>
      <c r="L314" s="130">
        <v>60</v>
      </c>
      <c r="M314" s="70" t="s">
        <v>45</v>
      </c>
      <c r="N314" s="137"/>
      <c r="O314" s="67"/>
      <c r="P314" s="67"/>
      <c r="Q314" s="131" t="s">
        <v>180</v>
      </c>
      <c r="R314" s="131"/>
      <c r="S314" s="71"/>
      <c r="T314" s="217"/>
      <c r="U314" s="217"/>
      <c r="V314" s="218"/>
      <c r="W314" s="219"/>
      <c r="X314" s="220"/>
    </row>
    <row r="315" spans="1:24" s="106" customFormat="1" ht="15" customHeight="1" thickBot="1" x14ac:dyDescent="0.3">
      <c r="A315" s="67" t="s">
        <v>13394</v>
      </c>
      <c r="B315" s="68" t="s">
        <v>142</v>
      </c>
      <c r="C315" s="67" t="s">
        <v>43</v>
      </c>
      <c r="D315" s="69" t="s">
        <v>107</v>
      </c>
      <c r="E315" s="67" t="s">
        <v>1118</v>
      </c>
      <c r="F315" s="67" t="s">
        <v>1119</v>
      </c>
      <c r="G315" s="70"/>
      <c r="H315" s="67" t="s">
        <v>1120</v>
      </c>
      <c r="K315" s="67" t="s">
        <v>125</v>
      </c>
      <c r="L315" s="130">
        <v>50</v>
      </c>
      <c r="M315" s="70" t="s">
        <v>45</v>
      </c>
      <c r="N315" s="137"/>
      <c r="O315" s="67"/>
      <c r="P315" s="67"/>
      <c r="Q315" s="131" t="s">
        <v>72</v>
      </c>
      <c r="R315" s="131"/>
      <c r="S315" s="71"/>
      <c r="T315" s="217"/>
      <c r="U315" s="217"/>
      <c r="V315" s="218"/>
      <c r="W315" s="219"/>
      <c r="X315" s="220"/>
    </row>
    <row r="316" spans="1:24" s="106" customFormat="1" ht="15" customHeight="1" thickBot="1" x14ac:dyDescent="0.3">
      <c r="A316" s="67" t="s">
        <v>13394</v>
      </c>
      <c r="B316" s="68" t="s">
        <v>142</v>
      </c>
      <c r="C316" s="67" t="s">
        <v>43</v>
      </c>
      <c r="D316" s="69" t="s">
        <v>116</v>
      </c>
      <c r="E316" s="67" t="s">
        <v>1121</v>
      </c>
      <c r="F316" s="67" t="s">
        <v>1122</v>
      </c>
      <c r="G316" s="70"/>
      <c r="H316" s="67" t="s">
        <v>1123</v>
      </c>
      <c r="K316" s="67" t="s">
        <v>85</v>
      </c>
      <c r="L316" s="130">
        <v>2</v>
      </c>
      <c r="M316" s="70" t="s">
        <v>105</v>
      </c>
      <c r="N316" s="137" t="s">
        <v>648</v>
      </c>
      <c r="O316" s="67"/>
      <c r="P316" s="67"/>
      <c r="Q316" s="131" t="s">
        <v>72</v>
      </c>
      <c r="R316" s="131"/>
      <c r="S316" s="71"/>
      <c r="T316" s="217"/>
      <c r="U316" s="217"/>
      <c r="V316" s="218"/>
      <c r="W316" s="219"/>
      <c r="X316" s="220"/>
    </row>
    <row r="317" spans="1:24" s="106" customFormat="1" ht="15" customHeight="1" thickBot="1" x14ac:dyDescent="0.3">
      <c r="A317" s="67" t="s">
        <v>13394</v>
      </c>
      <c r="B317" s="68" t="s">
        <v>142</v>
      </c>
      <c r="C317" s="67" t="s">
        <v>43</v>
      </c>
      <c r="D317" s="69" t="s">
        <v>121</v>
      </c>
      <c r="E317" s="67" t="s">
        <v>1124</v>
      </c>
      <c r="F317" s="67" t="s">
        <v>1125</v>
      </c>
      <c r="G317" s="70"/>
      <c r="H317" s="67" t="s">
        <v>1126</v>
      </c>
      <c r="K317" s="67" t="s">
        <v>160</v>
      </c>
      <c r="L317" s="130">
        <v>9</v>
      </c>
      <c r="M317" s="70" t="s">
        <v>1127</v>
      </c>
      <c r="N317" s="250"/>
      <c r="O317" s="67"/>
      <c r="P317" s="67"/>
      <c r="Q317" s="131" t="s">
        <v>72</v>
      </c>
      <c r="R317" s="131"/>
      <c r="S317" s="71"/>
      <c r="T317" s="217"/>
      <c r="U317" s="217"/>
      <c r="V317" s="218"/>
      <c r="W317" s="219"/>
      <c r="X317" s="220"/>
    </row>
    <row r="318" spans="1:24" s="106" customFormat="1" ht="15" customHeight="1" thickBot="1" x14ac:dyDescent="0.3">
      <c r="A318" s="138" t="s">
        <v>13394</v>
      </c>
      <c r="B318" s="139" t="s">
        <v>142</v>
      </c>
      <c r="C318" s="138" t="s">
        <v>43</v>
      </c>
      <c r="D318" s="140" t="s">
        <v>127</v>
      </c>
      <c r="E318" s="138" t="s">
        <v>1128</v>
      </c>
      <c r="F318" s="138" t="s">
        <v>1129</v>
      </c>
      <c r="G318" s="141"/>
      <c r="H318" s="221" t="s">
        <v>1130</v>
      </c>
      <c r="I318" s="138"/>
      <c r="J318" s="138"/>
      <c r="K318" s="138" t="s">
        <v>140</v>
      </c>
      <c r="L318" s="142">
        <v>10</v>
      </c>
      <c r="M318" s="141" t="s">
        <v>141</v>
      </c>
      <c r="N318" s="143"/>
      <c r="O318" s="138"/>
      <c r="P318" s="138"/>
      <c r="Q318" s="144" t="s">
        <v>180</v>
      </c>
      <c r="R318" s="144"/>
      <c r="S318" s="71"/>
      <c r="T318" s="217"/>
      <c r="U318" s="217"/>
      <c r="V318" s="218"/>
      <c r="W318" s="219"/>
      <c r="X318" s="220"/>
    </row>
    <row r="319" spans="1:24" s="191" customFormat="1" ht="15" customHeight="1" thickBot="1" x14ac:dyDescent="0.3">
      <c r="A319" s="19" t="s">
        <v>13394</v>
      </c>
      <c r="B319" s="76" t="s">
        <v>146</v>
      </c>
      <c r="C319" s="19" t="s">
        <v>44</v>
      </c>
      <c r="D319" s="19" t="s">
        <v>80</v>
      </c>
      <c r="E319" s="19" t="s">
        <v>60</v>
      </c>
      <c r="F319" s="60" t="s">
        <v>61</v>
      </c>
      <c r="G319" s="19" t="b">
        <v>0</v>
      </c>
      <c r="H319" s="19" t="s">
        <v>63</v>
      </c>
      <c r="I319" s="19"/>
      <c r="J319" s="19"/>
      <c r="K319" s="19"/>
      <c r="L319" s="19"/>
      <c r="M319" s="61"/>
      <c r="N319" s="19"/>
      <c r="O319" s="19"/>
      <c r="P319" s="19"/>
      <c r="Q319" s="62"/>
      <c r="R319" s="62"/>
      <c r="S319" s="106"/>
      <c r="T319" s="115"/>
      <c r="U319" s="115"/>
      <c r="V319" s="115"/>
      <c r="W319" s="106"/>
      <c r="X319" s="106"/>
    </row>
    <row r="320" spans="1:24" s="106" customFormat="1" ht="15" customHeight="1" thickBot="1" x14ac:dyDescent="0.3">
      <c r="A320" s="67" t="s">
        <v>13394</v>
      </c>
      <c r="B320" s="68" t="s">
        <v>146</v>
      </c>
      <c r="C320" s="67" t="s">
        <v>44</v>
      </c>
      <c r="D320" s="69" t="s">
        <v>81</v>
      </c>
      <c r="E320" s="67" t="s">
        <v>1131</v>
      </c>
      <c r="F320" s="67" t="s">
        <v>1132</v>
      </c>
      <c r="G320" s="70"/>
      <c r="H320" s="67" t="s">
        <v>1133</v>
      </c>
      <c r="I320" s="67"/>
      <c r="J320" s="67"/>
      <c r="K320" s="67" t="s">
        <v>140</v>
      </c>
      <c r="L320" s="130">
        <v>10</v>
      </c>
      <c r="M320" s="70" t="s">
        <v>141</v>
      </c>
      <c r="N320" s="137"/>
      <c r="O320" s="67"/>
      <c r="P320" s="67"/>
      <c r="Q320" s="131" t="s">
        <v>72</v>
      </c>
      <c r="R320" s="131"/>
      <c r="S320" s="71" t="s">
        <v>168</v>
      </c>
      <c r="T320" s="217" t="s">
        <v>88</v>
      </c>
      <c r="U320" s="217" t="s">
        <v>88</v>
      </c>
      <c r="V320" s="218" t="s">
        <v>89</v>
      </c>
      <c r="W320" s="219"/>
      <c r="X320" s="220" t="s">
        <v>169</v>
      </c>
    </row>
    <row r="321" spans="1:24" s="106" customFormat="1" ht="15" customHeight="1" thickBot="1" x14ac:dyDescent="0.3">
      <c r="A321" s="67" t="s">
        <v>13394</v>
      </c>
      <c r="B321" s="68" t="s">
        <v>146</v>
      </c>
      <c r="C321" s="67" t="s">
        <v>44</v>
      </c>
      <c r="D321" s="69" t="s">
        <v>90</v>
      </c>
      <c r="E321" s="67" t="s">
        <v>82</v>
      </c>
      <c r="F321" s="67" t="s">
        <v>83</v>
      </c>
      <c r="G321" s="70"/>
      <c r="H321" s="67" t="s">
        <v>1134</v>
      </c>
      <c r="I321" s="67"/>
      <c r="J321" s="67"/>
      <c r="K321" s="67" t="s">
        <v>85</v>
      </c>
      <c r="L321" s="130">
        <v>4</v>
      </c>
      <c r="M321" s="70">
        <v>9999</v>
      </c>
      <c r="N321" s="137" t="s">
        <v>86</v>
      </c>
      <c r="O321" s="67"/>
      <c r="P321" s="67"/>
      <c r="Q321" s="131" t="s">
        <v>72</v>
      </c>
      <c r="R321" s="131"/>
      <c r="S321" s="71"/>
      <c r="T321" s="217"/>
      <c r="U321" s="217"/>
      <c r="V321" s="218"/>
      <c r="W321" s="219"/>
      <c r="X321" s="220"/>
    </row>
    <row r="322" spans="1:24" s="106" customFormat="1" ht="15" customHeight="1" thickBot="1" x14ac:dyDescent="0.3">
      <c r="A322" s="67" t="s">
        <v>13394</v>
      </c>
      <c r="B322" s="68" t="s">
        <v>146</v>
      </c>
      <c r="C322" s="67" t="s">
        <v>44</v>
      </c>
      <c r="D322" s="69" t="s">
        <v>95</v>
      </c>
      <c r="E322" s="67" t="s">
        <v>237</v>
      </c>
      <c r="F322" s="67" t="s">
        <v>118</v>
      </c>
      <c r="G322" s="70"/>
      <c r="H322" s="67" t="s">
        <v>1135</v>
      </c>
      <c r="I322" s="67"/>
      <c r="J322" s="67"/>
      <c r="K322" s="67" t="s">
        <v>85</v>
      </c>
      <c r="L322" s="130">
        <v>2</v>
      </c>
      <c r="M322" s="70" t="s">
        <v>239</v>
      </c>
      <c r="N322" s="137" t="s">
        <v>237</v>
      </c>
      <c r="O322" s="67"/>
      <c r="P322" s="67"/>
      <c r="Q322" s="131" t="s">
        <v>72</v>
      </c>
      <c r="R322" s="131"/>
      <c r="S322" s="71"/>
      <c r="T322" s="217"/>
      <c r="U322" s="217"/>
      <c r="V322" s="218"/>
      <c r="W322" s="219"/>
      <c r="X322" s="220"/>
    </row>
    <row r="323" spans="1:24" s="106" customFormat="1" ht="15" customHeight="1" thickBot="1" x14ac:dyDescent="0.3">
      <c r="A323" s="67" t="s">
        <v>13394</v>
      </c>
      <c r="B323" s="68" t="s">
        <v>146</v>
      </c>
      <c r="C323" s="67" t="s">
        <v>44</v>
      </c>
      <c r="D323" s="69" t="s">
        <v>101</v>
      </c>
      <c r="E323" s="67" t="s">
        <v>1136</v>
      </c>
      <c r="F323" s="67" t="s">
        <v>1137</v>
      </c>
      <c r="G323" s="70"/>
      <c r="H323" s="67" t="s">
        <v>1138</v>
      </c>
      <c r="I323" s="67"/>
      <c r="J323" s="67"/>
      <c r="K323" s="67" t="s">
        <v>85</v>
      </c>
      <c r="L323" s="130">
        <v>2</v>
      </c>
      <c r="M323" s="70" t="s">
        <v>105</v>
      </c>
      <c r="N323" s="137" t="s">
        <v>1136</v>
      </c>
      <c r="O323" s="67"/>
      <c r="P323" s="67"/>
      <c r="Q323" s="131" t="s">
        <v>72</v>
      </c>
      <c r="R323" s="131"/>
      <c r="S323" s="71"/>
      <c r="T323" s="217"/>
      <c r="U323" s="217"/>
      <c r="V323" s="218"/>
      <c r="W323" s="219"/>
      <c r="X323" s="220"/>
    </row>
    <row r="324" spans="1:24" s="106" customFormat="1" ht="15" customHeight="1" thickBot="1" x14ac:dyDescent="0.3">
      <c r="A324" s="67" t="s">
        <v>13394</v>
      </c>
      <c r="B324" s="68" t="s">
        <v>146</v>
      </c>
      <c r="C324" s="67" t="s">
        <v>44</v>
      </c>
      <c r="D324" s="69" t="s">
        <v>107</v>
      </c>
      <c r="E324" s="67" t="s">
        <v>1139</v>
      </c>
      <c r="F324" s="67" t="s">
        <v>1140</v>
      </c>
      <c r="G324" s="70"/>
      <c r="H324" s="67" t="s">
        <v>1141</v>
      </c>
      <c r="K324" s="67" t="s">
        <v>111</v>
      </c>
      <c r="L324" s="130">
        <v>4</v>
      </c>
      <c r="M324" s="70">
        <v>9999</v>
      </c>
      <c r="N324" s="137"/>
      <c r="O324" s="67">
        <v>0</v>
      </c>
      <c r="P324" s="67">
        <v>9999</v>
      </c>
      <c r="Q324" s="131" t="s">
        <v>72</v>
      </c>
      <c r="R324" s="131"/>
      <c r="S324" s="71"/>
      <c r="T324" s="217"/>
      <c r="U324" s="217"/>
      <c r="V324" s="218"/>
      <c r="W324" s="219"/>
      <c r="X324" s="220"/>
    </row>
    <row r="325" spans="1:24" s="106" customFormat="1" ht="15" customHeight="1" thickBot="1" x14ac:dyDescent="0.3">
      <c r="A325" s="67" t="s">
        <v>13394</v>
      </c>
      <c r="B325" s="68" t="s">
        <v>146</v>
      </c>
      <c r="C325" s="67" t="s">
        <v>44</v>
      </c>
      <c r="D325" s="69" t="s">
        <v>116</v>
      </c>
      <c r="E325" s="67" t="s">
        <v>1142</v>
      </c>
      <c r="F325" s="67" t="s">
        <v>1143</v>
      </c>
      <c r="G325" s="70"/>
      <c r="H325" s="67" t="s">
        <v>1144</v>
      </c>
      <c r="K325" s="67" t="s">
        <v>111</v>
      </c>
      <c r="L325" s="130">
        <v>4</v>
      </c>
      <c r="M325" s="70">
        <v>9999</v>
      </c>
      <c r="N325" s="137"/>
      <c r="O325" s="67">
        <v>0</v>
      </c>
      <c r="P325" s="67">
        <v>9999</v>
      </c>
      <c r="Q325" s="131" t="s">
        <v>72</v>
      </c>
      <c r="R325" s="131"/>
      <c r="S325" s="71"/>
      <c r="T325" s="217"/>
      <c r="U325" s="217"/>
      <c r="V325" s="218"/>
      <c r="W325" s="219"/>
      <c r="X325" s="220"/>
    </row>
    <row r="326" spans="1:24" s="106" customFormat="1" ht="15" customHeight="1" thickBot="1" x14ac:dyDescent="0.3">
      <c r="A326" s="225" t="s">
        <v>13394</v>
      </c>
      <c r="B326" s="68" t="s">
        <v>146</v>
      </c>
      <c r="C326" s="67" t="s">
        <v>44</v>
      </c>
      <c r="D326" s="69" t="s">
        <v>121</v>
      </c>
      <c r="E326" s="67" t="s">
        <v>1145</v>
      </c>
      <c r="F326" s="67" t="s">
        <v>1146</v>
      </c>
      <c r="G326" s="70"/>
      <c r="H326" s="225" t="s">
        <v>13508</v>
      </c>
      <c r="K326" s="67" t="s">
        <v>111</v>
      </c>
      <c r="L326" s="130">
        <v>4</v>
      </c>
      <c r="M326" s="70">
        <v>9999</v>
      </c>
      <c r="N326" s="137"/>
      <c r="O326" s="67">
        <v>0</v>
      </c>
      <c r="P326" s="67">
        <v>9999</v>
      </c>
      <c r="Q326" s="131" t="s">
        <v>72</v>
      </c>
      <c r="R326" s="131"/>
      <c r="S326" s="71"/>
      <c r="T326" s="217"/>
      <c r="U326" s="217"/>
      <c r="V326" s="218"/>
      <c r="W326" s="219"/>
      <c r="X326" s="220"/>
    </row>
    <row r="327" spans="1:24" s="106" customFormat="1" ht="15" customHeight="1" thickBot="1" x14ac:dyDescent="0.3">
      <c r="A327" s="225" t="s">
        <v>13394</v>
      </c>
      <c r="B327" s="68" t="s">
        <v>146</v>
      </c>
      <c r="C327" s="67" t="s">
        <v>44</v>
      </c>
      <c r="D327" s="69" t="s">
        <v>127</v>
      </c>
      <c r="E327" s="67" t="s">
        <v>1147</v>
      </c>
      <c r="F327" s="67" t="s">
        <v>1148</v>
      </c>
      <c r="G327" s="70"/>
      <c r="H327" s="225" t="s">
        <v>13509</v>
      </c>
      <c r="K327" s="67" t="s">
        <v>111</v>
      </c>
      <c r="L327" s="130">
        <v>4</v>
      </c>
      <c r="M327" s="70">
        <v>9999</v>
      </c>
      <c r="N327" s="137"/>
      <c r="O327" s="67">
        <v>0</v>
      </c>
      <c r="P327" s="67">
        <v>9999</v>
      </c>
      <c r="Q327" s="131" t="s">
        <v>72</v>
      </c>
      <c r="R327" s="131"/>
      <c r="S327" s="71"/>
      <c r="T327" s="217"/>
      <c r="U327" s="217"/>
      <c r="V327" s="218"/>
      <c r="W327" s="219"/>
      <c r="X327" s="220"/>
    </row>
    <row r="328" spans="1:24" s="106" customFormat="1" ht="15" customHeight="1" x14ac:dyDescent="0.25">
      <c r="A328" s="326" t="s">
        <v>13394</v>
      </c>
      <c r="B328" s="139" t="s">
        <v>146</v>
      </c>
      <c r="C328" s="138" t="s">
        <v>44</v>
      </c>
      <c r="D328" s="140" t="s">
        <v>132</v>
      </c>
      <c r="E328" s="138" t="s">
        <v>1149</v>
      </c>
      <c r="F328" s="138" t="s">
        <v>1150</v>
      </c>
      <c r="G328" s="138"/>
      <c r="H328" s="326" t="s">
        <v>13510</v>
      </c>
      <c r="I328" s="138"/>
      <c r="J328" s="138"/>
      <c r="K328" s="138" t="s">
        <v>111</v>
      </c>
      <c r="L328" s="222">
        <v>4</v>
      </c>
      <c r="M328" s="223">
        <v>9999</v>
      </c>
      <c r="N328" s="138"/>
      <c r="O328" s="138">
        <v>0</v>
      </c>
      <c r="P328" s="138">
        <v>9999</v>
      </c>
      <c r="Q328" s="224" t="s">
        <v>72</v>
      </c>
      <c r="R328" s="144"/>
      <c r="S328" s="71"/>
      <c r="T328" s="217"/>
      <c r="U328" s="217"/>
      <c r="V328" s="218"/>
      <c r="W328" s="219"/>
      <c r="X328" s="220"/>
    </row>
    <row r="329" spans="1:24" ht="15" customHeight="1" thickBot="1" x14ac:dyDescent="0.3"/>
    <row r="330" spans="1:24" s="66" customFormat="1" ht="15" customHeight="1" thickBot="1" x14ac:dyDescent="0.3">
      <c r="A330" s="20" t="s">
        <v>1151</v>
      </c>
      <c r="B330" s="80" t="s">
        <v>152</v>
      </c>
      <c r="C330" s="20" t="s">
        <v>48</v>
      </c>
      <c r="D330" s="20" t="s">
        <v>80</v>
      </c>
      <c r="E330" s="20" t="s">
        <v>60</v>
      </c>
      <c r="F330" s="81" t="s">
        <v>61</v>
      </c>
      <c r="G330" s="20" t="b">
        <v>0</v>
      </c>
      <c r="H330" s="20" t="s">
        <v>63</v>
      </c>
      <c r="I330" s="20"/>
      <c r="J330" s="20"/>
      <c r="K330" s="20"/>
      <c r="L330" s="20"/>
      <c r="M330" s="82"/>
      <c r="N330" s="20"/>
      <c r="O330" s="20"/>
      <c r="P330" s="20"/>
      <c r="Q330" s="83"/>
      <c r="R330" s="83"/>
      <c r="S330" s="58"/>
      <c r="T330" s="78"/>
      <c r="U330" s="78"/>
      <c r="V330" s="78"/>
      <c r="W330" s="58"/>
      <c r="X330" s="58"/>
    </row>
    <row r="331" spans="1:24" ht="15" customHeight="1" thickBot="1" x14ac:dyDescent="0.3">
      <c r="A331" s="67" t="s">
        <v>1151</v>
      </c>
      <c r="B331" s="68" t="s">
        <v>152</v>
      </c>
      <c r="C331" s="67" t="s">
        <v>48</v>
      </c>
      <c r="D331" s="69" t="s">
        <v>81</v>
      </c>
      <c r="E331" s="67" t="s">
        <v>1152</v>
      </c>
      <c r="F331" s="67" t="s">
        <v>1153</v>
      </c>
      <c r="G331" s="70"/>
      <c r="H331" s="67" t="s">
        <v>1154</v>
      </c>
      <c r="I331" s="67"/>
      <c r="J331" s="67"/>
      <c r="K331" s="67" t="s">
        <v>85</v>
      </c>
      <c r="L331" s="130">
        <v>3</v>
      </c>
      <c r="M331" s="70">
        <v>999</v>
      </c>
      <c r="N331" s="137" t="s">
        <v>1070</v>
      </c>
      <c r="O331" s="67"/>
      <c r="P331" s="67"/>
      <c r="Q331" s="131" t="s">
        <v>72</v>
      </c>
      <c r="R331" s="131"/>
      <c r="S331" s="71"/>
      <c r="T331" s="72"/>
      <c r="U331" s="72"/>
      <c r="V331" s="73"/>
      <c r="W331" s="74"/>
      <c r="X331" s="75"/>
    </row>
    <row r="332" spans="1:24" ht="15" customHeight="1" thickBot="1" x14ac:dyDescent="0.3">
      <c r="A332" s="67" t="s">
        <v>1151</v>
      </c>
      <c r="B332" s="68" t="s">
        <v>152</v>
      </c>
      <c r="C332" s="67" t="s">
        <v>48</v>
      </c>
      <c r="D332" s="69" t="s">
        <v>90</v>
      </c>
      <c r="E332" s="67" t="s">
        <v>82</v>
      </c>
      <c r="F332" s="67" t="s">
        <v>83</v>
      </c>
      <c r="G332" s="70"/>
      <c r="H332" s="67" t="s">
        <v>1155</v>
      </c>
      <c r="I332" s="67"/>
      <c r="J332" s="67"/>
      <c r="K332" s="67" t="s">
        <v>85</v>
      </c>
      <c r="L332" s="130">
        <v>4</v>
      </c>
      <c r="M332" s="70">
        <v>9999</v>
      </c>
      <c r="N332" s="137" t="s">
        <v>86</v>
      </c>
      <c r="O332" s="67"/>
      <c r="P332" s="67"/>
      <c r="Q332" s="131" t="s">
        <v>72</v>
      </c>
      <c r="R332" s="131"/>
      <c r="S332" s="71"/>
      <c r="T332" s="72"/>
      <c r="U332" s="72"/>
      <c r="V332" s="73"/>
      <c r="W332" s="74"/>
      <c r="X332" s="75"/>
    </row>
    <row r="333" spans="1:24" ht="15" customHeight="1" thickBot="1" x14ac:dyDescent="0.3">
      <c r="A333" s="67" t="s">
        <v>1151</v>
      </c>
      <c r="B333" s="68" t="s">
        <v>152</v>
      </c>
      <c r="C333" s="67" t="s">
        <v>48</v>
      </c>
      <c r="D333" s="69" t="s">
        <v>95</v>
      </c>
      <c r="E333" s="67" t="s">
        <v>1156</v>
      </c>
      <c r="F333" s="67" t="s">
        <v>1157</v>
      </c>
      <c r="G333" s="70"/>
      <c r="H333" s="67" t="s">
        <v>1158</v>
      </c>
      <c r="I333" s="67"/>
      <c r="J333" s="67"/>
      <c r="K333" s="67" t="s">
        <v>85</v>
      </c>
      <c r="L333" s="130">
        <v>4</v>
      </c>
      <c r="M333" s="70"/>
      <c r="N333" s="137" t="s">
        <v>1159</v>
      </c>
      <c r="O333" s="67"/>
      <c r="P333" s="67"/>
      <c r="Q333" s="131" t="s">
        <v>72</v>
      </c>
      <c r="R333" s="131"/>
      <c r="S333" s="71"/>
      <c r="T333" s="72"/>
      <c r="U333" s="72"/>
      <c r="V333" s="73"/>
      <c r="W333" s="74"/>
      <c r="X333" s="75"/>
    </row>
    <row r="334" spans="1:24" ht="15" customHeight="1" thickBot="1" x14ac:dyDescent="0.3">
      <c r="A334" s="67" t="s">
        <v>1151</v>
      </c>
      <c r="B334" s="68" t="s">
        <v>152</v>
      </c>
      <c r="C334" s="67" t="s">
        <v>48</v>
      </c>
      <c r="D334" s="69" t="s">
        <v>101</v>
      </c>
      <c r="E334" s="67" t="s">
        <v>1160</v>
      </c>
      <c r="F334" s="67" t="s">
        <v>1161</v>
      </c>
      <c r="G334" s="70"/>
      <c r="H334" s="67" t="s">
        <v>1162</v>
      </c>
      <c r="I334" s="67"/>
      <c r="J334" s="67"/>
      <c r="K334" s="67" t="s">
        <v>125</v>
      </c>
      <c r="L334" s="130">
        <v>50</v>
      </c>
      <c r="M334" s="70"/>
      <c r="N334" s="137"/>
      <c r="O334" s="67"/>
      <c r="P334" s="67"/>
      <c r="Q334" s="131" t="s">
        <v>150</v>
      </c>
      <c r="R334" s="131"/>
      <c r="S334" s="71"/>
      <c r="T334" s="72"/>
      <c r="U334" s="72"/>
      <c r="V334" s="73"/>
      <c r="W334" s="74"/>
      <c r="X334" s="75"/>
    </row>
    <row r="335" spans="1:24" ht="15" customHeight="1" thickBot="1" x14ac:dyDescent="0.3">
      <c r="A335" s="67" t="s">
        <v>1151</v>
      </c>
      <c r="B335" s="68" t="s">
        <v>152</v>
      </c>
      <c r="C335" s="67" t="s">
        <v>48</v>
      </c>
      <c r="D335" s="69" t="s">
        <v>107</v>
      </c>
      <c r="E335" s="67" t="s">
        <v>1163</v>
      </c>
      <c r="F335" s="67" t="s">
        <v>1164</v>
      </c>
      <c r="G335" s="70"/>
      <c r="H335" s="67" t="s">
        <v>1165</v>
      </c>
      <c r="I335" s="67"/>
      <c r="J335" s="67"/>
      <c r="K335" s="67" t="s">
        <v>85</v>
      </c>
      <c r="L335" s="130">
        <v>1</v>
      </c>
      <c r="M335" s="70" t="s">
        <v>99</v>
      </c>
      <c r="N335" s="137" t="s">
        <v>195</v>
      </c>
      <c r="O335" s="67"/>
      <c r="P335" s="67"/>
      <c r="Q335" s="131" t="s">
        <v>72</v>
      </c>
      <c r="R335" s="131"/>
      <c r="S335" s="71"/>
      <c r="T335" s="72"/>
      <c r="U335" s="72"/>
      <c r="V335" s="73"/>
      <c r="W335" s="74"/>
      <c r="X335" s="75"/>
    </row>
    <row r="336" spans="1:24" ht="15" customHeight="1" thickBot="1" x14ac:dyDescent="0.3">
      <c r="A336" s="67" t="s">
        <v>1151</v>
      </c>
      <c r="B336" s="68" t="s">
        <v>152</v>
      </c>
      <c r="C336" s="67" t="s">
        <v>48</v>
      </c>
      <c r="D336" s="69" t="s">
        <v>116</v>
      </c>
      <c r="E336" s="67" t="s">
        <v>1166</v>
      </c>
      <c r="F336" s="67" t="s">
        <v>620</v>
      </c>
      <c r="G336" s="70"/>
      <c r="H336" s="67" t="s">
        <v>621</v>
      </c>
      <c r="I336" s="67"/>
      <c r="J336" s="67"/>
      <c r="K336" s="67" t="s">
        <v>160</v>
      </c>
      <c r="L336" s="130">
        <v>9</v>
      </c>
      <c r="M336" s="70">
        <v>999999999</v>
      </c>
      <c r="N336" s="137"/>
      <c r="O336" s="67"/>
      <c r="P336" s="67"/>
      <c r="Q336" s="131" t="s">
        <v>72</v>
      </c>
      <c r="R336" s="131"/>
      <c r="S336" s="71"/>
      <c r="T336" s="72"/>
      <c r="U336" s="72"/>
      <c r="V336" s="73"/>
      <c r="W336" s="74"/>
      <c r="X336" s="75"/>
    </row>
    <row r="337" spans="1:24" ht="15" customHeight="1" x14ac:dyDescent="0.25">
      <c r="A337" s="67" t="s">
        <v>1151</v>
      </c>
      <c r="B337" s="68" t="s">
        <v>152</v>
      </c>
      <c r="C337" s="67" t="s">
        <v>48</v>
      </c>
      <c r="D337" s="69" t="s">
        <v>121</v>
      </c>
      <c r="E337" s="67" t="s">
        <v>170</v>
      </c>
      <c r="F337" s="67" t="s">
        <v>171</v>
      </c>
      <c r="G337" s="70"/>
      <c r="H337" s="67" t="s">
        <v>1167</v>
      </c>
      <c r="I337" s="67"/>
      <c r="J337" s="67"/>
      <c r="K337" s="67" t="s">
        <v>125</v>
      </c>
      <c r="L337" s="130">
        <v>35</v>
      </c>
      <c r="M337" s="70"/>
      <c r="N337" s="137"/>
      <c r="O337" s="67"/>
      <c r="P337" s="67"/>
      <c r="Q337" s="131" t="s">
        <v>72</v>
      </c>
      <c r="R337" s="131"/>
      <c r="S337" s="71"/>
      <c r="T337" s="72"/>
      <c r="U337" s="72"/>
      <c r="V337" s="73"/>
      <c r="W337" s="74"/>
      <c r="X337" s="75"/>
    </row>
    <row r="338" spans="1:24" ht="15" customHeight="1" x14ac:dyDescent="0.25">
      <c r="A338" s="67" t="s">
        <v>1151</v>
      </c>
      <c r="B338" s="68" t="s">
        <v>152</v>
      </c>
      <c r="C338" s="67" t="s">
        <v>48</v>
      </c>
      <c r="D338" s="69" t="s">
        <v>127</v>
      </c>
      <c r="E338" s="67" t="s">
        <v>174</v>
      </c>
      <c r="F338" s="67" t="s">
        <v>175</v>
      </c>
      <c r="G338" s="70"/>
      <c r="H338" s="67" t="s">
        <v>1168</v>
      </c>
      <c r="I338" s="67"/>
      <c r="J338" s="67"/>
      <c r="K338" s="67" t="s">
        <v>125</v>
      </c>
      <c r="L338" s="130">
        <v>35</v>
      </c>
      <c r="M338" s="70"/>
      <c r="N338" s="137"/>
      <c r="O338" s="67"/>
      <c r="P338" s="67"/>
      <c r="Q338" s="131" t="s">
        <v>72</v>
      </c>
    </row>
    <row r="339" spans="1:24" ht="15" customHeight="1" x14ac:dyDescent="0.25">
      <c r="A339" s="67" t="s">
        <v>1151</v>
      </c>
      <c r="B339" s="68" t="s">
        <v>152</v>
      </c>
      <c r="C339" s="67" t="s">
        <v>48</v>
      </c>
      <c r="D339" s="69" t="s">
        <v>132</v>
      </c>
      <c r="E339" s="67" t="s">
        <v>1169</v>
      </c>
      <c r="F339" s="67" t="s">
        <v>1170</v>
      </c>
      <c r="G339" s="70"/>
      <c r="H339" s="67" t="s">
        <v>1171</v>
      </c>
      <c r="I339" s="67"/>
      <c r="J339" s="67"/>
      <c r="K339" s="67" t="s">
        <v>125</v>
      </c>
      <c r="L339" s="130">
        <v>50</v>
      </c>
      <c r="M339" s="70"/>
      <c r="N339" s="137"/>
      <c r="O339" s="67"/>
      <c r="P339" s="67"/>
      <c r="Q339" s="131" t="s">
        <v>72</v>
      </c>
    </row>
    <row r="340" spans="1:24" ht="15" customHeight="1" x14ac:dyDescent="0.25">
      <c r="A340" s="67" t="s">
        <v>1151</v>
      </c>
      <c r="B340" s="68" t="s">
        <v>152</v>
      </c>
      <c r="C340" s="67" t="s">
        <v>48</v>
      </c>
      <c r="D340" s="69" t="s">
        <v>136</v>
      </c>
      <c r="E340" s="67" t="s">
        <v>1172</v>
      </c>
      <c r="F340" s="67" t="s">
        <v>1173</v>
      </c>
      <c r="G340" s="70"/>
      <c r="H340" s="67" t="s">
        <v>1174</v>
      </c>
      <c r="I340" s="67"/>
      <c r="J340" s="67"/>
      <c r="K340" s="67" t="s">
        <v>125</v>
      </c>
      <c r="L340" s="130">
        <v>50</v>
      </c>
      <c r="M340" s="70"/>
      <c r="N340" s="137"/>
      <c r="O340" s="67"/>
      <c r="P340" s="67"/>
      <c r="Q340" s="131" t="s">
        <v>72</v>
      </c>
    </row>
    <row r="341" spans="1:24" ht="15" customHeight="1" x14ac:dyDescent="0.25">
      <c r="A341" s="67" t="s">
        <v>1151</v>
      </c>
      <c r="B341" s="68" t="s">
        <v>152</v>
      </c>
      <c r="C341" s="67" t="s">
        <v>48</v>
      </c>
      <c r="D341" s="69" t="s">
        <v>142</v>
      </c>
      <c r="E341" s="67" t="s">
        <v>1175</v>
      </c>
      <c r="F341" s="67" t="s">
        <v>1176</v>
      </c>
      <c r="G341" s="70"/>
      <c r="H341" s="67" t="s">
        <v>1177</v>
      </c>
      <c r="I341" s="67"/>
      <c r="J341" s="67"/>
      <c r="K341" s="67" t="s">
        <v>85</v>
      </c>
      <c r="L341" s="130">
        <v>4</v>
      </c>
      <c r="M341" s="70">
        <v>9999</v>
      </c>
      <c r="N341" s="137" t="s">
        <v>86</v>
      </c>
      <c r="O341" s="67"/>
      <c r="P341" s="67"/>
      <c r="Q341" s="131" t="s">
        <v>180</v>
      </c>
    </row>
    <row r="342" spans="1:24" ht="15" customHeight="1" x14ac:dyDescent="0.25">
      <c r="A342" s="67" t="s">
        <v>1151</v>
      </c>
      <c r="B342" s="68" t="s">
        <v>152</v>
      </c>
      <c r="C342" s="67" t="s">
        <v>48</v>
      </c>
      <c r="D342" s="69" t="s">
        <v>146</v>
      </c>
      <c r="E342" s="67" t="s">
        <v>1178</v>
      </c>
      <c r="F342" s="67" t="s">
        <v>1179</v>
      </c>
      <c r="G342" s="70"/>
      <c r="H342" s="67" t="s">
        <v>1180</v>
      </c>
      <c r="I342" s="67"/>
      <c r="J342" s="67"/>
      <c r="K342" s="67" t="s">
        <v>429</v>
      </c>
      <c r="L342" s="130">
        <v>10</v>
      </c>
      <c r="M342" s="70">
        <v>9999999999</v>
      </c>
      <c r="N342" s="137"/>
      <c r="O342" s="67"/>
      <c r="P342" s="67"/>
      <c r="Q342" s="131" t="s">
        <v>180</v>
      </c>
    </row>
    <row r="343" spans="1:24" ht="15" customHeight="1" x14ac:dyDescent="0.25">
      <c r="A343" s="67" t="s">
        <v>1151</v>
      </c>
      <c r="B343" s="68" t="s">
        <v>152</v>
      </c>
      <c r="C343" s="67" t="s">
        <v>48</v>
      </c>
      <c r="D343" s="69" t="s">
        <v>152</v>
      </c>
      <c r="E343" s="67" t="s">
        <v>1181</v>
      </c>
      <c r="F343" s="67" t="s">
        <v>1182</v>
      </c>
      <c r="G343" s="70"/>
      <c r="H343" s="67" t="s">
        <v>1183</v>
      </c>
      <c r="I343" s="67"/>
      <c r="J343" s="67"/>
      <c r="K343" s="67" t="s">
        <v>429</v>
      </c>
      <c r="L343" s="130">
        <v>5</v>
      </c>
      <c r="M343" s="70">
        <v>99999</v>
      </c>
      <c r="N343" s="137"/>
      <c r="O343" s="67"/>
      <c r="P343" s="67"/>
      <c r="Q343" s="131" t="s">
        <v>180</v>
      </c>
    </row>
    <row r="344" spans="1:24" ht="15" customHeight="1" x14ac:dyDescent="0.25">
      <c r="A344" s="67" t="s">
        <v>1151</v>
      </c>
      <c r="B344" s="68" t="s">
        <v>152</v>
      </c>
      <c r="C344" s="67" t="s">
        <v>48</v>
      </c>
      <c r="D344" s="69" t="s">
        <v>156</v>
      </c>
      <c r="E344" s="67" t="s">
        <v>1184</v>
      </c>
      <c r="F344" s="67" t="s">
        <v>1185</v>
      </c>
      <c r="G344" s="70"/>
      <c r="H344" s="67" t="s">
        <v>1186</v>
      </c>
      <c r="I344" s="67"/>
      <c r="J344" s="67"/>
      <c r="K344" s="67" t="s">
        <v>85</v>
      </c>
      <c r="L344" s="130">
        <v>1</v>
      </c>
      <c r="M344" s="70" t="s">
        <v>99</v>
      </c>
      <c r="N344" s="137" t="s">
        <v>1187</v>
      </c>
      <c r="O344" s="67"/>
      <c r="P344" s="67"/>
      <c r="Q344" s="131" t="s">
        <v>150</v>
      </c>
    </row>
    <row r="345" spans="1:24" ht="15" customHeight="1" x14ac:dyDescent="0.25">
      <c r="A345" s="67" t="s">
        <v>1151</v>
      </c>
      <c r="B345" s="68" t="s">
        <v>152</v>
      </c>
      <c r="C345" s="67" t="s">
        <v>48</v>
      </c>
      <c r="D345" s="69" t="s">
        <v>161</v>
      </c>
      <c r="E345" s="67" t="s">
        <v>1188</v>
      </c>
      <c r="F345" s="67" t="s">
        <v>1189</v>
      </c>
      <c r="G345" s="70"/>
      <c r="H345" s="67" t="s">
        <v>1190</v>
      </c>
      <c r="I345" s="67"/>
      <c r="J345" s="67"/>
      <c r="K345" s="67" t="s">
        <v>111</v>
      </c>
      <c r="L345" s="130">
        <v>10</v>
      </c>
      <c r="M345" s="70">
        <v>9999999999</v>
      </c>
      <c r="N345" s="137"/>
      <c r="O345" s="67"/>
      <c r="P345" s="67"/>
      <c r="Q345" s="131" t="s">
        <v>180</v>
      </c>
    </row>
    <row r="346" spans="1:24" ht="15" customHeight="1" x14ac:dyDescent="0.25">
      <c r="A346" s="67" t="s">
        <v>1151</v>
      </c>
      <c r="B346" s="68" t="s">
        <v>152</v>
      </c>
      <c r="C346" s="67" t="s">
        <v>48</v>
      </c>
      <c r="D346" s="69" t="s">
        <v>218</v>
      </c>
      <c r="E346" s="67" t="s">
        <v>1191</v>
      </c>
      <c r="F346" s="67" t="s">
        <v>1192</v>
      </c>
      <c r="G346" s="70"/>
      <c r="H346" s="67" t="s">
        <v>1193</v>
      </c>
      <c r="I346" s="67"/>
      <c r="J346" s="67"/>
      <c r="K346" s="67" t="s">
        <v>111</v>
      </c>
      <c r="L346" s="130">
        <v>5</v>
      </c>
      <c r="M346" s="70">
        <v>99999</v>
      </c>
      <c r="N346" s="137"/>
      <c r="O346" s="67"/>
      <c r="P346" s="67"/>
      <c r="Q346" s="131" t="s">
        <v>180</v>
      </c>
    </row>
    <row r="347" spans="1:24" ht="15" customHeight="1" x14ac:dyDescent="0.25">
      <c r="A347" s="67" t="s">
        <v>1151</v>
      </c>
      <c r="B347" s="68" t="s">
        <v>152</v>
      </c>
      <c r="C347" s="67" t="s">
        <v>48</v>
      </c>
      <c r="D347" s="69" t="s">
        <v>224</v>
      </c>
      <c r="E347" s="67" t="s">
        <v>1194</v>
      </c>
      <c r="F347" s="67" t="s">
        <v>1195</v>
      </c>
      <c r="G347" s="70"/>
      <c r="H347" s="67" t="s">
        <v>1196</v>
      </c>
      <c r="I347" s="67"/>
      <c r="J347" s="67"/>
      <c r="K347" s="67" t="s">
        <v>85</v>
      </c>
      <c r="L347" s="130">
        <v>1</v>
      </c>
      <c r="M347" s="70" t="s">
        <v>99</v>
      </c>
      <c r="N347" s="137" t="s">
        <v>1187</v>
      </c>
      <c r="O347" s="67"/>
      <c r="P347" s="67"/>
      <c r="Q347" s="131" t="s">
        <v>150</v>
      </c>
    </row>
    <row r="348" spans="1:24" ht="15" customHeight="1" x14ac:dyDescent="0.25">
      <c r="A348" s="67" t="s">
        <v>1151</v>
      </c>
      <c r="B348" s="68" t="s">
        <v>152</v>
      </c>
      <c r="C348" s="67" t="s">
        <v>48</v>
      </c>
      <c r="D348" s="69" t="s">
        <v>230</v>
      </c>
      <c r="E348" s="67" t="s">
        <v>1197</v>
      </c>
      <c r="F348" s="67" t="s">
        <v>1198</v>
      </c>
      <c r="G348" s="70"/>
      <c r="H348" s="67" t="s">
        <v>1199</v>
      </c>
      <c r="I348" s="67"/>
      <c r="J348" s="67"/>
      <c r="K348" s="67" t="s">
        <v>125</v>
      </c>
      <c r="L348" s="130">
        <v>35</v>
      </c>
      <c r="M348" s="70" t="s">
        <v>45</v>
      </c>
      <c r="N348" s="137"/>
      <c r="O348" s="67"/>
      <c r="P348" s="67"/>
      <c r="Q348" s="131" t="s">
        <v>180</v>
      </c>
    </row>
    <row r="349" spans="1:24" ht="15" customHeight="1" x14ac:dyDescent="0.25">
      <c r="A349" s="67" t="s">
        <v>1151</v>
      </c>
      <c r="B349" s="68" t="s">
        <v>152</v>
      </c>
      <c r="C349" s="67" t="s">
        <v>48</v>
      </c>
      <c r="D349" s="69" t="s">
        <v>236</v>
      </c>
      <c r="E349" s="67" t="s">
        <v>1200</v>
      </c>
      <c r="F349" s="67" t="s">
        <v>1201</v>
      </c>
      <c r="G349" s="70"/>
      <c r="H349" s="67" t="s">
        <v>1202</v>
      </c>
      <c r="I349" s="67"/>
      <c r="J349" s="67"/>
      <c r="K349" s="67" t="s">
        <v>125</v>
      </c>
      <c r="L349" s="130">
        <v>35</v>
      </c>
      <c r="M349" s="70" t="s">
        <v>45</v>
      </c>
      <c r="N349" s="137"/>
      <c r="O349" s="67"/>
      <c r="P349" s="67"/>
      <c r="Q349" s="131" t="s">
        <v>180</v>
      </c>
    </row>
    <row r="350" spans="1:24" ht="15" customHeight="1" x14ac:dyDescent="0.25">
      <c r="A350" s="67" t="s">
        <v>1151</v>
      </c>
      <c r="B350" s="68" t="s">
        <v>152</v>
      </c>
      <c r="C350" s="67" t="s">
        <v>48</v>
      </c>
      <c r="D350" s="69" t="s">
        <v>241</v>
      </c>
      <c r="E350" s="67" t="s">
        <v>1203</v>
      </c>
      <c r="F350" s="67" t="s">
        <v>1204</v>
      </c>
      <c r="H350" s="67" t="s">
        <v>1205</v>
      </c>
      <c r="K350" s="67" t="s">
        <v>125</v>
      </c>
      <c r="L350" s="130">
        <v>20</v>
      </c>
      <c r="M350" s="70" t="s">
        <v>45</v>
      </c>
      <c r="N350" s="137"/>
      <c r="Q350" s="131" t="s">
        <v>180</v>
      </c>
    </row>
    <row r="351" spans="1:24" ht="15" customHeight="1" x14ac:dyDescent="0.25">
      <c r="A351" s="67" t="s">
        <v>1151</v>
      </c>
      <c r="B351" s="68" t="s">
        <v>152</v>
      </c>
      <c r="C351" s="67" t="s">
        <v>48</v>
      </c>
      <c r="D351" s="69" t="s">
        <v>251</v>
      </c>
      <c r="E351" s="67" t="s">
        <v>1206</v>
      </c>
      <c r="F351" s="67" t="s">
        <v>1207</v>
      </c>
      <c r="H351" s="67" t="s">
        <v>1208</v>
      </c>
      <c r="K351" s="67" t="s">
        <v>160</v>
      </c>
      <c r="L351" s="130">
        <v>2</v>
      </c>
      <c r="M351" s="70" t="s">
        <v>105</v>
      </c>
      <c r="N351" s="137" t="s">
        <v>648</v>
      </c>
      <c r="Q351" s="131" t="s">
        <v>180</v>
      </c>
    </row>
    <row r="352" spans="1:24" ht="15" customHeight="1" x14ac:dyDescent="0.25">
      <c r="A352" s="138" t="s">
        <v>1151</v>
      </c>
      <c r="B352" s="139" t="s">
        <v>152</v>
      </c>
      <c r="C352" s="138" t="s">
        <v>48</v>
      </c>
      <c r="D352" s="140" t="s">
        <v>258</v>
      </c>
      <c r="E352" s="138" t="s">
        <v>1209</v>
      </c>
      <c r="F352" s="138" t="s">
        <v>1210</v>
      </c>
      <c r="G352" s="145"/>
      <c r="H352" s="138" t="s">
        <v>1211</v>
      </c>
      <c r="I352" s="145"/>
      <c r="J352" s="145"/>
      <c r="K352" s="138" t="s">
        <v>160</v>
      </c>
      <c r="L352" s="142">
        <v>9</v>
      </c>
      <c r="M352" s="141" t="s">
        <v>228</v>
      </c>
      <c r="N352" s="143"/>
      <c r="O352" s="145"/>
      <c r="P352" s="145"/>
      <c r="Q352" s="144" t="s">
        <v>180</v>
      </c>
    </row>
    <row r="353" spans="1:17" ht="15" customHeight="1" thickBot="1" x14ac:dyDescent="0.3"/>
    <row r="354" spans="1:17" ht="15" customHeight="1" thickBot="1" x14ac:dyDescent="0.3">
      <c r="A354" s="245" t="s">
        <v>1212</v>
      </c>
      <c r="B354" s="246" t="s">
        <v>156</v>
      </c>
      <c r="C354" s="245" t="s">
        <v>1212</v>
      </c>
      <c r="D354" s="245" t="s">
        <v>80</v>
      </c>
      <c r="E354" s="245" t="s">
        <v>60</v>
      </c>
      <c r="F354" s="247" t="s">
        <v>61</v>
      </c>
      <c r="G354" s="245" t="b">
        <v>0</v>
      </c>
      <c r="H354" s="245" t="s">
        <v>63</v>
      </c>
      <c r="I354" s="245"/>
      <c r="J354" s="245"/>
      <c r="K354" s="245"/>
      <c r="L354" s="245"/>
      <c r="M354" s="248"/>
      <c r="N354" s="245"/>
      <c r="O354" s="245"/>
      <c r="P354" s="245"/>
      <c r="Q354" s="249"/>
    </row>
    <row r="355" spans="1:17" s="270" customFormat="1" ht="15" customHeight="1" x14ac:dyDescent="0.25">
      <c r="A355" s="258" t="s">
        <v>1212</v>
      </c>
      <c r="B355" s="259" t="s">
        <v>156</v>
      </c>
      <c r="C355" s="260" t="s">
        <v>1212</v>
      </c>
      <c r="D355" s="261" t="s">
        <v>81</v>
      </c>
      <c r="E355" s="262" t="s">
        <v>1213</v>
      </c>
      <c r="F355" s="262" t="s">
        <v>1214</v>
      </c>
      <c r="G355" s="263"/>
      <c r="H355" s="264" t="s">
        <v>1215</v>
      </c>
      <c r="I355" s="260"/>
      <c r="J355" s="260"/>
      <c r="K355" s="265" t="s">
        <v>160</v>
      </c>
      <c r="L355" s="266">
        <v>3</v>
      </c>
      <c r="M355" s="267" t="s">
        <v>255</v>
      </c>
      <c r="N355" s="268" t="s">
        <v>1213</v>
      </c>
      <c r="O355" s="260"/>
      <c r="P355" s="260"/>
      <c r="Q355" s="269" t="s">
        <v>72</v>
      </c>
    </row>
    <row r="356" spans="1:17" s="270" customFormat="1" ht="15" customHeight="1" x14ac:dyDescent="0.25">
      <c r="A356" s="258" t="s">
        <v>1212</v>
      </c>
      <c r="B356" s="259" t="s">
        <v>156</v>
      </c>
      <c r="C356" s="271" t="s">
        <v>1212</v>
      </c>
      <c r="D356" s="272" t="s">
        <v>90</v>
      </c>
      <c r="E356" s="258" t="s">
        <v>1216</v>
      </c>
      <c r="F356" s="258" t="s">
        <v>1153</v>
      </c>
      <c r="G356" s="273"/>
      <c r="H356" s="274" t="s">
        <v>1217</v>
      </c>
      <c r="I356" s="271"/>
      <c r="J356" s="271"/>
      <c r="K356" s="275" t="s">
        <v>85</v>
      </c>
      <c r="L356" s="276">
        <v>3</v>
      </c>
      <c r="M356" s="277">
        <v>999</v>
      </c>
      <c r="N356" s="268" t="s">
        <v>1070</v>
      </c>
      <c r="O356" s="271"/>
      <c r="P356" s="271"/>
      <c r="Q356" s="278" t="s">
        <v>72</v>
      </c>
    </row>
    <row r="357" spans="1:17" s="270" customFormat="1" ht="15" customHeight="1" x14ac:dyDescent="0.25">
      <c r="A357" s="258" t="s">
        <v>1212</v>
      </c>
      <c r="B357" s="259" t="s">
        <v>156</v>
      </c>
      <c r="C357" s="271" t="s">
        <v>1212</v>
      </c>
      <c r="D357" s="272" t="s">
        <v>95</v>
      </c>
      <c r="E357" s="258" t="s">
        <v>82</v>
      </c>
      <c r="F357" s="258" t="s">
        <v>83</v>
      </c>
      <c r="G357" s="273"/>
      <c r="H357" s="274" t="s">
        <v>84</v>
      </c>
      <c r="I357" s="271"/>
      <c r="J357" s="271"/>
      <c r="K357" s="275" t="s">
        <v>85</v>
      </c>
      <c r="L357" s="276">
        <v>4</v>
      </c>
      <c r="M357" s="277">
        <v>9999</v>
      </c>
      <c r="N357" s="268" t="s">
        <v>86</v>
      </c>
      <c r="O357" s="271"/>
      <c r="P357" s="271"/>
      <c r="Q357" s="279" t="s">
        <v>150</v>
      </c>
    </row>
    <row r="358" spans="1:17" s="270" customFormat="1" ht="15" customHeight="1" x14ac:dyDescent="0.25">
      <c r="A358" s="258" t="s">
        <v>1212</v>
      </c>
      <c r="B358" s="259" t="s">
        <v>156</v>
      </c>
      <c r="C358" s="271" t="s">
        <v>1212</v>
      </c>
      <c r="D358" s="272" t="s">
        <v>101</v>
      </c>
      <c r="E358" s="258" t="s">
        <v>1218</v>
      </c>
      <c r="F358" s="258" t="s">
        <v>1219</v>
      </c>
      <c r="G358" s="273"/>
      <c r="H358" s="280" t="s">
        <v>1220</v>
      </c>
      <c r="I358" s="271"/>
      <c r="J358" s="271"/>
      <c r="K358" s="275" t="s">
        <v>111</v>
      </c>
      <c r="L358" s="276">
        <v>3</v>
      </c>
      <c r="M358" s="277">
        <v>999</v>
      </c>
      <c r="N358" s="268"/>
      <c r="O358" s="271"/>
      <c r="P358" s="271"/>
      <c r="Q358" s="278" t="s">
        <v>180</v>
      </c>
    </row>
    <row r="359" spans="1:17" s="270" customFormat="1" ht="15" customHeight="1" x14ac:dyDescent="0.25">
      <c r="A359" s="258" t="s">
        <v>1212</v>
      </c>
      <c r="B359" s="259" t="s">
        <v>156</v>
      </c>
      <c r="C359" s="271" t="s">
        <v>1212</v>
      </c>
      <c r="D359" s="272" t="s">
        <v>107</v>
      </c>
      <c r="E359" s="258" t="s">
        <v>1221</v>
      </c>
      <c r="F359" s="258" t="s">
        <v>1222</v>
      </c>
      <c r="G359" s="273"/>
      <c r="H359" s="280" t="s">
        <v>13385</v>
      </c>
      <c r="I359" s="271"/>
      <c r="J359" s="271"/>
      <c r="K359" s="275" t="s">
        <v>85</v>
      </c>
      <c r="L359" s="276">
        <v>3</v>
      </c>
      <c r="M359" s="277">
        <v>999</v>
      </c>
      <c r="N359" s="268" t="s">
        <v>1223</v>
      </c>
      <c r="O359" s="271"/>
      <c r="P359" s="271"/>
      <c r="Q359" s="278" t="s">
        <v>72</v>
      </c>
    </row>
    <row r="360" spans="1:17" s="270" customFormat="1" ht="15" customHeight="1" x14ac:dyDescent="0.25">
      <c r="A360" s="258" t="s">
        <v>1212</v>
      </c>
      <c r="B360" s="259" t="s">
        <v>156</v>
      </c>
      <c r="C360" s="271" t="s">
        <v>1212</v>
      </c>
      <c r="D360" s="272" t="s">
        <v>116</v>
      </c>
      <c r="E360" s="258" t="s">
        <v>1224</v>
      </c>
      <c r="F360" s="258" t="s">
        <v>1225</v>
      </c>
      <c r="G360" s="273"/>
      <c r="H360" s="280" t="s">
        <v>13386</v>
      </c>
      <c r="I360" s="271"/>
      <c r="J360" s="271"/>
      <c r="K360" s="275" t="s">
        <v>85</v>
      </c>
      <c r="L360" s="276">
        <v>6</v>
      </c>
      <c r="M360" s="277">
        <v>999999</v>
      </c>
      <c r="N360" s="268" t="s">
        <v>1224</v>
      </c>
      <c r="O360" s="271"/>
      <c r="P360" s="271"/>
      <c r="Q360" s="278" t="s">
        <v>150</v>
      </c>
    </row>
    <row r="361" spans="1:17" s="270" customFormat="1" ht="15" customHeight="1" x14ac:dyDescent="0.25">
      <c r="A361" s="258" t="s">
        <v>1212</v>
      </c>
      <c r="B361" s="259" t="s">
        <v>156</v>
      </c>
      <c r="C361" s="271" t="s">
        <v>1212</v>
      </c>
      <c r="D361" s="272" t="s">
        <v>121</v>
      </c>
      <c r="E361" s="258" t="s">
        <v>1226</v>
      </c>
      <c r="F361" s="258" t="s">
        <v>1227</v>
      </c>
      <c r="G361" s="273"/>
      <c r="H361" s="280" t="s">
        <v>13387</v>
      </c>
      <c r="I361" s="271"/>
      <c r="J361" s="271"/>
      <c r="K361" s="275" t="s">
        <v>85</v>
      </c>
      <c r="L361" s="276">
        <v>3</v>
      </c>
      <c r="M361" s="277">
        <v>999</v>
      </c>
      <c r="N361" s="268" t="s">
        <v>1226</v>
      </c>
      <c r="O361" s="271"/>
      <c r="P361" s="271"/>
      <c r="Q361" s="278" t="s">
        <v>150</v>
      </c>
    </row>
    <row r="362" spans="1:17" s="270" customFormat="1" ht="15" customHeight="1" x14ac:dyDescent="0.25">
      <c r="A362" s="258" t="s">
        <v>1212</v>
      </c>
      <c r="B362" s="259" t="s">
        <v>156</v>
      </c>
      <c r="C362" s="271" t="s">
        <v>1212</v>
      </c>
      <c r="D362" s="272" t="s">
        <v>127</v>
      </c>
      <c r="E362" s="258" t="s">
        <v>1228</v>
      </c>
      <c r="F362" s="258" t="s">
        <v>1229</v>
      </c>
      <c r="G362" s="273"/>
      <c r="H362" s="280" t="s">
        <v>13388</v>
      </c>
      <c r="I362" s="271"/>
      <c r="J362" s="271"/>
      <c r="K362" s="275" t="s">
        <v>85</v>
      </c>
      <c r="L362" s="276">
        <v>3</v>
      </c>
      <c r="M362" s="277">
        <v>999</v>
      </c>
      <c r="N362" s="268" t="s">
        <v>1228</v>
      </c>
      <c r="O362" s="271"/>
      <c r="P362" s="271"/>
      <c r="Q362" s="278" t="s">
        <v>150</v>
      </c>
    </row>
    <row r="363" spans="1:17" s="270" customFormat="1" ht="15" customHeight="1" x14ac:dyDescent="0.25">
      <c r="A363" s="258" t="s">
        <v>1212</v>
      </c>
      <c r="B363" s="259" t="s">
        <v>156</v>
      </c>
      <c r="C363" s="271" t="s">
        <v>1212</v>
      </c>
      <c r="D363" s="272" t="s">
        <v>132</v>
      </c>
      <c r="E363" s="258" t="s">
        <v>1230</v>
      </c>
      <c r="F363" s="258" t="s">
        <v>1231</v>
      </c>
      <c r="G363" s="273"/>
      <c r="H363" s="280" t="s">
        <v>1232</v>
      </c>
      <c r="I363" s="271"/>
      <c r="J363" s="271"/>
      <c r="K363" s="275" t="s">
        <v>111</v>
      </c>
      <c r="L363" s="276">
        <v>4</v>
      </c>
      <c r="M363" s="277">
        <v>9999</v>
      </c>
      <c r="N363" s="268"/>
      <c r="O363" s="271"/>
      <c r="P363" s="271"/>
      <c r="Q363" s="278" t="s">
        <v>72</v>
      </c>
    </row>
    <row r="364" spans="1:17" s="270" customFormat="1" ht="15" customHeight="1" x14ac:dyDescent="0.25">
      <c r="A364" s="281" t="s">
        <v>1212</v>
      </c>
      <c r="B364" s="282" t="s">
        <v>156</v>
      </c>
      <c r="C364" s="283" t="s">
        <v>1212</v>
      </c>
      <c r="D364" s="284" t="s">
        <v>136</v>
      </c>
      <c r="E364" s="281" t="s">
        <v>1233</v>
      </c>
      <c r="F364" s="281" t="s">
        <v>1234</v>
      </c>
      <c r="G364" s="285"/>
      <c r="H364" s="286" t="s">
        <v>1235</v>
      </c>
      <c r="I364" s="283"/>
      <c r="J364" s="283"/>
      <c r="K364" s="287" t="s">
        <v>111</v>
      </c>
      <c r="L364" s="288">
        <v>9</v>
      </c>
      <c r="M364" s="289">
        <v>999999999</v>
      </c>
      <c r="N364" s="290"/>
      <c r="O364" s="283"/>
      <c r="P364" s="283"/>
      <c r="Q364" s="291" t="s">
        <v>72</v>
      </c>
    </row>
    <row r="365" spans="1:17" ht="15" customHeight="1" thickBot="1" x14ac:dyDescent="0.3"/>
    <row r="366" spans="1:17" s="106" customFormat="1" ht="15" customHeight="1" thickBot="1" x14ac:dyDescent="0.3">
      <c r="A366" s="21" t="s">
        <v>1236</v>
      </c>
      <c r="B366" s="86" t="s">
        <v>161</v>
      </c>
      <c r="C366" s="21" t="s">
        <v>1236</v>
      </c>
      <c r="D366" s="21" t="s">
        <v>80</v>
      </c>
      <c r="E366" s="21" t="s">
        <v>60</v>
      </c>
      <c r="F366" s="87" t="s">
        <v>61</v>
      </c>
      <c r="G366" s="21" t="b">
        <v>0</v>
      </c>
      <c r="H366" s="21" t="s">
        <v>63</v>
      </c>
      <c r="I366" s="21"/>
      <c r="J366" s="21"/>
      <c r="K366" s="21"/>
      <c r="L366" s="21"/>
      <c r="M366" s="88"/>
      <c r="N366" s="21"/>
      <c r="O366" s="21"/>
      <c r="P366" s="21"/>
      <c r="Q366" s="89"/>
    </row>
    <row r="367" spans="1:17" s="180" customFormat="1" ht="15" customHeight="1" x14ac:dyDescent="0.25">
      <c r="A367" s="180" t="s">
        <v>1236</v>
      </c>
      <c r="B367" s="146" t="s">
        <v>161</v>
      </c>
      <c r="C367" s="147" t="s">
        <v>1236</v>
      </c>
      <c r="D367" s="148" t="s">
        <v>81</v>
      </c>
      <c r="E367" s="181" t="s">
        <v>1213</v>
      </c>
      <c r="F367" s="181" t="s">
        <v>1214</v>
      </c>
      <c r="G367" s="149"/>
      <c r="H367" s="150" t="s">
        <v>1237</v>
      </c>
      <c r="I367" s="147"/>
      <c r="J367" s="147"/>
      <c r="K367" s="182" t="s">
        <v>85</v>
      </c>
      <c r="L367" s="183">
        <v>3</v>
      </c>
      <c r="M367" s="184" t="s">
        <v>255</v>
      </c>
      <c r="N367" s="256" t="s">
        <v>1213</v>
      </c>
      <c r="O367" s="147"/>
      <c r="P367" s="147"/>
      <c r="Q367" s="185" t="s">
        <v>72</v>
      </c>
    </row>
    <row r="368" spans="1:17" s="180" customFormat="1" ht="15" customHeight="1" x14ac:dyDescent="0.25">
      <c r="A368" s="180" t="s">
        <v>1236</v>
      </c>
      <c r="B368" s="146" t="s">
        <v>161</v>
      </c>
      <c r="C368" s="151" t="s">
        <v>1236</v>
      </c>
      <c r="D368" s="152" t="s">
        <v>90</v>
      </c>
      <c r="E368" s="180" t="s">
        <v>1216</v>
      </c>
      <c r="F368" s="180" t="s">
        <v>1153</v>
      </c>
      <c r="G368" s="153"/>
      <c r="H368" s="154" t="s">
        <v>1238</v>
      </c>
      <c r="I368" s="151"/>
      <c r="J368" s="151"/>
      <c r="K368" s="186" t="s">
        <v>85</v>
      </c>
      <c r="L368" s="117">
        <v>3</v>
      </c>
      <c r="M368" s="113">
        <v>999</v>
      </c>
      <c r="N368" s="256" t="s">
        <v>1070</v>
      </c>
      <c r="O368" s="151"/>
      <c r="P368" s="151"/>
      <c r="Q368" s="187" t="s">
        <v>72</v>
      </c>
    </row>
    <row r="369" spans="1:17" s="180" customFormat="1" ht="15" customHeight="1" x14ac:dyDescent="0.25">
      <c r="A369" s="180" t="s">
        <v>1236</v>
      </c>
      <c r="B369" s="146" t="s">
        <v>161</v>
      </c>
      <c r="C369" s="151" t="s">
        <v>1236</v>
      </c>
      <c r="D369" s="152" t="s">
        <v>95</v>
      </c>
      <c r="E369" s="180" t="s">
        <v>82</v>
      </c>
      <c r="F369" s="180" t="s">
        <v>83</v>
      </c>
      <c r="G369" s="153"/>
      <c r="H369" s="154" t="s">
        <v>1239</v>
      </c>
      <c r="I369" s="151"/>
      <c r="J369" s="151"/>
      <c r="K369" s="186" t="s">
        <v>85</v>
      </c>
      <c r="L369" s="117">
        <v>4</v>
      </c>
      <c r="M369" s="113">
        <v>9999</v>
      </c>
      <c r="N369" s="256" t="s">
        <v>86</v>
      </c>
      <c r="O369" s="151"/>
      <c r="P369" s="151"/>
      <c r="Q369" s="187" t="s">
        <v>180</v>
      </c>
    </row>
    <row r="370" spans="1:17" s="180" customFormat="1" ht="15" customHeight="1" x14ac:dyDescent="0.25">
      <c r="A370" s="180" t="s">
        <v>1236</v>
      </c>
      <c r="B370" s="146" t="s">
        <v>161</v>
      </c>
      <c r="C370" s="151" t="s">
        <v>1236</v>
      </c>
      <c r="D370" s="152" t="s">
        <v>101</v>
      </c>
      <c r="E370" s="180" t="s">
        <v>1218</v>
      </c>
      <c r="F370" s="180" t="s">
        <v>1219</v>
      </c>
      <c r="G370" s="153"/>
      <c r="H370" s="154" t="s">
        <v>1220</v>
      </c>
      <c r="I370" s="151"/>
      <c r="J370" s="151"/>
      <c r="K370" s="186" t="s">
        <v>160</v>
      </c>
      <c r="L370" s="117">
        <v>3</v>
      </c>
      <c r="M370" s="113">
        <v>999</v>
      </c>
      <c r="N370" s="256"/>
      <c r="O370" s="151"/>
      <c r="P370" s="151"/>
      <c r="Q370" s="187" t="s">
        <v>180</v>
      </c>
    </row>
    <row r="371" spans="1:17" s="180" customFormat="1" ht="15" customHeight="1" x14ac:dyDescent="0.25">
      <c r="A371" s="180" t="s">
        <v>1236</v>
      </c>
      <c r="B371" s="146" t="s">
        <v>161</v>
      </c>
      <c r="C371" s="151" t="s">
        <v>1236</v>
      </c>
      <c r="D371" s="152" t="s">
        <v>107</v>
      </c>
      <c r="E371" s="180" t="s">
        <v>1221</v>
      </c>
      <c r="F371" s="180" t="s">
        <v>1222</v>
      </c>
      <c r="G371" s="153"/>
      <c r="H371" s="155" t="s">
        <v>1240</v>
      </c>
      <c r="I371" s="151"/>
      <c r="J371" s="151"/>
      <c r="K371" s="186" t="s">
        <v>85</v>
      </c>
      <c r="L371" s="117">
        <v>3</v>
      </c>
      <c r="M371" s="113">
        <v>999</v>
      </c>
      <c r="N371" s="256" t="s">
        <v>1223</v>
      </c>
      <c r="O371" s="151"/>
      <c r="P371" s="151"/>
      <c r="Q371" s="187" t="s">
        <v>72</v>
      </c>
    </row>
    <row r="372" spans="1:17" s="180" customFormat="1" ht="15" customHeight="1" x14ac:dyDescent="0.25">
      <c r="A372" s="180" t="s">
        <v>1236</v>
      </c>
      <c r="B372" s="146" t="s">
        <v>161</v>
      </c>
      <c r="C372" s="151" t="s">
        <v>1236</v>
      </c>
      <c r="D372" s="152" t="s">
        <v>116</v>
      </c>
      <c r="E372" s="180" t="s">
        <v>1224</v>
      </c>
      <c r="F372" s="180" t="s">
        <v>1225</v>
      </c>
      <c r="G372" s="153"/>
      <c r="H372" s="155" t="s">
        <v>13382</v>
      </c>
      <c r="I372" s="151"/>
      <c r="J372" s="151"/>
      <c r="K372" s="186" t="s">
        <v>85</v>
      </c>
      <c r="L372" s="117">
        <v>6</v>
      </c>
      <c r="M372" s="113">
        <v>999999</v>
      </c>
      <c r="N372" s="256" t="s">
        <v>1224</v>
      </c>
      <c r="O372" s="151"/>
      <c r="P372" s="151"/>
      <c r="Q372" s="255" t="s">
        <v>150</v>
      </c>
    </row>
    <row r="373" spans="1:17" s="180" customFormat="1" ht="15" customHeight="1" x14ac:dyDescent="0.25">
      <c r="A373" s="180" t="s">
        <v>1236</v>
      </c>
      <c r="B373" s="146" t="s">
        <v>161</v>
      </c>
      <c r="C373" s="151" t="s">
        <v>1236</v>
      </c>
      <c r="D373" s="152" t="s">
        <v>121</v>
      </c>
      <c r="E373" s="180" t="s">
        <v>1226</v>
      </c>
      <c r="F373" s="180" t="s">
        <v>1227</v>
      </c>
      <c r="G373" s="153"/>
      <c r="H373" s="155" t="s">
        <v>1241</v>
      </c>
      <c r="I373" s="151"/>
      <c r="J373" s="151"/>
      <c r="K373" s="186" t="s">
        <v>85</v>
      </c>
      <c r="L373" s="117">
        <v>3</v>
      </c>
      <c r="M373" s="113">
        <v>999</v>
      </c>
      <c r="N373" s="256" t="s">
        <v>1226</v>
      </c>
      <c r="O373" s="151"/>
      <c r="P373" s="151"/>
      <c r="Q373" s="187" t="s">
        <v>150</v>
      </c>
    </row>
    <row r="374" spans="1:17" s="180" customFormat="1" ht="15" customHeight="1" x14ac:dyDescent="0.25">
      <c r="A374" s="180" t="s">
        <v>1236</v>
      </c>
      <c r="B374" s="146" t="s">
        <v>161</v>
      </c>
      <c r="C374" s="151" t="s">
        <v>1236</v>
      </c>
      <c r="D374" s="152" t="s">
        <v>127</v>
      </c>
      <c r="E374" s="180" t="s">
        <v>1228</v>
      </c>
      <c r="F374" s="180" t="s">
        <v>1229</v>
      </c>
      <c r="G374" s="153"/>
      <c r="H374" s="155" t="s">
        <v>1242</v>
      </c>
      <c r="I374" s="151"/>
      <c r="J374" s="151"/>
      <c r="K374" s="186" t="s">
        <v>85</v>
      </c>
      <c r="L374" s="117">
        <v>3</v>
      </c>
      <c r="M374" s="113">
        <v>999</v>
      </c>
      <c r="N374" s="256" t="s">
        <v>1228</v>
      </c>
      <c r="O374" s="151"/>
      <c r="P374" s="151"/>
      <c r="Q374" s="187" t="s">
        <v>150</v>
      </c>
    </row>
    <row r="375" spans="1:17" s="180" customFormat="1" ht="15" customHeight="1" x14ac:dyDescent="0.25">
      <c r="A375" s="180" t="s">
        <v>1236</v>
      </c>
      <c r="B375" s="146" t="s">
        <v>161</v>
      </c>
      <c r="C375" s="151" t="s">
        <v>1236</v>
      </c>
      <c r="D375" s="152" t="s">
        <v>132</v>
      </c>
      <c r="E375" s="180" t="s">
        <v>1230</v>
      </c>
      <c r="F375" s="180" t="s">
        <v>1231</v>
      </c>
      <c r="G375" s="153"/>
      <c r="H375" s="155" t="s">
        <v>1232</v>
      </c>
      <c r="I375" s="151"/>
      <c r="J375" s="151"/>
      <c r="K375" s="186" t="s">
        <v>111</v>
      </c>
      <c r="L375" s="117">
        <v>4</v>
      </c>
      <c r="M375" s="113">
        <v>9999</v>
      </c>
      <c r="N375" s="256"/>
      <c r="O375" s="151"/>
      <c r="P375" s="151"/>
      <c r="Q375" s="187" t="s">
        <v>72</v>
      </c>
    </row>
    <row r="376" spans="1:17" s="180" customFormat="1" ht="15" customHeight="1" x14ac:dyDescent="0.25">
      <c r="A376" s="180" t="s">
        <v>1236</v>
      </c>
      <c r="B376" s="146" t="s">
        <v>161</v>
      </c>
      <c r="C376" s="151" t="s">
        <v>1236</v>
      </c>
      <c r="D376" s="152" t="s">
        <v>136</v>
      </c>
      <c r="E376" s="180" t="s">
        <v>1233</v>
      </c>
      <c r="F376" s="180" t="s">
        <v>1234</v>
      </c>
      <c r="G376" s="153"/>
      <c r="H376" s="155" t="s">
        <v>1235</v>
      </c>
      <c r="I376" s="151"/>
      <c r="J376" s="151"/>
      <c r="K376" s="186" t="s">
        <v>111</v>
      </c>
      <c r="L376" s="117">
        <v>9</v>
      </c>
      <c r="M376" s="113">
        <v>999999999</v>
      </c>
      <c r="N376" s="256"/>
      <c r="O376" s="151"/>
      <c r="P376" s="151"/>
      <c r="Q376" s="187" t="s">
        <v>72</v>
      </c>
    </row>
    <row r="377" spans="1:17" s="180" customFormat="1" ht="15" customHeight="1" x14ac:dyDescent="0.25">
      <c r="A377" s="180" t="s">
        <v>1236</v>
      </c>
      <c r="B377" s="146" t="s">
        <v>161</v>
      </c>
      <c r="C377" s="151" t="s">
        <v>1236</v>
      </c>
      <c r="D377" s="152" t="s">
        <v>142</v>
      </c>
      <c r="E377" s="180" t="s">
        <v>1243</v>
      </c>
      <c r="F377" s="180" t="s">
        <v>1244</v>
      </c>
      <c r="H377" s="155" t="s">
        <v>1245</v>
      </c>
      <c r="I377" s="117"/>
      <c r="J377" s="117"/>
      <c r="K377" s="186" t="s">
        <v>140</v>
      </c>
      <c r="L377" s="117">
        <v>10</v>
      </c>
      <c r="M377" s="188" t="s">
        <v>1246</v>
      </c>
      <c r="N377" s="256"/>
      <c r="Q377" s="187" t="s">
        <v>72</v>
      </c>
    </row>
    <row r="378" spans="1:17" s="180" customFormat="1" ht="15" customHeight="1" x14ac:dyDescent="0.25">
      <c r="A378" s="180" t="s">
        <v>1236</v>
      </c>
      <c r="B378" s="146" t="s">
        <v>161</v>
      </c>
      <c r="C378" s="151" t="s">
        <v>1236</v>
      </c>
      <c r="D378" s="152" t="s">
        <v>146</v>
      </c>
      <c r="E378" s="180" t="s">
        <v>1247</v>
      </c>
      <c r="F378" s="180" t="s">
        <v>1248</v>
      </c>
      <c r="H378" s="155" t="s">
        <v>1249</v>
      </c>
      <c r="I378" s="117"/>
      <c r="J378" s="117"/>
      <c r="K378" s="186" t="s">
        <v>125</v>
      </c>
      <c r="L378" s="117">
        <v>30</v>
      </c>
      <c r="M378" s="113"/>
      <c r="N378" s="256"/>
      <c r="Q378" s="187" t="s">
        <v>72</v>
      </c>
    </row>
    <row r="379" spans="1:17" s="180" customFormat="1" ht="15" customHeight="1" x14ac:dyDescent="0.25">
      <c r="A379" s="180" t="s">
        <v>1236</v>
      </c>
      <c r="B379" s="146" t="s">
        <v>161</v>
      </c>
      <c r="C379" s="151" t="s">
        <v>1236</v>
      </c>
      <c r="D379" s="152" t="s">
        <v>152</v>
      </c>
      <c r="E379" s="180" t="s">
        <v>1250</v>
      </c>
      <c r="F379" s="180" t="s">
        <v>1251</v>
      </c>
      <c r="H379" s="155" t="s">
        <v>1252</v>
      </c>
      <c r="I379" s="117"/>
      <c r="J379" s="117"/>
      <c r="K379" s="186" t="s">
        <v>85</v>
      </c>
      <c r="L379" s="117">
        <v>1</v>
      </c>
      <c r="M379" s="188" t="s">
        <v>99</v>
      </c>
      <c r="N379" s="256" t="s">
        <v>195</v>
      </c>
      <c r="Q379" s="187" t="s">
        <v>72</v>
      </c>
    </row>
    <row r="380" spans="1:17" s="180" customFormat="1" ht="15" customHeight="1" x14ac:dyDescent="0.25">
      <c r="A380" s="180" t="s">
        <v>1236</v>
      </c>
      <c r="B380" s="146" t="s">
        <v>161</v>
      </c>
      <c r="C380" s="151" t="s">
        <v>1236</v>
      </c>
      <c r="D380" s="152" t="s">
        <v>156</v>
      </c>
      <c r="E380" s="180" t="s">
        <v>1253</v>
      </c>
      <c r="F380" s="180" t="s">
        <v>1254</v>
      </c>
      <c r="H380" s="155" t="s">
        <v>1255</v>
      </c>
      <c r="I380" s="117"/>
      <c r="J380" s="117"/>
      <c r="K380" s="186" t="s">
        <v>125</v>
      </c>
      <c r="L380" s="117">
        <v>40</v>
      </c>
      <c r="M380" s="113"/>
      <c r="N380" s="256"/>
      <c r="Q380" s="187" t="s">
        <v>150</v>
      </c>
    </row>
    <row r="381" spans="1:17" s="180" customFormat="1" ht="15" customHeight="1" x14ac:dyDescent="0.25">
      <c r="A381" s="180" t="s">
        <v>1236</v>
      </c>
      <c r="B381" s="146" t="s">
        <v>161</v>
      </c>
      <c r="C381" s="151" t="s">
        <v>1236</v>
      </c>
      <c r="D381" s="152" t="s">
        <v>161</v>
      </c>
      <c r="E381" s="180" t="s">
        <v>1256</v>
      </c>
      <c r="F381" s="180" t="s">
        <v>1257</v>
      </c>
      <c r="H381" s="155" t="s">
        <v>1258</v>
      </c>
      <c r="I381" s="117"/>
      <c r="J381" s="117"/>
      <c r="K381" s="186" t="s">
        <v>125</v>
      </c>
      <c r="L381" s="117">
        <v>30</v>
      </c>
      <c r="M381" s="113"/>
      <c r="N381" s="256"/>
      <c r="Q381" s="187" t="s">
        <v>150</v>
      </c>
    </row>
    <row r="382" spans="1:17" s="180" customFormat="1" ht="15" customHeight="1" x14ac:dyDescent="0.25">
      <c r="A382" s="180" t="s">
        <v>1236</v>
      </c>
      <c r="B382" s="146" t="s">
        <v>161</v>
      </c>
      <c r="C382" s="151" t="s">
        <v>1236</v>
      </c>
      <c r="D382" s="152" t="s">
        <v>218</v>
      </c>
      <c r="E382" s="151" t="s">
        <v>1259</v>
      </c>
      <c r="F382" s="180" t="s">
        <v>1260</v>
      </c>
      <c r="G382" s="151"/>
      <c r="H382" s="155" t="s">
        <v>1261</v>
      </c>
      <c r="I382" s="151"/>
      <c r="J382" s="151"/>
      <c r="K382" s="151" t="s">
        <v>160</v>
      </c>
      <c r="L382" s="156">
        <v>2</v>
      </c>
      <c r="M382" s="151" t="s">
        <v>105</v>
      </c>
      <c r="N382" s="256" t="s">
        <v>648</v>
      </c>
      <c r="O382" s="151"/>
      <c r="P382" s="151"/>
      <c r="Q382" s="187" t="s">
        <v>150</v>
      </c>
    </row>
    <row r="383" spans="1:17" s="180" customFormat="1" ht="15" customHeight="1" x14ac:dyDescent="0.25">
      <c r="A383" s="189" t="s">
        <v>1236</v>
      </c>
      <c r="B383" s="157" t="s">
        <v>161</v>
      </c>
      <c r="C383" s="158" t="s">
        <v>1236</v>
      </c>
      <c r="D383" s="168" t="s">
        <v>224</v>
      </c>
      <c r="E383" s="158" t="s">
        <v>1262</v>
      </c>
      <c r="F383" s="158" t="s">
        <v>1263</v>
      </c>
      <c r="G383" s="158"/>
      <c r="H383" s="159" t="s">
        <v>1264</v>
      </c>
      <c r="I383" s="158"/>
      <c r="J383" s="158"/>
      <c r="K383" s="158" t="s">
        <v>160</v>
      </c>
      <c r="L383" s="160">
        <v>2</v>
      </c>
      <c r="M383" s="158" t="s">
        <v>105</v>
      </c>
      <c r="N383" s="257" t="s">
        <v>341</v>
      </c>
      <c r="O383" s="158"/>
      <c r="P383" s="158"/>
      <c r="Q383" s="190" t="s">
        <v>150</v>
      </c>
    </row>
  </sheetData>
  <autoFilter ref="A1:X383" xr:uid="{00000000-0001-0000-0200-000000000000}"/>
  <phoneticPr fontId="0" type="noConversion"/>
  <hyperlinks>
    <hyperlink ref="N53" location="Border_Student" display="Border Student" xr:uid="{00000000-0004-0000-0200-000000000000}"/>
    <hyperlink ref="N40" location="Lunch_Status" display="Lunch Status" xr:uid="{00000000-0004-0000-0200-000001000000}"/>
    <hyperlink ref="N26" location="Yes_No" display="Yes/No" xr:uid="{00000000-0004-0000-0200-000002000000}"/>
    <hyperlink ref="N25" location="Gender" display="Gender" xr:uid="{00000000-0004-0000-0200-000003000000}"/>
    <hyperlink ref="N162" location="Languages" display="Languages" xr:uid="{00000000-0004-0000-0200-000004000000}"/>
    <hyperlink ref="N47" location="Yes_No_NA" display="Yes/No/NA" xr:uid="{00000000-0004-0000-0200-000005000000}"/>
    <hyperlink ref="N127" location="Special_Ed_Eligibility" display="Special Ed Eligiblity (Yes/No/Undetermined)" xr:uid="{00000000-0004-0000-0200-000006000000}"/>
    <hyperlink ref="N38" location="Grade_Level" display="Grade Level" xr:uid="{00000000-0004-0000-0200-000007000000}"/>
    <hyperlink ref="N155" location="Gender" display="Gender" xr:uid="{00000000-0004-0000-0200-000008000000}"/>
    <hyperlink ref="N27" location="Yes_No" display="Yes/No" xr:uid="{00000000-0004-0000-0200-00000A000000}"/>
    <hyperlink ref="N28" location="Yes_No" display="Yes/No" xr:uid="{00000000-0004-0000-0200-00000B000000}"/>
    <hyperlink ref="N29" location="Yes_No" display="Yes/No" xr:uid="{00000000-0004-0000-0200-00000C000000}"/>
    <hyperlink ref="N30" location="Yes_No" display="Yes/No" xr:uid="{00000000-0004-0000-0200-00000D000000}"/>
    <hyperlink ref="N31" location="Yes_No" display="Yes/No" xr:uid="{00000000-0004-0000-0200-00000E000000}"/>
    <hyperlink ref="N41" location="Yes_No" display="Yes/No" xr:uid="{00000000-0004-0000-0200-000010000000}"/>
    <hyperlink ref="N42" location="Yes_No" display="Yes/No" xr:uid="{00000000-0004-0000-0200-000011000000}"/>
    <hyperlink ref="N45" location="Yes_No" display="Yes/No" xr:uid="{00000000-0004-0000-0200-000012000000}"/>
    <hyperlink ref="N48" location="Yes_No" display="Yes/No" xr:uid="{00000000-0004-0000-0200-000013000000}"/>
    <hyperlink ref="N49" location="Yes_No" display="Yes/No" xr:uid="{00000000-0004-0000-0200-000014000000}"/>
    <hyperlink ref="N50" location="Yes_No" display="Yes/No" xr:uid="{00000000-0004-0000-0200-000015000000}"/>
    <hyperlink ref="N55" location="Yes_No" display="Yes/No" xr:uid="{00000000-0004-0000-0200-000016000000}"/>
    <hyperlink ref="N115" location="Yes_No" display="Yes/No" xr:uid="{00000000-0004-0000-0200-000017000000}"/>
    <hyperlink ref="N123" location="Yes_No" display="Yes/No" xr:uid="{00000000-0004-0000-0200-000018000000}"/>
    <hyperlink ref="N137" location="Yes_No" display="Yes/No" xr:uid="{00000000-0004-0000-0200-000019000000}"/>
    <hyperlink ref="N138" location="Yes_No" display="Yes/No" xr:uid="{00000000-0004-0000-0200-00001A000000}"/>
    <hyperlink ref="N139" location="Yes_No" display="Yes/No" xr:uid="{00000000-0004-0000-0200-00001B000000}"/>
    <hyperlink ref="N140" location="Yes_No" display="Yes/No" xr:uid="{00000000-0004-0000-0200-00001C000000}"/>
    <hyperlink ref="N141" location="Yes_No" display="Yes/No" xr:uid="{00000000-0004-0000-0200-00001D000000}"/>
    <hyperlink ref="N156" location="Yes_No" display="Yes/No" xr:uid="{00000000-0004-0000-0200-00001E000000}"/>
    <hyperlink ref="N157" location="Yes_No" display="Yes/No" xr:uid="{00000000-0004-0000-0200-00001F000000}"/>
    <hyperlink ref="N158" location="Yes_No" display="Yes/No" xr:uid="{00000000-0004-0000-0200-000020000000}"/>
    <hyperlink ref="N159" location="Yes_No" display="Yes/No" xr:uid="{00000000-0004-0000-0200-000021000000}"/>
    <hyperlink ref="N160" location="Yes_No" display="Yes/No" xr:uid="{00000000-0004-0000-0200-000022000000}"/>
    <hyperlink ref="N161" location="Yes_No" display="Yes/No" xr:uid="{00000000-0004-0000-0200-000023000000}"/>
    <hyperlink ref="N163" location="Yes_No" display="Yes/No" xr:uid="{00000000-0004-0000-0200-000024000000}"/>
    <hyperlink ref="N164" location="Parapro_Type" display="Parapro Type" xr:uid="{00000000-0004-0000-0200-000025000000}"/>
    <hyperlink ref="N204" location="Yes_No" display="Yes/No" xr:uid="{00000000-0004-0000-0200-000026000000}"/>
    <hyperlink ref="N205" location="Yes_No" display="Yes/No" xr:uid="{00000000-0004-0000-0200-000027000000}"/>
    <hyperlink ref="N87" location="Yes_No" display="Yes/No" xr:uid="{00000000-0004-0000-0200-000028000000}"/>
    <hyperlink ref="N88" location="Yes_No" display="Yes/No" xr:uid="{00000000-0004-0000-0200-000029000000}"/>
    <hyperlink ref="N300" location="Yes_No" display="Yes/No" xr:uid="{00000000-0004-0000-0200-00002A000000}"/>
    <hyperlink ref="N302" location="Yes_No" display="Yes/No" xr:uid="{00000000-0004-0000-0200-00002D000000}"/>
    <hyperlink ref="N304" location="Yes_No" display="Yes/No" xr:uid="{00000000-0004-0000-0200-000030000000}"/>
    <hyperlink ref="N307" location="Yes_No" display="Yes/No" xr:uid="{00000000-0004-0000-0200-000031000000}"/>
    <hyperlink ref="N308" location="Yes_No" display="Yes/No" xr:uid="{00000000-0004-0000-0200-000032000000}"/>
    <hyperlink ref="N35" location="Idaho_Counties" display="Idaho Counties" xr:uid="{00000000-0004-0000-0200-000034000000}"/>
    <hyperlink ref="N51" location="Homeless_Residence" display="Homeless Residence" xr:uid="{00000000-0004-0000-0200-000036000000}"/>
    <hyperlink ref="N58" location="Country" display="Country" xr:uid="{00000000-0004-0000-0200-000037000000}"/>
    <hyperlink ref="N66" location="Entry_Reasons" display="Entry Reasons" xr:uid="{00000000-0004-0000-0200-000038000000}"/>
    <hyperlink ref="N68" location="Entry_Reasons" display="Entry Reasons" xr:uid="{00000000-0004-0000-0200-000039000000}"/>
    <hyperlink ref="N70" location="Exit_Reasons" display="Entry Reasons" xr:uid="{00000000-0004-0000-0200-00003A000000}"/>
    <hyperlink ref="N101" location="Calendar_Type" display="Calendar Type" xr:uid="{00000000-0004-0000-0200-00003B000000}"/>
    <hyperlink ref="N102" location="Kindergarten_Session_Type" display="Kindergarten Session Type" xr:uid="{00000000-0004-0000-0200-00003C000000}"/>
    <hyperlink ref="N111" location="Exceptionality" display="Exceptionality" xr:uid="{00000000-0004-0000-0200-00003D000000}"/>
    <hyperlink ref="N112" location="Special_Ed_Environment" display="Special Ed Environment" xr:uid="{00000000-0004-0000-0200-00003E000000}"/>
    <hyperlink ref="N117" location="Early_Childhood_Determination" display="Early Childhood Determination Late" xr:uid="{00000000-0004-0000-0200-00003F000000}"/>
    <hyperlink ref="N125" location="Special_Ed_Determination_late" display="Special Ed Determination Late" xr:uid="{00000000-0004-0000-0200-000040000000}"/>
    <hyperlink ref="N126" location="State_Exception_Rule" display="State Exception Rule" xr:uid="{00000000-0004-0000-0200-000041000000}"/>
    <hyperlink ref="N128" location="Undetermined_Reason" display="Undetermined Reason" xr:uid="{00000000-0004-0000-0200-000042000000}"/>
    <hyperlink ref="N129" location="Program_Status_SE" display="Program Status" xr:uid="{00000000-0004-0000-0200-000043000000}"/>
    <hyperlink ref="N131" location="Program_Exit_Reason" display="Program Exit Reason" xr:uid="{00000000-0004-0000-0200-000044000000}"/>
    <hyperlink ref="N142" location="Program_Status_GT" display="Program Status" xr:uid="{00000000-0004-0000-0200-000045000000}"/>
    <hyperlink ref="N146" location="Gifted_Exit_Reason" display="Gifted Exit Reason" xr:uid="{00000000-0004-0000-0200-000046000000}"/>
    <hyperlink ref="N306" location="Modified_Duration_Reason" display="Modified Duration Reason" xr:uid="{00000000-0004-0000-0200-000054000000}"/>
    <hyperlink ref="N303" location="Weapon_Type" display="Weapon Type" xr:uid="{00000000-0004-0000-0200-000055000000}"/>
    <hyperlink ref="N295" location="Disciplinary_Action_Type" display="Disciplinary Action Type" xr:uid="{00000000-0004-0000-0200-000056000000}"/>
    <hyperlink ref="N301" location="IDEA_Interim_Removal_Reason" display="IDEA Interim Removal Reason" xr:uid="{00000000-0004-0000-0200-000059000000}"/>
    <hyperlink ref="N82" location="Course_Exit_Reason" display="Course Exit Reason" xr:uid="{00000000-0004-0000-0200-00005A000000}"/>
    <hyperlink ref="N282" location="Teaching_Role" display="Teaching Role" xr:uid="{00000000-0004-0000-0200-00005B000000}"/>
    <hyperlink ref="N281" location="AssignmentCourse_Codes" display="Staff Assignment Code" xr:uid="{00000000-0004-0000-0200-00005C000000}"/>
    <hyperlink ref="N169" location="Higher_Ed_Institutions" display="Higher Ed Institutions" xr:uid="{00000000-0004-0000-0200-00005D000000}"/>
    <hyperlink ref="N176" location="Higher_Ed_Institutions" display="Higher Ed Institutions" xr:uid="{00000000-0004-0000-0200-00005E000000}"/>
    <hyperlink ref="N182" location="Higher_Ed_Institutions" display="Higher Ed Institutions" xr:uid="{00000000-0004-0000-0200-00005F000000}"/>
    <hyperlink ref="N188" location="Higher_Ed_Institutions" display="Higher Ed Institutions" xr:uid="{00000000-0004-0000-0200-000060000000}"/>
    <hyperlink ref="N194" location="Higher_Ed_Institutions" display="Higher Ed Institutions" xr:uid="{00000000-0004-0000-0200-000061000000}"/>
    <hyperlink ref="N199" location="Higher_Ed_Institutions" display="Higher Ed Institutions" xr:uid="{00000000-0004-0000-0200-000062000000}"/>
    <hyperlink ref="N216" location="Contract_Type" display="Contract Type" xr:uid="{00000000-0004-0000-0200-000063000000}"/>
    <hyperlink ref="N229" location="Contract_Type" display="Contract Type" xr:uid="{00000000-0004-0000-0200-000064000000}"/>
    <hyperlink ref="N215" location="Employment_Status" display="Employment Status" xr:uid="{00000000-0004-0000-0200-000065000000}"/>
    <hyperlink ref="N200" location="State_Province" display="State Province" xr:uid="{00000000-0004-0000-0200-000066000000}"/>
    <hyperlink ref="N195" location="State_Province" display="State Province" xr:uid="{00000000-0004-0000-0200-000067000000}"/>
    <hyperlink ref="N189" location="State_Province" display="State Province" xr:uid="{00000000-0004-0000-0200-000068000000}"/>
    <hyperlink ref="N183" location="State_Province" display="State Province" xr:uid="{00000000-0004-0000-0200-000069000000}"/>
    <hyperlink ref="N170" location="State_Province" display="State Province" xr:uid="{00000000-0004-0000-0200-00006A000000}"/>
    <hyperlink ref="N166" location="State_Province" display="State Province" xr:uid="{00000000-0004-0000-0200-00006B000000}"/>
    <hyperlink ref="N167" location="Education_Degree" display="Education Degree" xr:uid="{00000000-0004-0000-0200-00006C000000}"/>
    <hyperlink ref="N174" location="Education_Degree" display="Education Degree" xr:uid="{00000000-0004-0000-0200-00006D000000}"/>
    <hyperlink ref="N180" location="Education_Degree" display="Education Degree" xr:uid="{00000000-0004-0000-0200-00006E000000}"/>
    <hyperlink ref="N186" location="Education_Degree" display="Education Degree" xr:uid="{00000000-0004-0000-0200-00006F000000}"/>
    <hyperlink ref="N192" location="Education_Degree" display="Education Degree" xr:uid="{00000000-0004-0000-0200-000070000000}"/>
    <hyperlink ref="N201" location="Parapro_High_School_Degree" display="Parapro High School Degree" xr:uid="{00000000-0004-0000-0200-000071000000}"/>
    <hyperlink ref="N255" location="Extra_Pay_Type" display="Extra Pay Type" xr:uid="{00000000-0004-0000-0200-000072000000}"/>
    <hyperlink ref="N257" location="Extra_Pay_Type" display="Extra Pay Type" xr:uid="{00000000-0004-0000-0200-000073000000}"/>
    <hyperlink ref="N259" location="Extra_Pay_Type" display="Extra Pay Type" xr:uid="{00000000-0004-0000-0200-000074000000}"/>
    <hyperlink ref="N261" location="Extra_Pay_Type" display="Extra Pay Type" xr:uid="{00000000-0004-0000-0200-000075000000}"/>
    <hyperlink ref="N272" location="Staff_Exit_Reason" display="Staff Exit Reason" xr:uid="{00000000-0004-0000-0200-000076000000}"/>
    <hyperlink ref="N90" location="College_Credit" display="College Credit" xr:uid="{00000000-0004-0000-0200-000077000000}"/>
    <hyperlink ref="N177" location="State_Province" display="State Province" xr:uid="{00000000-0004-0000-0200-00007D000000}"/>
    <hyperlink ref="N72" location="Exit_Reasons" display="Entry Reasons" xr:uid="{00000000-0004-0000-0200-00007E000000}"/>
    <hyperlink ref="N221" location="Funding_Source" display="Funding Source" xr:uid="{00000000-0004-0000-0200-000080000000}"/>
    <hyperlink ref="N223" location="Funding_Source" display="Funding Source" xr:uid="{00000000-0004-0000-0200-000081000000}"/>
    <hyperlink ref="N225" location="Funding_Source" display="Funding Source" xr:uid="{00000000-0004-0000-0200-000082000000}"/>
    <hyperlink ref="N227" location="Funding_Source" display="Funding Source" xr:uid="{00000000-0004-0000-0200-000083000000}"/>
    <hyperlink ref="N242" location="Contract_Type" display="Contract Type" xr:uid="{00000000-0004-0000-0200-000084000000}"/>
    <hyperlink ref="N234" location="Funding_Source" display="Funding Source" xr:uid="{00000000-0004-0000-0200-000085000000}"/>
    <hyperlink ref="N236" location="Funding_Source" display="Funding Source" xr:uid="{00000000-0004-0000-0200-000086000000}"/>
    <hyperlink ref="N238" location="Funding_Source" display="Funding Source" xr:uid="{00000000-0004-0000-0200-000087000000}"/>
    <hyperlink ref="N240" location="Funding_Source" display="Funding Source" xr:uid="{00000000-0004-0000-0200-000088000000}"/>
    <hyperlink ref="N247" location="Funding_Source" display="Funding Source" xr:uid="{00000000-0004-0000-0200-000089000000}"/>
    <hyperlink ref="N249" location="Funding_Source" display="Funding Source" xr:uid="{00000000-0004-0000-0200-00008A000000}"/>
    <hyperlink ref="N251" location="Funding_Source" display="Funding Source" xr:uid="{00000000-0004-0000-0200-00008B000000}"/>
    <hyperlink ref="N253" location="Funding_Source" display="Funding Source" xr:uid="{00000000-0004-0000-0200-00008C000000}"/>
    <hyperlink ref="N263" location="Funding_Source" display="Funding Source" xr:uid="{00000000-0004-0000-0200-00008D000000}"/>
    <hyperlink ref="N265" location="Funding_Source" display="Funding Source" xr:uid="{00000000-0004-0000-0200-00008E000000}"/>
    <hyperlink ref="N267" location="Funding_Source" display="Funding Source" xr:uid="{00000000-0004-0000-0200-00008F000000}"/>
    <hyperlink ref="N269" location="Funding_Source" display="Funding Source" xr:uid="{00000000-0004-0000-0200-000090000000}"/>
    <hyperlink ref="N52" location="Yes_No" display="Yes/No" xr:uid="{00000000-0004-0000-0200-000091000000}"/>
    <hyperlink ref="N114" location="Yes_No" display="Yes/No" xr:uid="{00000000-0004-0000-0200-000092000000}"/>
    <hyperlink ref="N3" location="Schools" display="Schools" xr:uid="{00000000-0004-0000-0200-000093000000}"/>
    <hyperlink ref="N4" location="AssignmentCourse_Codes" display="Course Code" xr:uid="{00000000-0004-0000-0200-000094000000}"/>
    <hyperlink ref="N5" location="Course_Type" display="Course Type" xr:uid="{00000000-0004-0000-0200-000095000000}"/>
    <hyperlink ref="N6" location="Instructional_Setting" display="Instructional Setting" xr:uid="{00000000-0004-0000-0200-000096000000}"/>
    <hyperlink ref="N44" location="Military_Connection" display="Military Connection" xr:uid="{00000000-0004-0000-0200-000097000000}"/>
    <hyperlink ref="N76" location="AssignmentCourse_Codes" display="Course Code" xr:uid="{00000000-0004-0000-0200-0000A3000000}"/>
    <hyperlink ref="N43" location="Yes_No" display="Yes/No" xr:uid="{00000000-0004-0000-0200-0000A5000000}"/>
    <hyperlink ref="N46" location="Yes_No" display="Yes/No" xr:uid="{00000000-0004-0000-0200-0000A9000000}"/>
    <hyperlink ref="N61" location="Yes_No" display="Yes/No" xr:uid="{00000000-0004-0000-0200-0000AA000000}"/>
    <hyperlink ref="N85" location="Yes_No" display="Yes/No" xr:uid="{00000000-0004-0000-0200-0000AB000000}"/>
    <hyperlink ref="N63" location="Yes_No" display="Yes/No" xr:uid="{00000000-0004-0000-0200-0000AC000000}"/>
    <hyperlink ref="N8" location="Content_Grade_Level" display="Content Grade Level" xr:uid="{00000000-0004-0000-0200-0000AD000000}"/>
    <hyperlink ref="N57" location="Languages" display="Languages" xr:uid="{00000000-0004-0000-0200-0000AE000000}"/>
    <hyperlink ref="N59" location="Yes_No" display="Yes/No" xr:uid="{00000000-0004-0000-0200-0000AF000000}"/>
    <hyperlink ref="N37" location="PH_School" display="PH School" xr:uid="{0B595D0C-9F4D-4D08-81A5-140947C5EB43}"/>
    <hyperlink ref="N62" location="Yes_No" display="Yes/No" xr:uid="{21F3D70A-D60D-4D49-B2E9-CF2B4E9FF3BB}"/>
    <hyperlink ref="N333" location="Program_Contact_Role" display="Program Contact Role" xr:uid="{7CF7119B-19FA-451F-896F-3AB644DDEC1F}"/>
    <hyperlink ref="N335" location="Yes_No" display="Yes/No" xr:uid="{D7736BFF-1D22-4DA4-860B-761F0F92DA21}"/>
    <hyperlink ref="N347" location="Phone_Type" display="Phone Type" xr:uid="{313EA79E-37AD-4C00-830C-4AC05EEA9D85}"/>
    <hyperlink ref="N344" location="Phone_Type" display="Phone Type" xr:uid="{E74610EA-8EF3-4179-855D-E9371982427E}"/>
    <hyperlink ref="N355" location="Record_Type_ASF" display="Record Type" xr:uid="{EF2CC01E-1802-4BD2-87D0-487E731F1C31}"/>
    <hyperlink ref="N361" location="Function_Code" display="Function Code" xr:uid="{0F01D2D0-BD3C-44E6-83F0-F308D6737E52}"/>
    <hyperlink ref="N362" location="Object_Code" display="Object Code" xr:uid="{3CBB5B10-4CC1-4053-8F7E-C3B35065D22A}"/>
    <hyperlink ref="N367" location="Record_Type_FTR" display="Record Type" xr:uid="{3C4F56FA-A5CC-44A5-934F-E11445639067}"/>
    <hyperlink ref="N371" location="Fund_Number" display="Fund number" xr:uid="{84E4EA36-1F17-47AC-9E80-A1C6D40B151B}"/>
    <hyperlink ref="N373" location="Function_Code" display="Function Code" xr:uid="{8C003CAD-0152-4283-A5F3-90BA0056E8BB}"/>
    <hyperlink ref="N374" location="Object_Code" display="Object Code" xr:uid="{372D436A-9DF3-413E-B545-1AF94C9765C8}"/>
    <hyperlink ref="N372" location="FinancialTransparencyAccountCodes" display="Account Code" xr:uid="{E79EB7D0-612A-4FF6-A0B1-4285B3B751A3}"/>
    <hyperlink ref="N383" location="Country" display="Country" xr:uid="{22E5CC1E-8F91-46D7-A88C-AD55F586FD39}"/>
    <hyperlink ref="N382" location="State_Province" display="State Province" xr:uid="{89356BD9-17CA-445D-9D48-EC487EA2A02B}"/>
    <hyperlink ref="N60" location="Yes_No" display="Yes/No" xr:uid="{2C2D32EE-84D7-4FEE-8E37-4B1F097F8F7C}"/>
    <hyperlink ref="N98" location="Yes_No" display="Yes/No" xr:uid="{76EAD7EB-B675-421C-8DCF-E6EC354454C0}"/>
    <hyperlink ref="N368" location="Districts" display="Districts" xr:uid="{CCC6CFB7-9F63-4B87-8A21-0FB1AA09F153}"/>
    <hyperlink ref="N360" location="Account_Code" display="Account Code" xr:uid="{01A1BB9D-1531-4B3C-B79B-AD46677EA22E}"/>
    <hyperlink ref="N359" location="Fund_Number" display="Fund number" xr:uid="{3F60FF3D-A0A3-4E51-9C7D-6D0FB7CE7B41}"/>
    <hyperlink ref="N14" location="Schools" display="Schools" xr:uid="{19123E53-D49C-477F-8C8E-2FB52CD4F007}"/>
    <hyperlink ref="N75" location="Schools" display="Schools" xr:uid="{03D2203E-E4EC-4ADB-8C4D-F5343E7FDC3D}"/>
    <hyperlink ref="N93" location="Schools" display="Schools" xr:uid="{EB5F4B10-262A-45D8-88C6-1F7CED1D48D9}"/>
    <hyperlink ref="N109" location="Schools" display="Schools" xr:uid="{A80A04DE-5F55-4616-8F6F-F7505A346E7F}"/>
    <hyperlink ref="N110" location="Schools" display="Schools" xr:uid="{96010CBC-1671-4557-A98E-7E4D3867DBBB}"/>
    <hyperlink ref="N136" location="Schools" display="Schools" xr:uid="{0B8BECE6-6960-42CA-94DE-BCEABB2ECFEE}"/>
    <hyperlink ref="N206" location="Schools" display="Schools" xr:uid="{A6A7C143-2632-4DAB-8817-95E766CDE740}"/>
    <hyperlink ref="N276" location="Schools" display="Schools" xr:uid="{DD621346-55F6-4205-8B0B-9691394EA9DF}"/>
    <hyperlink ref="N299" location="Schools" display="Schools" xr:uid="{9C9A521C-7C30-40CC-A998-D28BA5F5BBFA}"/>
    <hyperlink ref="N332" location="Schools" display="Schools" xr:uid="{17ED2832-D52C-451C-9FD6-0D82C9B83D59}"/>
    <hyperlink ref="N341" location="Schools" display="Schools" xr:uid="{33AFE62C-58D8-4D53-BEB6-AB19A392B016}"/>
    <hyperlink ref="N357" location="Schools" display="Schools" xr:uid="{9A46B453-8A2B-466E-8928-632CFA08604E}"/>
    <hyperlink ref="N369" location="Schools" display="Schools" xr:uid="{F30F6248-DA6C-4AA5-90A4-744FD59B1B4D}"/>
    <hyperlink ref="N356" location="Districts" display="Districts" xr:uid="{DA4C2B57-799B-4600-8EB0-32D225D64059}"/>
    <hyperlink ref="N331" location="Districts" display="Districts" xr:uid="{3B2A10FD-3B46-40A2-94EB-05CAA73A28ED}"/>
    <hyperlink ref="N298" location="Districts" display="Districts" xr:uid="{D7B327F6-217C-4E34-B27B-7023C67F0D1C}"/>
    <hyperlink ref="N297" location="Districts" display="Districts" xr:uid="{5487F5A7-7DF7-4621-A9D1-849B758BBFFF}"/>
    <hyperlink ref="N172" location="CIP_Codes" display="CIP Codes" xr:uid="{336ECEA2-1C04-46AB-B7ED-571FFAA074E5}"/>
    <hyperlink ref="N171" location="CIP_Codes" display="CIP Codes" xr:uid="{06B920C0-7039-4FE1-911B-EBC600A324D4}"/>
    <hyperlink ref="N178" location="CIP_Codes" display="CIP Codes" xr:uid="{DF21008B-6913-4404-A496-7739BEFCF7DB}"/>
    <hyperlink ref="N179" location="CIP_Codes" display="CIP Codes" xr:uid="{5E45838C-A653-4328-B6BE-5B494DC30E40}"/>
    <hyperlink ref="N184" location="CIP_Codes" display="CIP Codes" xr:uid="{65B5D247-8AD1-48E3-8C9A-249FA568BC14}"/>
    <hyperlink ref="N185" location="CIP_Codes" display="CIP Codes" xr:uid="{2A2AB578-A0C2-488B-80EB-58FC49F422FF}"/>
    <hyperlink ref="N190" location="CIP_Codes" display="CIP Codes" xr:uid="{7521C54C-3D34-4098-87E0-496C30667DED}"/>
    <hyperlink ref="N191" location="CIP_Codes" display="CIP Codes" xr:uid="{3FF5AE6F-A0B9-48C1-8899-5F013CAE7500}"/>
    <hyperlink ref="N196" location="CIP_Codes" display="CIP Codes" xr:uid="{44F7EFB7-A369-4FCC-B532-1AD921AA1C8E}"/>
    <hyperlink ref="N197" location="CIP_Codes" display="CIP Codes" xr:uid="{4101B2AE-8911-4E3E-ADED-34A499B60820}"/>
    <hyperlink ref="N277" location="Contract_Number" display="Contract Number" xr:uid="{7264EF55-91BD-4954-8B99-72B2E06B7381}"/>
    <hyperlink ref="N379" location="Yes_No" display="Yes/No" xr:uid="{49C7434E-3E2A-4CE6-9FD1-263871F364DF}"/>
    <hyperlink ref="N312" location="Address_Type" display="Address Type" xr:uid="{14409EDD-A967-4B99-BDE9-412DA8E4FFD9}"/>
    <hyperlink ref="N316" location="State_Province" display="State Province" xr:uid="{5EF7B97F-5FC6-4424-88C4-68FAB9DEA3EE}"/>
    <hyperlink ref="N351" location="State_Province" display="State Province" xr:uid="{CB8EEA7D-BF52-4244-9A48-AE381BAF479C}"/>
    <hyperlink ref="N33" location="Schools" display="Schools" xr:uid="{DBDDE6A8-E8CA-4EB8-800A-C1D27410EC92}"/>
    <hyperlink ref="N32" location="Yes_No" display="Yes/No" xr:uid="{185F8B17-7B94-4D16-8A01-1A99273DAA7C}"/>
    <hyperlink ref="N321" location="Schools" display="Schools" xr:uid="{2693296D-F1BC-42D3-AFF8-8ECF393F6965}"/>
    <hyperlink ref="N322" location="Open_Enrollment_GradeLevel" display="Grade Level" xr:uid="{B6D83CA2-8900-4C73-849B-AE66C8DDEA9B}"/>
    <hyperlink ref="N323" location="Open_Enrollment_Program_Type" display="Open Enrollment Program Type" xr:uid="{1C185406-CD0D-4A08-962D-27D09336C43F}"/>
    <hyperlink ref="N97" location="Absence_Reason" display="Absence Reason" xr:uid="{0CF0CF15-6AA7-40BD-858C-1A9764C18D89}"/>
    <hyperlink ref="N64" location="Yes_No_NA" display="Yes/No/NA" xr:uid="{01F75141-06E0-4D9E-93AF-EE4A75426EF0}"/>
    <hyperlink ref="N34" location="Membership_Type" display="Membership Type" xr:uid="{448B7A01-73E1-48F1-88F9-4CD9FE75D636}"/>
  </hyperlinks>
  <pageMargins left="0.5" right="0.5" top="0.60000000000000009" bottom="0.75000000000000011" header="0.60000000000000009" footer="0.5"/>
  <pageSetup orientation="landscape" r:id="rId1"/>
  <headerFooter alignWithMargins="0">
    <oddFooter>&amp;L&amp;"Arial"&amp;8&amp;I5/22/2012&amp;I 
&amp;IPage 1 of 1&amp;I &amp;C&amp;R</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70"/>
  <sheetViews>
    <sheetView zoomScaleNormal="100" workbookViewId="0"/>
  </sheetViews>
  <sheetFormatPr defaultColWidth="9.21875" defaultRowHeight="14.25" customHeight="1" x14ac:dyDescent="0.25"/>
  <cols>
    <col min="1" max="1" width="13.21875" style="91" customWidth="1"/>
    <col min="2" max="2" width="6" style="91" customWidth="1"/>
    <col min="3" max="3" width="36.77734375" style="91" bestFit="1" customWidth="1"/>
    <col min="4" max="4" width="9.21875" style="91"/>
    <col min="5" max="6" width="9.77734375" style="91" customWidth="1"/>
    <col min="7" max="7" width="3.5546875" style="91" customWidth="1"/>
    <col min="8" max="8" width="10" style="91" customWidth="1"/>
    <col min="9" max="9" width="24.21875" style="91" customWidth="1"/>
    <col min="10" max="10" width="10" style="91" customWidth="1"/>
    <col min="11" max="16384" width="9.21875" style="91"/>
  </cols>
  <sheetData>
    <row r="1" spans="1:9" ht="15.6" customHeight="1" x14ac:dyDescent="0.25">
      <c r="A1" s="90" t="s">
        <v>1265</v>
      </c>
      <c r="D1" s="92"/>
      <c r="E1" s="92"/>
      <c r="F1" s="92"/>
      <c r="G1" s="93"/>
      <c r="H1" s="94"/>
      <c r="I1" s="94"/>
    </row>
    <row r="2" spans="1:9" ht="14.25" customHeight="1" thickBot="1" x14ac:dyDescent="0.3">
      <c r="A2" s="99"/>
      <c r="B2" s="58"/>
      <c r="D2" s="92"/>
      <c r="E2" s="92"/>
      <c r="F2" s="92"/>
    </row>
    <row r="3" spans="1:9" ht="14.25" customHeight="1" thickBot="1" x14ac:dyDescent="0.3">
      <c r="A3" s="94" t="s">
        <v>1266</v>
      </c>
      <c r="B3" s="94"/>
      <c r="C3" s="94" t="s">
        <v>69</v>
      </c>
      <c r="D3" s="379" t="s">
        <v>1267</v>
      </c>
      <c r="E3" s="380"/>
      <c r="F3" s="94"/>
      <c r="H3" s="95" t="s">
        <v>1268</v>
      </c>
      <c r="I3" s="96"/>
    </row>
    <row r="4" spans="1:9" ht="14.25" customHeight="1" x14ac:dyDescent="0.25">
      <c r="A4" s="99"/>
      <c r="B4" s="58"/>
      <c r="C4" s="17" t="s">
        <v>465</v>
      </c>
      <c r="D4" s="371" t="s">
        <v>1269</v>
      </c>
      <c r="E4" s="372"/>
      <c r="F4" s="373"/>
      <c r="H4" s="170" t="s">
        <v>1269</v>
      </c>
      <c r="I4" s="171" t="s">
        <v>1270</v>
      </c>
    </row>
    <row r="5" spans="1:9" ht="14.25" customHeight="1" x14ac:dyDescent="0.25">
      <c r="A5" s="232" t="s">
        <v>13516</v>
      </c>
      <c r="B5" s="233" t="s">
        <v>32</v>
      </c>
      <c r="C5" s="17" t="s">
        <v>1224</v>
      </c>
      <c r="D5" s="374" t="s">
        <v>1271</v>
      </c>
      <c r="E5" s="375"/>
      <c r="F5" s="98" t="s">
        <v>1272</v>
      </c>
      <c r="H5" s="172" t="s">
        <v>1273</v>
      </c>
      <c r="I5" s="173" t="s">
        <v>1274</v>
      </c>
    </row>
    <row r="6" spans="1:9" ht="14.25" customHeight="1" x14ac:dyDescent="0.25">
      <c r="A6" s="99"/>
      <c r="B6" s="58"/>
      <c r="C6" s="17" t="s">
        <v>1109</v>
      </c>
      <c r="D6" s="371" t="s">
        <v>1269</v>
      </c>
      <c r="E6" s="372"/>
      <c r="F6" s="373"/>
      <c r="H6" s="174" t="s">
        <v>1271</v>
      </c>
      <c r="I6" s="175" t="s">
        <v>1212</v>
      </c>
    </row>
    <row r="7" spans="1:9" ht="14.25" customHeight="1" x14ac:dyDescent="0.25">
      <c r="A7" s="99"/>
      <c r="B7" s="58"/>
      <c r="C7" s="17" t="s">
        <v>316</v>
      </c>
      <c r="D7" s="371" t="s">
        <v>1269</v>
      </c>
      <c r="E7" s="372"/>
      <c r="F7" s="373"/>
      <c r="H7" s="176" t="s">
        <v>1272</v>
      </c>
      <c r="I7" s="177" t="s">
        <v>1275</v>
      </c>
    </row>
    <row r="8" spans="1:9" ht="14.25" customHeight="1" thickBot="1" x14ac:dyDescent="0.3">
      <c r="A8" s="99"/>
      <c r="B8" s="58"/>
      <c r="C8" s="17" t="s">
        <v>472</v>
      </c>
      <c r="D8" s="371" t="s">
        <v>1269</v>
      </c>
      <c r="E8" s="372"/>
      <c r="F8" s="373"/>
      <c r="H8" s="178" t="s">
        <v>1276</v>
      </c>
      <c r="I8" s="179" t="s">
        <v>1277</v>
      </c>
    </row>
    <row r="9" spans="1:9" ht="14.25" customHeight="1" x14ac:dyDescent="0.25">
      <c r="A9" s="99"/>
      <c r="B9" s="58"/>
      <c r="C9" s="17" t="s">
        <v>666</v>
      </c>
      <c r="D9" s="371" t="s">
        <v>1269</v>
      </c>
      <c r="E9" s="372"/>
      <c r="F9" s="373"/>
    </row>
    <row r="10" spans="1:9" ht="14.25" customHeight="1" x14ac:dyDescent="0.25">
      <c r="A10" s="99"/>
      <c r="B10" s="58"/>
      <c r="C10" s="17" t="s">
        <v>450</v>
      </c>
      <c r="D10" s="371" t="s">
        <v>1269</v>
      </c>
      <c r="E10" s="372"/>
      <c r="F10" s="373"/>
    </row>
    <row r="11" spans="1:9" ht="14.25" customHeight="1" x14ac:dyDescent="0.25">
      <c r="A11" s="99"/>
      <c r="B11" s="58"/>
      <c r="C11" s="17" t="s">
        <v>117</v>
      </c>
      <c r="D11" s="371" t="s">
        <v>1269</v>
      </c>
      <c r="E11" s="372"/>
      <c r="F11" s="373"/>
    </row>
    <row r="12" spans="1:9" ht="14.25" customHeight="1" x14ac:dyDescent="0.25">
      <c r="A12" s="99"/>
      <c r="B12" s="58"/>
      <c r="C12" s="17" t="s">
        <v>1021</v>
      </c>
      <c r="D12" s="371" t="s">
        <v>1269</v>
      </c>
      <c r="E12" s="372"/>
      <c r="F12" s="373"/>
    </row>
    <row r="13" spans="1:9" ht="14.25" customHeight="1" x14ac:dyDescent="0.25">
      <c r="A13" s="99"/>
      <c r="B13" s="58"/>
      <c r="C13" s="17" t="s">
        <v>815</v>
      </c>
      <c r="D13" s="371" t="s">
        <v>1269</v>
      </c>
      <c r="E13" s="372"/>
      <c r="F13" s="373"/>
    </row>
    <row r="14" spans="1:9" ht="14.25" customHeight="1" x14ac:dyDescent="0.25">
      <c r="A14" s="99"/>
      <c r="B14" s="58"/>
      <c r="C14" s="17" t="s">
        <v>341</v>
      </c>
      <c r="D14" s="378" t="s">
        <v>1269</v>
      </c>
      <c r="E14" s="375"/>
      <c r="F14" s="98" t="s">
        <v>1272</v>
      </c>
    </row>
    <row r="15" spans="1:9" ht="14.25" customHeight="1" x14ac:dyDescent="0.25">
      <c r="A15" s="232" t="s">
        <v>13516</v>
      </c>
      <c r="B15" s="233" t="s">
        <v>32</v>
      </c>
      <c r="C15" s="17" t="s">
        <v>91</v>
      </c>
      <c r="D15" s="371" t="s">
        <v>1269</v>
      </c>
      <c r="E15" s="372"/>
      <c r="F15" s="373"/>
    </row>
    <row r="16" spans="1:9" ht="14.25" customHeight="1" x14ac:dyDescent="0.25">
      <c r="A16" s="99"/>
      <c r="B16" s="58"/>
      <c r="C16" s="17" t="s">
        <v>418</v>
      </c>
      <c r="D16" s="371" t="s">
        <v>1269</v>
      </c>
      <c r="E16" s="372"/>
      <c r="F16" s="373"/>
    </row>
    <row r="17" spans="1:6" ht="14.25" customHeight="1" x14ac:dyDescent="0.25">
      <c r="A17" s="99"/>
      <c r="B17" s="58"/>
      <c r="C17" s="17" t="s">
        <v>96</v>
      </c>
      <c r="D17" s="371" t="s">
        <v>1269</v>
      </c>
      <c r="E17" s="372"/>
      <c r="F17" s="373"/>
    </row>
    <row r="18" spans="1:6" ht="14.25" customHeight="1" x14ac:dyDescent="0.25">
      <c r="A18" s="99"/>
      <c r="B18" s="58"/>
      <c r="C18" s="17" t="s">
        <v>1063</v>
      </c>
      <c r="D18" s="371" t="s">
        <v>1269</v>
      </c>
      <c r="E18" s="372"/>
      <c r="F18" s="373"/>
    </row>
    <row r="19" spans="1:6" ht="14.25" customHeight="1" x14ac:dyDescent="0.25">
      <c r="A19" s="99"/>
      <c r="B19" s="58"/>
      <c r="C19" s="17" t="s">
        <v>1070</v>
      </c>
      <c r="D19" s="128" t="s">
        <v>1273</v>
      </c>
      <c r="E19" s="97" t="s">
        <v>1271</v>
      </c>
      <c r="F19" s="98" t="s">
        <v>1272</v>
      </c>
    </row>
    <row r="20" spans="1:6" ht="14.25" customHeight="1" x14ac:dyDescent="0.25">
      <c r="A20" s="99"/>
      <c r="B20" s="58"/>
      <c r="C20" s="17" t="s">
        <v>522</v>
      </c>
      <c r="D20" s="371" t="s">
        <v>1269</v>
      </c>
      <c r="E20" s="372"/>
      <c r="F20" s="373"/>
    </row>
    <row r="21" spans="1:6" ht="14.25" customHeight="1" x14ac:dyDescent="0.25">
      <c r="A21" s="99"/>
      <c r="B21" s="58"/>
      <c r="C21" s="17" t="s">
        <v>256</v>
      </c>
      <c r="D21" s="371" t="s">
        <v>1269</v>
      </c>
      <c r="E21" s="372"/>
      <c r="F21" s="373"/>
    </row>
    <row r="22" spans="1:6" ht="14.25" customHeight="1" x14ac:dyDescent="0.25">
      <c r="A22" s="99"/>
      <c r="B22" s="58"/>
      <c r="C22" s="17" t="s">
        <v>652</v>
      </c>
      <c r="D22" s="371" t="s">
        <v>1269</v>
      </c>
      <c r="E22" s="372"/>
      <c r="F22" s="373"/>
    </row>
    <row r="23" spans="1:6" ht="14.25" customHeight="1" x14ac:dyDescent="0.25">
      <c r="A23" s="99"/>
      <c r="B23" s="58"/>
      <c r="C23" s="17" t="s">
        <v>807</v>
      </c>
      <c r="D23" s="371" t="s">
        <v>1269</v>
      </c>
      <c r="E23" s="372"/>
      <c r="F23" s="373"/>
    </row>
    <row r="24" spans="1:6" ht="14.25" customHeight="1" x14ac:dyDescent="0.25">
      <c r="A24" s="99"/>
      <c r="B24" s="58"/>
      <c r="C24" s="17" t="s">
        <v>374</v>
      </c>
      <c r="D24" s="371" t="s">
        <v>1269</v>
      </c>
      <c r="E24" s="372"/>
      <c r="F24" s="373"/>
    </row>
    <row r="25" spans="1:6" ht="14.25" customHeight="1" x14ac:dyDescent="0.25">
      <c r="A25" s="99"/>
      <c r="B25" s="58"/>
      <c r="C25" s="17" t="s">
        <v>500</v>
      </c>
      <c r="D25" s="371" t="s">
        <v>1269</v>
      </c>
      <c r="E25" s="372"/>
      <c r="F25" s="373"/>
    </row>
    <row r="26" spans="1:6" ht="14.25" customHeight="1" x14ac:dyDescent="0.25">
      <c r="A26" s="99"/>
      <c r="B26" s="58"/>
      <c r="C26" s="17" t="s">
        <v>392</v>
      </c>
      <c r="D26" s="371" t="s">
        <v>1269</v>
      </c>
      <c r="E26" s="372"/>
      <c r="F26" s="373"/>
    </row>
    <row r="27" spans="1:6" ht="14.25" customHeight="1" x14ac:dyDescent="0.25">
      <c r="A27" s="99"/>
      <c r="B27" s="58"/>
      <c r="C27" s="17" t="s">
        <v>961</v>
      </c>
      <c r="D27" s="371" t="s">
        <v>1269</v>
      </c>
      <c r="E27" s="372"/>
      <c r="F27" s="373"/>
    </row>
    <row r="28" spans="1:6" ht="14.25" customHeight="1" x14ac:dyDescent="0.25">
      <c r="A28" s="232" t="s">
        <v>13516</v>
      </c>
      <c r="B28" s="233" t="s">
        <v>32</v>
      </c>
      <c r="C28" s="17" t="s">
        <v>1226</v>
      </c>
      <c r="D28" s="374" t="s">
        <v>1271</v>
      </c>
      <c r="E28" s="375"/>
      <c r="F28" s="98" t="s">
        <v>1272</v>
      </c>
    </row>
    <row r="29" spans="1:6" ht="14.25" customHeight="1" x14ac:dyDescent="0.25">
      <c r="A29" s="232" t="s">
        <v>13516</v>
      </c>
      <c r="B29" s="233" t="s">
        <v>32</v>
      </c>
      <c r="C29" s="17" t="s">
        <v>1221</v>
      </c>
      <c r="D29" s="374" t="s">
        <v>1271</v>
      </c>
      <c r="E29" s="375"/>
      <c r="F29" s="98" t="s">
        <v>1272</v>
      </c>
    </row>
    <row r="30" spans="1:6" ht="14.25" customHeight="1" x14ac:dyDescent="0.25">
      <c r="A30" s="99"/>
      <c r="B30" s="58"/>
      <c r="C30" s="17" t="s">
        <v>840</v>
      </c>
      <c r="D30" s="371" t="s">
        <v>1269</v>
      </c>
      <c r="E30" s="372"/>
      <c r="F30" s="373"/>
    </row>
    <row r="31" spans="1:6" ht="14.25" customHeight="1" x14ac:dyDescent="0.25">
      <c r="A31" s="99"/>
      <c r="B31" s="58"/>
      <c r="C31" s="17" t="s">
        <v>188</v>
      </c>
      <c r="D31" s="371" t="s">
        <v>1269</v>
      </c>
      <c r="E31" s="372"/>
      <c r="F31" s="373"/>
    </row>
    <row r="32" spans="1:6" ht="14.25" customHeight="1" x14ac:dyDescent="0.25">
      <c r="A32" s="99"/>
      <c r="B32" s="58"/>
      <c r="C32" s="17" t="s">
        <v>618</v>
      </c>
      <c r="D32" s="371" t="s">
        <v>1269</v>
      </c>
      <c r="E32" s="372"/>
      <c r="F32" s="373"/>
    </row>
    <row r="33" spans="1:6" ht="14.25" customHeight="1" x14ac:dyDescent="0.25">
      <c r="A33" s="99"/>
      <c r="B33" s="58"/>
      <c r="C33" s="17" t="s">
        <v>237</v>
      </c>
      <c r="D33" s="371" t="s">
        <v>1269</v>
      </c>
      <c r="E33" s="372"/>
      <c r="F33" s="373"/>
    </row>
    <row r="34" spans="1:6" ht="14.25" customHeight="1" x14ac:dyDescent="0.25">
      <c r="A34" s="99"/>
      <c r="B34" s="58"/>
      <c r="C34" s="17" t="s">
        <v>659</v>
      </c>
      <c r="D34" s="371" t="s">
        <v>1269</v>
      </c>
      <c r="E34" s="372"/>
      <c r="F34" s="373"/>
    </row>
    <row r="35" spans="1:6" ht="14.25" customHeight="1" x14ac:dyDescent="0.25">
      <c r="A35" s="99"/>
      <c r="B35" s="58"/>
      <c r="C35" s="17" t="s">
        <v>306</v>
      </c>
      <c r="D35" s="371" t="s">
        <v>1269</v>
      </c>
      <c r="E35" s="372"/>
      <c r="F35" s="373"/>
    </row>
    <row r="36" spans="1:6" ht="14.25" customHeight="1" x14ac:dyDescent="0.25">
      <c r="A36" s="99"/>
      <c r="B36" s="58"/>
      <c r="C36" s="17" t="s">
        <v>222</v>
      </c>
      <c r="D36" s="371" t="s">
        <v>1269</v>
      </c>
      <c r="E36" s="372"/>
      <c r="F36" s="373"/>
    </row>
    <row r="37" spans="1:6" ht="14.25" customHeight="1" x14ac:dyDescent="0.25">
      <c r="A37" s="99"/>
      <c r="B37" s="58"/>
      <c r="C37" s="17" t="s">
        <v>1082</v>
      </c>
      <c r="D37" s="371" t="s">
        <v>1269</v>
      </c>
      <c r="E37" s="372"/>
      <c r="F37" s="373"/>
    </row>
    <row r="38" spans="1:6" ht="14.25" customHeight="1" x14ac:dyDescent="0.25">
      <c r="A38" s="99"/>
      <c r="B38" s="58"/>
      <c r="C38" s="17" t="s">
        <v>102</v>
      </c>
      <c r="D38" s="371" t="s">
        <v>1269</v>
      </c>
      <c r="E38" s="372"/>
      <c r="F38" s="373"/>
    </row>
    <row r="39" spans="1:6" ht="14.25" customHeight="1" x14ac:dyDescent="0.25">
      <c r="A39" s="99"/>
      <c r="B39" s="58"/>
      <c r="C39" s="17" t="s">
        <v>476</v>
      </c>
      <c r="D39" s="371" t="s">
        <v>1269</v>
      </c>
      <c r="E39" s="372"/>
      <c r="F39" s="373"/>
    </row>
    <row r="40" spans="1:6" ht="14.25" customHeight="1" x14ac:dyDescent="0.25">
      <c r="A40" s="99"/>
      <c r="B40" s="58"/>
      <c r="C40" s="17" t="s">
        <v>336</v>
      </c>
      <c r="D40" s="371" t="s">
        <v>1269</v>
      </c>
      <c r="E40" s="372"/>
      <c r="F40" s="373"/>
    </row>
    <row r="41" spans="1:6" ht="14.25" customHeight="1" x14ac:dyDescent="0.25">
      <c r="A41" s="46" t="s">
        <v>53</v>
      </c>
      <c r="B41" s="47" t="s">
        <v>32</v>
      </c>
      <c r="C41" s="17" t="s">
        <v>13403</v>
      </c>
      <c r="D41" s="371" t="s">
        <v>1269</v>
      </c>
      <c r="E41" s="372"/>
      <c r="F41" s="373"/>
    </row>
    <row r="42" spans="1:6" ht="14.25" customHeight="1" x14ac:dyDescent="0.25">
      <c r="A42" s="99"/>
      <c r="B42" s="58"/>
      <c r="C42" s="17" t="s">
        <v>275</v>
      </c>
      <c r="D42" s="371" t="s">
        <v>1269</v>
      </c>
      <c r="E42" s="372"/>
      <c r="F42" s="373"/>
    </row>
    <row r="43" spans="1:6" ht="14.25" customHeight="1" x14ac:dyDescent="0.25">
      <c r="A43" s="99"/>
      <c r="B43" s="58"/>
      <c r="C43" s="17" t="s">
        <v>1095</v>
      </c>
      <c r="D43" s="371" t="s">
        <v>1269</v>
      </c>
      <c r="E43" s="372"/>
      <c r="F43" s="373"/>
    </row>
    <row r="44" spans="1:6" ht="14.25" customHeight="1" x14ac:dyDescent="0.25">
      <c r="A44" s="99"/>
      <c r="B44" s="58"/>
      <c r="C44" s="17" t="s">
        <v>1228</v>
      </c>
      <c r="D44" s="374" t="s">
        <v>1271</v>
      </c>
      <c r="E44" s="375"/>
      <c r="F44" s="98" t="s">
        <v>1272</v>
      </c>
    </row>
    <row r="45" spans="1:6" ht="14.25" customHeight="1" x14ac:dyDescent="0.25">
      <c r="A45" s="99"/>
      <c r="B45" s="58"/>
      <c r="C45" s="17" t="s">
        <v>1136</v>
      </c>
      <c r="D45" s="371" t="s">
        <v>1269</v>
      </c>
      <c r="E45" s="372"/>
      <c r="F45" s="373"/>
    </row>
    <row r="46" spans="1:6" ht="14.25" customHeight="1" x14ac:dyDescent="0.25">
      <c r="A46" s="99"/>
      <c r="B46" s="58"/>
      <c r="C46" s="17" t="s">
        <v>640</v>
      </c>
      <c r="D46" s="371" t="s">
        <v>1269</v>
      </c>
      <c r="E46" s="372"/>
      <c r="F46" s="373"/>
    </row>
    <row r="47" spans="1:6" ht="14.25" customHeight="1" x14ac:dyDescent="0.25">
      <c r="A47" s="99"/>
      <c r="B47" s="58"/>
      <c r="C47" s="17" t="s">
        <v>751</v>
      </c>
      <c r="D47" s="371" t="s">
        <v>1269</v>
      </c>
      <c r="E47" s="372"/>
      <c r="F47" s="373"/>
    </row>
    <row r="48" spans="1:6" ht="14.25" customHeight="1" x14ac:dyDescent="0.25">
      <c r="A48" s="99"/>
      <c r="B48" s="58"/>
      <c r="C48" s="17" t="s">
        <v>234</v>
      </c>
      <c r="D48" s="371" t="s">
        <v>1269</v>
      </c>
      <c r="E48" s="372"/>
      <c r="F48" s="373"/>
    </row>
    <row r="49" spans="1:6" ht="14.25" customHeight="1" x14ac:dyDescent="0.25">
      <c r="A49" s="99"/>
      <c r="B49" s="58"/>
      <c r="C49" s="17" t="s">
        <v>1187</v>
      </c>
      <c r="D49" s="376" t="s">
        <v>1273</v>
      </c>
      <c r="E49" s="377"/>
      <c r="F49" s="373"/>
    </row>
    <row r="50" spans="1:6" ht="14.25" customHeight="1" x14ac:dyDescent="0.25">
      <c r="A50" s="99"/>
      <c r="B50" s="58"/>
      <c r="C50" s="17" t="s">
        <v>1159</v>
      </c>
      <c r="D50" s="376" t="s">
        <v>1273</v>
      </c>
      <c r="E50" s="377"/>
      <c r="F50" s="373"/>
    </row>
    <row r="51" spans="1:6" ht="14.25" customHeight="1" x14ac:dyDescent="0.25">
      <c r="A51" s="99"/>
      <c r="B51" s="58"/>
      <c r="C51" s="17" t="s">
        <v>575</v>
      </c>
      <c r="D51" s="371" t="s">
        <v>1269</v>
      </c>
      <c r="E51" s="372"/>
      <c r="F51" s="373"/>
    </row>
    <row r="52" spans="1:6" ht="14.25" customHeight="1" x14ac:dyDescent="0.25">
      <c r="A52" s="99"/>
      <c r="B52" s="58"/>
      <c r="C52" s="17" t="s">
        <v>566</v>
      </c>
      <c r="D52" s="371" t="s">
        <v>1269</v>
      </c>
      <c r="E52" s="372"/>
      <c r="F52" s="373"/>
    </row>
    <row r="53" spans="1:6" ht="14.25" customHeight="1" x14ac:dyDescent="0.25">
      <c r="A53" s="99"/>
      <c r="B53" s="58"/>
      <c r="C53" s="17" t="s">
        <v>1213</v>
      </c>
      <c r="D53" s="374" t="s">
        <v>1271</v>
      </c>
      <c r="E53" s="375"/>
      <c r="F53" s="98" t="s">
        <v>1272</v>
      </c>
    </row>
    <row r="54" spans="1:6" ht="14.25" customHeight="1" x14ac:dyDescent="0.25">
      <c r="A54" s="99"/>
      <c r="B54" s="58"/>
      <c r="C54" s="17" t="s">
        <v>86</v>
      </c>
      <c r="D54" s="381" t="s">
        <v>1276</v>
      </c>
      <c r="E54" s="382"/>
      <c r="F54" s="373"/>
    </row>
    <row r="55" spans="1:6" ht="14.25" customHeight="1" x14ac:dyDescent="0.25">
      <c r="A55" s="99"/>
      <c r="B55" s="58"/>
      <c r="C55" s="17" t="s">
        <v>550</v>
      </c>
      <c r="D55" s="371" t="s">
        <v>1269</v>
      </c>
      <c r="E55" s="372"/>
      <c r="F55" s="373"/>
    </row>
    <row r="56" spans="1:6" ht="14.25" customHeight="1" x14ac:dyDescent="0.25">
      <c r="A56" s="99"/>
      <c r="B56" s="58"/>
      <c r="C56" s="17" t="s">
        <v>1278</v>
      </c>
      <c r="D56" s="371" t="s">
        <v>1269</v>
      </c>
      <c r="E56" s="372"/>
      <c r="F56" s="373"/>
    </row>
    <row r="57" spans="1:6" ht="14.25" customHeight="1" x14ac:dyDescent="0.25">
      <c r="A57" s="99"/>
      <c r="B57" s="58"/>
      <c r="C57" s="17" t="s">
        <v>505</v>
      </c>
      <c r="D57" s="371" t="s">
        <v>1269</v>
      </c>
      <c r="E57" s="372"/>
      <c r="F57" s="373"/>
    </row>
    <row r="58" spans="1:6" ht="14.25" customHeight="1" x14ac:dyDescent="0.25">
      <c r="A58" s="99"/>
      <c r="B58" s="58"/>
      <c r="C58" s="17" t="s">
        <v>1027</v>
      </c>
      <c r="D58" s="371" t="s">
        <v>1269</v>
      </c>
      <c r="E58" s="372"/>
      <c r="F58" s="373"/>
    </row>
    <row r="59" spans="1:6" ht="14.25" customHeight="1" x14ac:dyDescent="0.25">
      <c r="A59" s="232" t="s">
        <v>13516</v>
      </c>
      <c r="B59" s="233" t="s">
        <v>32</v>
      </c>
      <c r="C59" s="17" t="s">
        <v>1017</v>
      </c>
      <c r="D59" s="371" t="s">
        <v>1269</v>
      </c>
      <c r="E59" s="372"/>
      <c r="F59" s="373"/>
    </row>
    <row r="60" spans="1:6" ht="14.25" customHeight="1" x14ac:dyDescent="0.25">
      <c r="A60" s="99"/>
      <c r="B60" s="58"/>
      <c r="C60" s="17" t="s">
        <v>554</v>
      </c>
      <c r="D60" s="371" t="s">
        <v>1269</v>
      </c>
      <c r="E60" s="372"/>
      <c r="F60" s="373"/>
    </row>
    <row r="61" spans="1:6" ht="14.25" customHeight="1" x14ac:dyDescent="0.25">
      <c r="A61" s="99"/>
      <c r="B61" s="58"/>
      <c r="C61" s="17" t="s">
        <v>648</v>
      </c>
      <c r="D61" s="378" t="s">
        <v>1269</v>
      </c>
      <c r="E61" s="375"/>
      <c r="F61" s="98" t="s">
        <v>1272</v>
      </c>
    </row>
    <row r="62" spans="1:6" ht="14.25" customHeight="1" x14ac:dyDescent="0.25">
      <c r="A62" s="99"/>
      <c r="B62" s="58"/>
      <c r="C62" s="17" t="s">
        <v>1028</v>
      </c>
      <c r="D62" s="371" t="s">
        <v>1269</v>
      </c>
      <c r="E62" s="372"/>
      <c r="F62" s="373"/>
    </row>
    <row r="63" spans="1:6" ht="14.25" customHeight="1" x14ac:dyDescent="0.25">
      <c r="A63" s="99"/>
      <c r="B63" s="58"/>
      <c r="C63" s="17" t="s">
        <v>560</v>
      </c>
      <c r="D63" s="371" t="s">
        <v>1269</v>
      </c>
      <c r="E63" s="372"/>
      <c r="F63" s="373"/>
    </row>
    <row r="64" spans="1:6" ht="14.25" customHeight="1" x14ac:dyDescent="0.25">
      <c r="A64" s="99"/>
      <c r="B64" s="58"/>
      <c r="C64" s="17" t="s">
        <v>1086</v>
      </c>
      <c r="D64" s="371" t="s">
        <v>1269</v>
      </c>
      <c r="E64" s="372"/>
      <c r="F64" s="373"/>
    </row>
    <row r="65" spans="1:6" ht="14.25" customHeight="1" x14ac:dyDescent="0.25">
      <c r="A65" s="99"/>
      <c r="B65" s="58"/>
      <c r="C65" s="17" t="s">
        <v>195</v>
      </c>
      <c r="D65" s="378" t="s">
        <v>1269</v>
      </c>
      <c r="E65" s="375"/>
      <c r="F65" s="128" t="s">
        <v>1273</v>
      </c>
    </row>
    <row r="66" spans="1:6" ht="14.25" customHeight="1" x14ac:dyDescent="0.25">
      <c r="A66" s="99"/>
      <c r="B66" s="58"/>
      <c r="C66" s="17" t="s">
        <v>291</v>
      </c>
      <c r="D66" s="371" t="s">
        <v>1269</v>
      </c>
      <c r="E66" s="372"/>
      <c r="F66" s="373"/>
    </row>
    <row r="68" spans="1:6" ht="14.25" customHeight="1" x14ac:dyDescent="0.25">
      <c r="A68" s="46" t="s">
        <v>53</v>
      </c>
      <c r="B68" s="327" t="s">
        <v>32</v>
      </c>
    </row>
    <row r="69" spans="1:6" ht="14.25" customHeight="1" x14ac:dyDescent="0.25">
      <c r="A69" s="232" t="s">
        <v>13516</v>
      </c>
      <c r="B69" s="328" t="s">
        <v>32</v>
      </c>
    </row>
    <row r="70" spans="1:6" ht="14.25" customHeight="1" x14ac:dyDescent="0.25">
      <c r="A70" s="234" t="s">
        <v>54</v>
      </c>
      <c r="B70" s="329" t="s">
        <v>32</v>
      </c>
    </row>
  </sheetData>
  <mergeCells count="63">
    <mergeCell ref="D39:F39"/>
    <mergeCell ref="D34:F34"/>
    <mergeCell ref="D35:F35"/>
    <mergeCell ref="D36:F36"/>
    <mergeCell ref="D37:F37"/>
    <mergeCell ref="D38:F38"/>
    <mergeCell ref="D66:F66"/>
    <mergeCell ref="D62:F62"/>
    <mergeCell ref="D63:F63"/>
    <mergeCell ref="D64:F64"/>
    <mergeCell ref="D65:E65"/>
    <mergeCell ref="D55:F55"/>
    <mergeCell ref="D56:F56"/>
    <mergeCell ref="D57:F57"/>
    <mergeCell ref="D58:F58"/>
    <mergeCell ref="D59:F59"/>
    <mergeCell ref="D60:F60"/>
    <mergeCell ref="D61:E61"/>
    <mergeCell ref="D54:F54"/>
    <mergeCell ref="D53:E53"/>
    <mergeCell ref="D13:F13"/>
    <mergeCell ref="D15:F15"/>
    <mergeCell ref="D16:F16"/>
    <mergeCell ref="D17:F17"/>
    <mergeCell ref="D18:F18"/>
    <mergeCell ref="D20:F20"/>
    <mergeCell ref="D21:F21"/>
    <mergeCell ref="D22:F22"/>
    <mergeCell ref="D23:F23"/>
    <mergeCell ref="D24:F24"/>
    <mergeCell ref="D25:F25"/>
    <mergeCell ref="D26:F26"/>
    <mergeCell ref="D11:F11"/>
    <mergeCell ref="D3:E3"/>
    <mergeCell ref="D5:E5"/>
    <mergeCell ref="D7:F7"/>
    <mergeCell ref="D8:F8"/>
    <mergeCell ref="D9:F9"/>
    <mergeCell ref="D10:F10"/>
    <mergeCell ref="D6:F6"/>
    <mergeCell ref="D4:F4"/>
    <mergeCell ref="D12:F12"/>
    <mergeCell ref="D30:F30"/>
    <mergeCell ref="D31:F31"/>
    <mergeCell ref="D32:F32"/>
    <mergeCell ref="D33:F33"/>
    <mergeCell ref="D29:E29"/>
    <mergeCell ref="D14:E14"/>
    <mergeCell ref="D27:F27"/>
    <mergeCell ref="D28:E28"/>
    <mergeCell ref="D40:F40"/>
    <mergeCell ref="D42:F42"/>
    <mergeCell ref="D43:F43"/>
    <mergeCell ref="D46:F46"/>
    <mergeCell ref="D47:F47"/>
    <mergeCell ref="D45:F45"/>
    <mergeCell ref="D41:F41"/>
    <mergeCell ref="D48:F48"/>
    <mergeCell ref="D51:F51"/>
    <mergeCell ref="D52:F52"/>
    <mergeCell ref="D44:E44"/>
    <mergeCell ref="D49:F49"/>
    <mergeCell ref="D50:F50"/>
  </mergeCells>
  <hyperlinks>
    <hyperlink ref="C11" location="Content_Grade_Level" display="Content Grade Level" xr:uid="{00000000-0004-0000-0300-000000000000}"/>
    <hyperlink ref="C7" location="Border_Student" display="Border Student" xr:uid="{00000000-0004-0000-0300-000001000000}"/>
    <hyperlink ref="C8" location="Calendar_Type" display="Calendar Type" xr:uid="{00000000-0004-0000-0300-000002000000}"/>
    <hyperlink ref="C9" location="CIP_Codes" display="CIP Codes" xr:uid="{00000000-0004-0000-0300-000003000000}"/>
    <hyperlink ref="C13" location="Contract_Type" display="Contract Type" xr:uid="{00000000-0004-0000-0300-000004000000}"/>
    <hyperlink ref="C14" location="Country" display="Country" xr:uid="{00000000-0004-0000-0300-000005000000}"/>
    <hyperlink ref="C15" location="AssignmentCourse_Codes" display="Course Code" xr:uid="{00000000-0004-0000-0300-000006000000}"/>
    <hyperlink ref="C16" location="Course_Exit_Reason" display="Course Exit Reason" xr:uid="{00000000-0004-0000-0300-000007000000}"/>
    <hyperlink ref="C17" location="Course_Type" display="Course Type" xr:uid="{00000000-0004-0000-0300-000008000000}"/>
    <hyperlink ref="C18" location="Disciplinary_Action_Type" display="Disciplinary Action Type" xr:uid="{00000000-0004-0000-0300-000009000000}"/>
    <hyperlink ref="C22" location="Education_Degree" display="Education Degree" xr:uid="{00000000-0004-0000-0300-00000A000000}"/>
    <hyperlink ref="C23" location="Employment_Status" display="Employment Status" xr:uid="{00000000-0004-0000-0300-00000B000000}"/>
    <hyperlink ref="C24" location="Entry_Reasons" display="Entry Reasons" xr:uid="{00000000-0004-0000-0300-00000C000000}"/>
    <hyperlink ref="C25" location="Exceptionality" display="Exceptionality" xr:uid="{00000000-0004-0000-0300-00000D000000}"/>
    <hyperlink ref="C26" location="Exit_Reasons" display="Exit Reasons" xr:uid="{00000000-0004-0000-0300-00000E000000}"/>
    <hyperlink ref="C27" location="Extra_Pay_Type" display="Extra Pay Type" xr:uid="{00000000-0004-0000-0300-00000F000000}"/>
    <hyperlink ref="C33" location="Grade_Level" display="Grade Level" xr:uid="{00000000-0004-0000-0300-000011000000}"/>
    <hyperlink ref="C34" location="Higher_Ed_Institutions" display="Higher Ed Institutions" xr:uid="{00000000-0004-0000-0300-000012000000}"/>
    <hyperlink ref="C35" location="Homeless_Residence" display="Homeless Residence" xr:uid="{00000000-0004-0000-0300-000013000000}"/>
    <hyperlink ref="C37" location="IDEA_Interim_Removal_Reason" display="IDEA Interim Removal Reason" xr:uid="{00000000-0004-0000-0300-000014000000}"/>
    <hyperlink ref="C39" location="Kindergarten_Session_Type" display="Kindergarten Session Type" xr:uid="{00000000-0004-0000-0300-000015000000}"/>
    <hyperlink ref="C40" location="Languages" display="Languages" xr:uid="{00000000-0004-0000-0300-000016000000}"/>
    <hyperlink ref="C21" location="Lunch_Status" display="Lunch Status" xr:uid="{00000000-0004-0000-0300-000018000000}"/>
    <hyperlink ref="C43" location="Modified_Duration_Reason" display="Modified Duration Reason" xr:uid="{00000000-0004-0000-0300-000019000000}"/>
    <hyperlink ref="C47" location="Parapro_High_School_Degree" display="Parapro High School Degree" xr:uid="{00000000-0004-0000-0300-00001A000000}"/>
    <hyperlink ref="C51" location="Program_Exit_Reason" display="Program Exit Reason" xr:uid="{00000000-0004-0000-0300-00001B000000}"/>
    <hyperlink ref="C52" location="Program_Status_SE" display="Program Status" xr:uid="{00000000-0004-0000-0300-00001C000000}"/>
    <hyperlink ref="C55" location="Special_Ed_Determination_late" display="Special Ed Determination Late" xr:uid="{00000000-0004-0000-0300-00001D000000}"/>
    <hyperlink ref="C56" location="Special_Ed_Eligibility" display="Special Ed Eligibility" xr:uid="{00000000-0004-0000-0300-00001E000000}"/>
    <hyperlink ref="C57" location="Special_Ed_Environment" display="Special Ed Environment" xr:uid="{00000000-0004-0000-0300-00001F000000}"/>
    <hyperlink ref="C58" location="AssignmentCourse_Codes" display="Staff Assignment Code" xr:uid="{00000000-0004-0000-0300-000020000000}"/>
    <hyperlink ref="C59" location="Staff_Exit_Reason" display="Staff Exit Reason" xr:uid="{00000000-0004-0000-0300-000021000000}"/>
    <hyperlink ref="C60" location="State_Exception_Rule" display="State Exception Rule" xr:uid="{00000000-0004-0000-0300-000022000000}"/>
    <hyperlink ref="C61" location="State_Province" display="State Province" xr:uid="{00000000-0004-0000-0300-000023000000}"/>
    <hyperlink ref="C63" location="Undetermined_Reason" display="Undetermined Reason" xr:uid="{00000000-0004-0000-0300-000024000000}"/>
    <hyperlink ref="C64" location="Weapon_Type" display="Weapon Type" xr:uid="{00000000-0004-0000-0300-000025000000}"/>
    <hyperlink ref="C65" location="Yes_No" display="Yes/No" xr:uid="{00000000-0004-0000-0300-000026000000}"/>
    <hyperlink ref="C66" location="Yes_No_NA" display="Yes/No/NA" xr:uid="{00000000-0004-0000-0300-000027000000}"/>
    <hyperlink ref="C38" location="Instructional_Setting" display="Instructional Setting" xr:uid="{00000000-0004-0000-0300-000028000000}"/>
    <hyperlink ref="C36" location="Idaho_Counties" display="Idaho Counties" xr:uid="{00000000-0004-0000-0300-000029000000}"/>
    <hyperlink ref="C54" location="Schools" display="Schools" xr:uid="{00000000-0004-0000-0300-00002E000000}"/>
    <hyperlink ref="C31" location="Gender" display="Gender" xr:uid="{00000000-0004-0000-0300-00002F000000}"/>
    <hyperlink ref="C20" location="Early_Childhood_Determination" display="Early Childhood Determination Late" xr:uid="{00000000-0004-0000-0300-000030000000}"/>
    <hyperlink ref="C10" location="College_Credit" display="College Credit" xr:uid="{00000000-0004-0000-0300-000031000000}"/>
    <hyperlink ref="C32" location="Gifted_Exit_Reason" display="Gifted Exit Reason" xr:uid="{00000000-0004-0000-0300-000032000000}"/>
    <hyperlink ref="C42" location="Military_Connection" display="Military Connection" xr:uid="{00000000-0004-0000-0300-000033000000}"/>
    <hyperlink ref="C62" location="Teaching_Role" display="Teaching Role" xr:uid="{00000000-0004-0000-0300-000035000000}"/>
    <hyperlink ref="C48" location="PH_School" display="PH School" xr:uid="{0E3DB06E-A86D-4CF9-9040-98CD77BE4625}"/>
    <hyperlink ref="C30" location="Funding_Source" display="Funding Source" xr:uid="{00000000-0004-0000-0300-000010000000}"/>
    <hyperlink ref="C5" location="Account_Code" display="Account Code" xr:uid="{E233A16C-2A10-4027-A053-6091F5665C70}"/>
    <hyperlink ref="C28" location="Function_Code" display="Function Code" xr:uid="{764FD5BD-8021-46C8-8230-22A68ABA4CD7}"/>
    <hyperlink ref="C29" location="Fund_Number" display="Fund Number" xr:uid="{973D5F26-4C2A-4CAB-8D17-1298412F191B}"/>
    <hyperlink ref="C44" location="Object_Code" display="Object Code" xr:uid="{3ED27AA9-BFC9-42BA-8352-4D55947F5DB2}"/>
    <hyperlink ref="C49" location="Phone_Type" display="Phone Type" xr:uid="{7D956C16-0F81-4117-900C-52D4EDAD0BFE}"/>
    <hyperlink ref="C50" location="Program_Contact_Role" display="Program Contact Role" xr:uid="{61E1C3DB-2586-40A2-ACA3-AA6B314C7FCD}"/>
    <hyperlink ref="C46" location="Parapro_Type" display="Parapro Type" xr:uid="{C177EBCA-75D3-4B8B-B075-EC3831DCE4A0}"/>
    <hyperlink ref="C53" location="Record_Type_ASF" display="Record Type" xr:uid="{05707C59-EC91-4DD2-86B1-B9E36B4750A7}"/>
    <hyperlink ref="C19" location="Districts" display="Districts" xr:uid="{049B3AED-D42C-48C1-890C-AD0CDC27609B}"/>
    <hyperlink ref="C12" location="Contract_Number" display="Contract Number" xr:uid="{6ECFEC57-A149-4D34-BF9E-E1F5BCC33B4C}"/>
    <hyperlink ref="C6" location="Address_Type" display="Address Type" xr:uid="{C8E3187E-45C0-4B4E-83B6-A1FD2C017D4D}"/>
    <hyperlink ref="C45" location="Open_Enrollment_Program_Type" display="Open Enrollment Program Type" xr:uid="{DEC1F40A-9ACA-447D-8520-A52E5C21F62A}"/>
    <hyperlink ref="C4" location="Absence_Reason" display="Absence Reason" xr:uid="{37E2432F-5E7E-420F-8129-A7CF0D56FA30}"/>
    <hyperlink ref="C41" location="Membership_Type" display="Membership Type" xr:uid="{12E76CAF-88D5-4DCB-B08D-1F35764E177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Right="0"/>
  </sheetPr>
  <dimension ref="A1:E4212"/>
  <sheetViews>
    <sheetView zoomScaleNormal="100" workbookViewId="0">
      <pane ySplit="1" topLeftCell="A2" activePane="bottomLeft" state="frozen"/>
      <selection pane="bottomLeft"/>
    </sheetView>
  </sheetViews>
  <sheetFormatPr defaultColWidth="22" defaultRowHeight="14.85" customHeight="1" outlineLevelRow="1" x14ac:dyDescent="0.25"/>
  <cols>
    <col min="1" max="1" width="30.77734375" style="58" customWidth="1"/>
    <col min="2" max="2" width="10.77734375" style="107" customWidth="1"/>
    <col min="3" max="3" width="42.5546875" style="58" customWidth="1"/>
    <col min="4" max="4" width="65" style="106" customWidth="1"/>
    <col min="5" max="5" width="66.5546875" style="105" customWidth="1"/>
    <col min="6" max="16384" width="22" style="58"/>
  </cols>
  <sheetData>
    <row r="1" spans="1:5" ht="15.6" customHeight="1" thickBot="1" x14ac:dyDescent="0.3">
      <c r="A1" s="19" t="s">
        <v>69</v>
      </c>
      <c r="B1" s="59" t="s">
        <v>1279</v>
      </c>
      <c r="C1" s="19" t="s">
        <v>1280</v>
      </c>
      <c r="D1" s="19" t="s">
        <v>1281</v>
      </c>
      <c r="E1" s="61" t="s">
        <v>1282</v>
      </c>
    </row>
    <row r="2" spans="1:5" ht="15.6" customHeight="1" x14ac:dyDescent="0.25">
      <c r="A2" s="58" t="s">
        <v>465</v>
      </c>
      <c r="B2" s="129" t="s">
        <v>1283</v>
      </c>
      <c r="C2" s="100" t="s">
        <v>1284</v>
      </c>
      <c r="D2" s="100" t="s">
        <v>1285</v>
      </c>
      <c r="E2" s="110"/>
    </row>
    <row r="3" spans="1:5" ht="15.6" customHeight="1" x14ac:dyDescent="0.25">
      <c r="A3" s="58" t="s">
        <v>465</v>
      </c>
      <c r="B3" s="129" t="s">
        <v>1286</v>
      </c>
      <c r="C3" s="100" t="s">
        <v>1287</v>
      </c>
      <c r="D3" s="100" t="s">
        <v>1288</v>
      </c>
      <c r="E3" s="110" t="s">
        <v>1289</v>
      </c>
    </row>
    <row r="4" spans="1:5" ht="15.6" customHeight="1" x14ac:dyDescent="0.25">
      <c r="A4" s="58" t="s">
        <v>465</v>
      </c>
      <c r="B4" s="129" t="s">
        <v>1290</v>
      </c>
      <c r="C4" s="100" t="s">
        <v>1291</v>
      </c>
      <c r="D4" s="100" t="s">
        <v>1292</v>
      </c>
      <c r="E4" s="110"/>
    </row>
    <row r="5" spans="1:5" ht="14.85" customHeight="1" x14ac:dyDescent="0.25">
      <c r="A5" s="58" t="s">
        <v>1224</v>
      </c>
      <c r="B5" s="129" t="s">
        <v>1293</v>
      </c>
      <c r="C5" s="58" t="s">
        <v>1294</v>
      </c>
      <c r="D5" s="100"/>
      <c r="E5" s="110"/>
    </row>
    <row r="6" spans="1:5" ht="14.85" customHeight="1" x14ac:dyDescent="0.25">
      <c r="A6" s="58" t="s">
        <v>1224</v>
      </c>
      <c r="B6" s="129" t="s">
        <v>1295</v>
      </c>
      <c r="C6" s="58" t="s">
        <v>1296</v>
      </c>
      <c r="D6" s="58"/>
      <c r="E6" s="79"/>
    </row>
    <row r="7" spans="1:5" ht="14.85" customHeight="1" x14ac:dyDescent="0.25">
      <c r="A7" s="58" t="s">
        <v>1224</v>
      </c>
      <c r="B7" s="129" t="s">
        <v>1297</v>
      </c>
      <c r="C7" s="58" t="s">
        <v>1298</v>
      </c>
      <c r="D7" s="58"/>
      <c r="E7" s="79"/>
    </row>
    <row r="8" spans="1:5" ht="14.85" customHeight="1" x14ac:dyDescent="0.25">
      <c r="A8" s="58" t="s">
        <v>1224</v>
      </c>
      <c r="B8" s="129" t="s">
        <v>1299</v>
      </c>
      <c r="C8" s="58" t="s">
        <v>1300</v>
      </c>
      <c r="D8" s="58"/>
      <c r="E8" s="79"/>
    </row>
    <row r="9" spans="1:5" ht="14.85" customHeight="1" x14ac:dyDescent="0.25">
      <c r="A9" s="58" t="s">
        <v>1224</v>
      </c>
      <c r="B9" s="129" t="s">
        <v>1301</v>
      </c>
      <c r="C9" s="58" t="s">
        <v>1302</v>
      </c>
      <c r="D9" s="58"/>
      <c r="E9" s="79"/>
    </row>
    <row r="10" spans="1:5" ht="14.85" customHeight="1" x14ac:dyDescent="0.25">
      <c r="A10" s="58" t="s">
        <v>1224</v>
      </c>
      <c r="B10" s="129" t="s">
        <v>1303</v>
      </c>
      <c r="C10" s="58" t="s">
        <v>1304</v>
      </c>
      <c r="D10" s="58"/>
      <c r="E10" s="79"/>
    </row>
    <row r="11" spans="1:5" ht="14.85" customHeight="1" x14ac:dyDescent="0.25">
      <c r="A11" s="58" t="s">
        <v>1224</v>
      </c>
      <c r="B11" s="129" t="s">
        <v>1305</v>
      </c>
      <c r="C11" s="58" t="s">
        <v>1306</v>
      </c>
      <c r="D11" s="58"/>
      <c r="E11" s="79"/>
    </row>
    <row r="12" spans="1:5" ht="14.85" customHeight="1" x14ac:dyDescent="0.25">
      <c r="A12" s="58" t="s">
        <v>1224</v>
      </c>
      <c r="B12" s="129" t="s">
        <v>1307</v>
      </c>
      <c r="C12" s="58" t="s">
        <v>1308</v>
      </c>
      <c r="D12" s="58"/>
      <c r="E12" s="79"/>
    </row>
    <row r="13" spans="1:5" ht="14.85" customHeight="1" x14ac:dyDescent="0.25">
      <c r="A13" s="58" t="s">
        <v>1224</v>
      </c>
      <c r="B13" s="129" t="s">
        <v>1309</v>
      </c>
      <c r="C13" s="58" t="s">
        <v>1310</v>
      </c>
      <c r="D13" s="58"/>
      <c r="E13" s="79"/>
    </row>
    <row r="14" spans="1:5" s="93" customFormat="1" ht="14.85" customHeight="1" x14ac:dyDescent="0.25">
      <c r="A14" s="58" t="s">
        <v>1224</v>
      </c>
      <c r="B14" s="129" t="s">
        <v>1311</v>
      </c>
      <c r="C14" s="58" t="s">
        <v>1312</v>
      </c>
      <c r="D14" s="58"/>
      <c r="E14" s="79"/>
    </row>
    <row r="15" spans="1:5" ht="14.85" customHeight="1" x14ac:dyDescent="0.25">
      <c r="A15" s="58" t="s">
        <v>1224</v>
      </c>
      <c r="B15" s="129" t="s">
        <v>1313</v>
      </c>
      <c r="C15" s="58" t="s">
        <v>1314</v>
      </c>
      <c r="D15" s="58"/>
      <c r="E15" s="79"/>
    </row>
    <row r="16" spans="1:5" ht="14.85" customHeight="1" x14ac:dyDescent="0.25">
      <c r="A16" s="303" t="s">
        <v>1224</v>
      </c>
      <c r="B16" s="129" t="s">
        <v>1315</v>
      </c>
      <c r="C16" s="303" t="s">
        <v>13398</v>
      </c>
      <c r="D16" s="58"/>
      <c r="E16" s="79"/>
    </row>
    <row r="17" spans="1:5" ht="14.85" customHeight="1" x14ac:dyDescent="0.25">
      <c r="A17" s="58" t="s">
        <v>1224</v>
      </c>
      <c r="B17" s="107" t="s">
        <v>1316</v>
      </c>
      <c r="C17" s="58" t="s">
        <v>1317</v>
      </c>
      <c r="D17" s="58"/>
      <c r="E17" s="79"/>
    </row>
    <row r="18" spans="1:5" ht="14.85" customHeight="1" x14ac:dyDescent="0.25">
      <c r="A18" s="58" t="s">
        <v>1224</v>
      </c>
      <c r="B18" s="107" t="s">
        <v>1318</v>
      </c>
      <c r="C18" s="58" t="s">
        <v>1319</v>
      </c>
      <c r="D18" s="58"/>
      <c r="E18" s="79"/>
    </row>
    <row r="19" spans="1:5" ht="14.85" customHeight="1" x14ac:dyDescent="0.25">
      <c r="A19" s="58" t="s">
        <v>1224</v>
      </c>
      <c r="B19" s="107" t="s">
        <v>1320</v>
      </c>
      <c r="C19" s="58" t="s">
        <v>1321</v>
      </c>
      <c r="D19" s="58"/>
      <c r="E19" s="79"/>
    </row>
    <row r="20" spans="1:5" ht="14.85" customHeight="1" x14ac:dyDescent="0.25">
      <c r="A20" s="58" t="s">
        <v>1224</v>
      </c>
      <c r="B20" s="107" t="s">
        <v>1322</v>
      </c>
      <c r="C20" s="58" t="s">
        <v>1323</v>
      </c>
      <c r="D20" s="58"/>
      <c r="E20" s="79"/>
    </row>
    <row r="21" spans="1:5" ht="14.85" customHeight="1" x14ac:dyDescent="0.25">
      <c r="A21" s="58" t="s">
        <v>1224</v>
      </c>
      <c r="B21" s="107" t="s">
        <v>1324</v>
      </c>
      <c r="C21" s="58" t="s">
        <v>1325</v>
      </c>
      <c r="D21" s="58"/>
      <c r="E21" s="79"/>
    </row>
    <row r="22" spans="1:5" ht="14.85" customHeight="1" x14ac:dyDescent="0.25">
      <c r="A22" s="58" t="s">
        <v>1224</v>
      </c>
      <c r="B22" s="107" t="s">
        <v>1326</v>
      </c>
      <c r="C22" s="58" t="s">
        <v>1327</v>
      </c>
      <c r="D22" s="58"/>
      <c r="E22" s="79"/>
    </row>
    <row r="23" spans="1:5" ht="14.85" customHeight="1" x14ac:dyDescent="0.25">
      <c r="A23" s="58" t="s">
        <v>1224</v>
      </c>
      <c r="B23" s="107" t="s">
        <v>1328</v>
      </c>
      <c r="C23" s="58" t="s">
        <v>1329</v>
      </c>
      <c r="D23" s="58"/>
      <c r="E23" s="79"/>
    </row>
    <row r="24" spans="1:5" ht="14.85" customHeight="1" x14ac:dyDescent="0.25">
      <c r="A24" s="303" t="s">
        <v>1224</v>
      </c>
      <c r="B24" s="107" t="s">
        <v>1330</v>
      </c>
      <c r="C24" s="303" t="s">
        <v>13399</v>
      </c>
      <c r="D24" s="58"/>
      <c r="E24" s="79"/>
    </row>
    <row r="25" spans="1:5" ht="14.85" customHeight="1" x14ac:dyDescent="0.25">
      <c r="A25" s="58" t="s">
        <v>1224</v>
      </c>
      <c r="B25" s="107" t="s">
        <v>1331</v>
      </c>
      <c r="C25" s="58" t="s">
        <v>1332</v>
      </c>
      <c r="D25" s="58"/>
      <c r="E25" s="79"/>
    </row>
    <row r="26" spans="1:5" ht="14.85" customHeight="1" x14ac:dyDescent="0.25">
      <c r="A26" s="58" t="s">
        <v>1224</v>
      </c>
      <c r="B26" s="107" t="s">
        <v>1333</v>
      </c>
      <c r="C26" s="58" t="s">
        <v>1334</v>
      </c>
      <c r="D26" s="58"/>
      <c r="E26" s="79"/>
    </row>
    <row r="27" spans="1:5" ht="14.85" customHeight="1" x14ac:dyDescent="0.25">
      <c r="A27" s="58" t="s">
        <v>1224</v>
      </c>
      <c r="B27" s="107" t="s">
        <v>1335</v>
      </c>
      <c r="C27" s="58" t="s">
        <v>1336</v>
      </c>
      <c r="D27" s="58"/>
      <c r="E27" s="79"/>
    </row>
    <row r="28" spans="1:5" ht="14.85" customHeight="1" x14ac:dyDescent="0.25">
      <c r="A28" s="303" t="s">
        <v>1224</v>
      </c>
      <c r="B28" s="107" t="s">
        <v>1337</v>
      </c>
      <c r="C28" s="303" t="s">
        <v>13400</v>
      </c>
      <c r="D28" s="58"/>
      <c r="E28" s="79"/>
    </row>
    <row r="29" spans="1:5" ht="14.85" customHeight="1" x14ac:dyDescent="0.25">
      <c r="A29" s="303" t="s">
        <v>1224</v>
      </c>
      <c r="B29" s="107" t="s">
        <v>1338</v>
      </c>
      <c r="C29" s="303" t="s">
        <v>13401</v>
      </c>
      <c r="D29" s="58"/>
      <c r="E29" s="79"/>
    </row>
    <row r="30" spans="1:5" ht="14.85" customHeight="1" x14ac:dyDescent="0.25">
      <c r="A30" s="58" t="s">
        <v>1224</v>
      </c>
      <c r="B30" s="107" t="s">
        <v>1339</v>
      </c>
      <c r="C30" s="58" t="s">
        <v>1340</v>
      </c>
      <c r="D30" s="58"/>
      <c r="E30" s="79"/>
    </row>
    <row r="31" spans="1:5" ht="14.85" customHeight="1" x14ac:dyDescent="0.25">
      <c r="A31" s="303" t="s">
        <v>1224</v>
      </c>
      <c r="B31" s="107" t="s">
        <v>1341</v>
      </c>
      <c r="C31" s="303" t="s">
        <v>13402</v>
      </c>
      <c r="D31" s="58"/>
      <c r="E31" s="79"/>
    </row>
    <row r="32" spans="1:5" ht="14.85" customHeight="1" x14ac:dyDescent="0.25">
      <c r="A32" s="58" t="s">
        <v>1224</v>
      </c>
      <c r="B32" s="107" t="s">
        <v>1342</v>
      </c>
      <c r="C32" s="58" t="s">
        <v>1343</v>
      </c>
      <c r="D32" s="58"/>
      <c r="E32" s="79"/>
    </row>
    <row r="33" spans="1:5" ht="14.85" customHeight="1" x14ac:dyDescent="0.25">
      <c r="A33" s="58" t="s">
        <v>1224</v>
      </c>
      <c r="B33" s="129" t="s">
        <v>1344</v>
      </c>
      <c r="C33" s="58" t="s">
        <v>1345</v>
      </c>
      <c r="D33" s="58"/>
      <c r="E33" s="79"/>
    </row>
    <row r="34" spans="1:5" ht="14.85" customHeight="1" x14ac:dyDescent="0.25">
      <c r="A34" s="58" t="s">
        <v>1224</v>
      </c>
      <c r="B34" s="129" t="s">
        <v>1346</v>
      </c>
      <c r="C34" s="100" t="s">
        <v>1347</v>
      </c>
      <c r="D34" s="58"/>
      <c r="E34" s="79"/>
    </row>
    <row r="35" spans="1:5" ht="14.85" customHeight="1" x14ac:dyDescent="0.25">
      <c r="A35" s="58" t="s">
        <v>1224</v>
      </c>
      <c r="B35" s="129" t="s">
        <v>1348</v>
      </c>
      <c r="C35" s="58" t="s">
        <v>1349</v>
      </c>
      <c r="D35" s="58"/>
      <c r="E35" s="79"/>
    </row>
    <row r="36" spans="1:5" ht="14.85" customHeight="1" x14ac:dyDescent="0.25">
      <c r="A36" s="58" t="s">
        <v>1224</v>
      </c>
      <c r="B36" s="129" t="s">
        <v>1350</v>
      </c>
      <c r="C36" s="58" t="s">
        <v>1351</v>
      </c>
      <c r="D36" s="58"/>
      <c r="E36" s="79"/>
    </row>
    <row r="37" spans="1:5" ht="14.85" customHeight="1" x14ac:dyDescent="0.25">
      <c r="A37" s="58" t="s">
        <v>1224</v>
      </c>
      <c r="B37" s="107" t="s">
        <v>1352</v>
      </c>
      <c r="C37" s="58" t="s">
        <v>1353</v>
      </c>
      <c r="D37" s="58"/>
      <c r="E37" s="79"/>
    </row>
    <row r="38" spans="1:5" ht="14.85" customHeight="1" x14ac:dyDescent="0.25">
      <c r="A38" s="58" t="s">
        <v>1224</v>
      </c>
      <c r="B38" s="107" t="s">
        <v>1354</v>
      </c>
      <c r="C38" s="58" t="s">
        <v>1355</v>
      </c>
      <c r="D38" s="58"/>
      <c r="E38" s="79"/>
    </row>
    <row r="39" spans="1:5" ht="14.85" customHeight="1" x14ac:dyDescent="0.25">
      <c r="A39" s="58" t="s">
        <v>1224</v>
      </c>
      <c r="B39" s="107" t="s">
        <v>1356</v>
      </c>
      <c r="C39" s="58" t="s">
        <v>1357</v>
      </c>
      <c r="D39" s="58"/>
      <c r="E39" s="79"/>
    </row>
    <row r="40" spans="1:5" ht="14.85" customHeight="1" x14ac:dyDescent="0.25">
      <c r="A40" s="58" t="s">
        <v>1224</v>
      </c>
      <c r="B40" s="107" t="s">
        <v>1358</v>
      </c>
      <c r="C40" s="58" t="s">
        <v>1359</v>
      </c>
      <c r="D40" s="58"/>
      <c r="E40" s="79"/>
    </row>
    <row r="41" spans="1:5" ht="14.85" customHeight="1" x14ac:dyDescent="0.25">
      <c r="A41" s="58" t="s">
        <v>1224</v>
      </c>
      <c r="B41" s="107" t="s">
        <v>1360</v>
      </c>
      <c r="C41" s="58" t="s">
        <v>1361</v>
      </c>
      <c r="D41" s="58"/>
      <c r="E41" s="79"/>
    </row>
    <row r="42" spans="1:5" ht="14.85" customHeight="1" x14ac:dyDescent="0.25">
      <c r="A42" s="58" t="s">
        <v>1224</v>
      </c>
      <c r="B42" s="129" t="s">
        <v>1362</v>
      </c>
      <c r="C42" s="58" t="s">
        <v>1363</v>
      </c>
      <c r="D42" s="58"/>
      <c r="E42" s="79"/>
    </row>
    <row r="43" spans="1:5" ht="14.85" customHeight="1" x14ac:dyDescent="0.25">
      <c r="A43" s="58" t="s">
        <v>1224</v>
      </c>
      <c r="B43" s="129" t="s">
        <v>1364</v>
      </c>
      <c r="C43" s="58" t="s">
        <v>1365</v>
      </c>
      <c r="D43" s="58"/>
      <c r="E43" s="79"/>
    </row>
    <row r="44" spans="1:5" ht="14.85" customHeight="1" x14ac:dyDescent="0.25">
      <c r="A44" s="58" t="s">
        <v>1224</v>
      </c>
      <c r="B44" s="129" t="s">
        <v>1366</v>
      </c>
      <c r="C44" s="58" t="s">
        <v>1367</v>
      </c>
      <c r="D44" s="58"/>
      <c r="E44" s="79"/>
    </row>
    <row r="45" spans="1:5" ht="14.85" customHeight="1" x14ac:dyDescent="0.25">
      <c r="A45" s="58" t="s">
        <v>1224</v>
      </c>
      <c r="B45" s="129" t="s">
        <v>1368</v>
      </c>
      <c r="C45" s="58" t="s">
        <v>1369</v>
      </c>
      <c r="D45" s="58"/>
      <c r="E45" s="79"/>
    </row>
    <row r="46" spans="1:5" ht="14.85" customHeight="1" x14ac:dyDescent="0.25">
      <c r="A46" s="58" t="s">
        <v>1224</v>
      </c>
      <c r="B46" s="129" t="s">
        <v>1370</v>
      </c>
      <c r="C46" s="58" t="s">
        <v>1371</v>
      </c>
      <c r="D46" s="58"/>
      <c r="E46" s="79"/>
    </row>
    <row r="47" spans="1:5" ht="14.85" customHeight="1" x14ac:dyDescent="0.25">
      <c r="A47" s="58" t="s">
        <v>1224</v>
      </c>
      <c r="B47" s="129" t="s">
        <v>1372</v>
      </c>
      <c r="C47" s="58" t="s">
        <v>1373</v>
      </c>
      <c r="D47" s="58"/>
      <c r="E47" s="79"/>
    </row>
    <row r="48" spans="1:5" ht="14.85" customHeight="1" x14ac:dyDescent="0.25">
      <c r="A48" s="58" t="s">
        <v>1224</v>
      </c>
      <c r="B48" s="129" t="s">
        <v>1374</v>
      </c>
      <c r="C48" s="58" t="s">
        <v>1375</v>
      </c>
      <c r="D48" s="58"/>
      <c r="E48" s="79"/>
    </row>
    <row r="49" spans="1:5" ht="14.85" customHeight="1" x14ac:dyDescent="0.25">
      <c r="A49" s="58" t="s">
        <v>1224</v>
      </c>
      <c r="B49" s="129" t="s">
        <v>1376</v>
      </c>
      <c r="C49" s="58" t="s">
        <v>1377</v>
      </c>
      <c r="D49" s="58"/>
      <c r="E49" s="79"/>
    </row>
    <row r="50" spans="1:5" ht="14.85" customHeight="1" x14ac:dyDescent="0.25">
      <c r="A50" s="58" t="s">
        <v>1224</v>
      </c>
      <c r="B50" s="129" t="s">
        <v>1378</v>
      </c>
      <c r="C50" s="58" t="s">
        <v>1379</v>
      </c>
      <c r="D50" s="58"/>
      <c r="E50" s="79"/>
    </row>
    <row r="51" spans="1:5" ht="14.85" customHeight="1" x14ac:dyDescent="0.25">
      <c r="A51" s="58" t="s">
        <v>1224</v>
      </c>
      <c r="B51" s="129" t="s">
        <v>1380</v>
      </c>
      <c r="C51" s="58" t="s">
        <v>1381</v>
      </c>
      <c r="D51" s="58"/>
      <c r="E51" s="79"/>
    </row>
    <row r="52" spans="1:5" ht="14.85" customHeight="1" x14ac:dyDescent="0.25">
      <c r="A52" s="58" t="s">
        <v>1224</v>
      </c>
      <c r="B52" s="129" t="s">
        <v>1382</v>
      </c>
      <c r="C52" s="100" t="s">
        <v>1383</v>
      </c>
      <c r="D52" s="100"/>
      <c r="E52" s="110"/>
    </row>
    <row r="53" spans="1:5" ht="14.85" customHeight="1" x14ac:dyDescent="0.25">
      <c r="A53" s="58" t="s">
        <v>1224</v>
      </c>
      <c r="B53" s="129" t="s">
        <v>1384</v>
      </c>
      <c r="C53" s="100" t="s">
        <v>1385</v>
      </c>
      <c r="D53" s="100"/>
      <c r="E53" s="110"/>
    </row>
    <row r="54" spans="1:5" ht="14.85" customHeight="1" x14ac:dyDescent="0.25">
      <c r="A54" s="58" t="s">
        <v>1224</v>
      </c>
      <c r="B54" s="129" t="s">
        <v>1386</v>
      </c>
      <c r="C54" s="100" t="s">
        <v>1387</v>
      </c>
      <c r="D54" s="100"/>
      <c r="E54" s="110"/>
    </row>
    <row r="55" spans="1:5" ht="14.85" customHeight="1" x14ac:dyDescent="0.25">
      <c r="A55" s="58" t="s">
        <v>1224</v>
      </c>
      <c r="B55" s="129" t="s">
        <v>1388</v>
      </c>
      <c r="C55" s="100" t="s">
        <v>1389</v>
      </c>
      <c r="D55" s="100"/>
      <c r="E55" s="110"/>
    </row>
    <row r="56" spans="1:5" ht="14.85" customHeight="1" x14ac:dyDescent="0.25">
      <c r="A56" s="58" t="s">
        <v>1224</v>
      </c>
      <c r="B56" s="129" t="s">
        <v>1390</v>
      </c>
      <c r="C56" s="100" t="s">
        <v>1391</v>
      </c>
      <c r="D56" s="100"/>
      <c r="E56" s="110"/>
    </row>
    <row r="57" spans="1:5" ht="14.85" customHeight="1" x14ac:dyDescent="0.25">
      <c r="A57" s="58" t="s">
        <v>1224</v>
      </c>
      <c r="B57" s="129" t="s">
        <v>1392</v>
      </c>
      <c r="C57" s="100" t="s">
        <v>1393</v>
      </c>
      <c r="D57" s="100"/>
      <c r="E57" s="110"/>
    </row>
    <row r="58" spans="1:5" ht="14.85" customHeight="1" x14ac:dyDescent="0.25">
      <c r="A58" s="58" t="s">
        <v>1224</v>
      </c>
      <c r="B58" s="129" t="s">
        <v>1394</v>
      </c>
      <c r="C58" s="100" t="s">
        <v>1395</v>
      </c>
      <c r="D58" s="100"/>
      <c r="E58" s="110"/>
    </row>
    <row r="59" spans="1:5" ht="14.85" customHeight="1" x14ac:dyDescent="0.25">
      <c r="A59" s="58" t="s">
        <v>1224</v>
      </c>
      <c r="B59" s="129" t="s">
        <v>1396</v>
      </c>
      <c r="C59" s="100" t="s">
        <v>1397</v>
      </c>
      <c r="D59" s="100"/>
      <c r="E59" s="110"/>
    </row>
    <row r="60" spans="1:5" ht="14.85" customHeight="1" x14ac:dyDescent="0.25">
      <c r="A60" s="58" t="s">
        <v>1224</v>
      </c>
      <c r="B60" s="129" t="s">
        <v>1398</v>
      </c>
      <c r="C60" s="100" t="s">
        <v>1399</v>
      </c>
      <c r="D60" s="100"/>
      <c r="E60" s="110"/>
    </row>
    <row r="61" spans="1:5" ht="14.85" customHeight="1" x14ac:dyDescent="0.25">
      <c r="A61" s="58" t="s">
        <v>1224</v>
      </c>
      <c r="B61" s="129" t="s">
        <v>1400</v>
      </c>
      <c r="C61" s="100" t="s">
        <v>1401</v>
      </c>
      <c r="D61" s="100"/>
      <c r="E61" s="110"/>
    </row>
    <row r="62" spans="1:5" ht="14.85" customHeight="1" x14ac:dyDescent="0.25">
      <c r="A62" s="58" t="s">
        <v>1224</v>
      </c>
      <c r="B62" s="129" t="s">
        <v>1402</v>
      </c>
      <c r="C62" s="100" t="s">
        <v>1403</v>
      </c>
      <c r="D62" s="100"/>
      <c r="E62" s="110"/>
    </row>
    <row r="63" spans="1:5" ht="14.85" customHeight="1" x14ac:dyDescent="0.25">
      <c r="A63" s="58" t="s">
        <v>1224</v>
      </c>
      <c r="B63" s="129" t="s">
        <v>1404</v>
      </c>
      <c r="C63" s="100" t="s">
        <v>1405</v>
      </c>
      <c r="D63" s="100"/>
      <c r="E63" s="110"/>
    </row>
    <row r="64" spans="1:5" ht="14.85" customHeight="1" x14ac:dyDescent="0.25">
      <c r="A64" s="58" t="s">
        <v>1224</v>
      </c>
      <c r="B64" s="129" t="s">
        <v>1406</v>
      </c>
      <c r="C64" s="100" t="s">
        <v>1407</v>
      </c>
      <c r="D64" s="100"/>
      <c r="E64" s="110"/>
    </row>
    <row r="65" spans="1:5" ht="14.85" customHeight="1" x14ac:dyDescent="0.25">
      <c r="A65" s="58" t="s">
        <v>1224</v>
      </c>
      <c r="B65" s="129" t="s">
        <v>1408</v>
      </c>
      <c r="C65" s="100" t="s">
        <v>1409</v>
      </c>
      <c r="D65" s="100"/>
      <c r="E65" s="110"/>
    </row>
    <row r="66" spans="1:5" ht="14.85" customHeight="1" x14ac:dyDescent="0.25">
      <c r="A66" s="58" t="s">
        <v>1224</v>
      </c>
      <c r="B66" s="129" t="s">
        <v>1410</v>
      </c>
      <c r="C66" s="100" t="s">
        <v>1411</v>
      </c>
      <c r="D66" s="100"/>
      <c r="E66" s="110"/>
    </row>
    <row r="67" spans="1:5" ht="14.85" customHeight="1" x14ac:dyDescent="0.25">
      <c r="A67" s="58" t="s">
        <v>1224</v>
      </c>
      <c r="B67" s="129" t="s">
        <v>1412</v>
      </c>
      <c r="C67" s="100" t="s">
        <v>1413</v>
      </c>
      <c r="D67" s="100"/>
      <c r="E67" s="110"/>
    </row>
    <row r="68" spans="1:5" ht="14.85" customHeight="1" x14ac:dyDescent="0.25">
      <c r="A68" s="58" t="s">
        <v>1224</v>
      </c>
      <c r="B68" s="129" t="s">
        <v>1414</v>
      </c>
      <c r="C68" s="100" t="s">
        <v>1415</v>
      </c>
      <c r="D68" s="100"/>
      <c r="E68" s="110"/>
    </row>
    <row r="69" spans="1:5" ht="14.85" customHeight="1" x14ac:dyDescent="0.25">
      <c r="A69" s="58" t="s">
        <v>1224</v>
      </c>
      <c r="B69" s="129" t="s">
        <v>1416</v>
      </c>
      <c r="C69" s="100" t="s">
        <v>1417</v>
      </c>
      <c r="D69" s="100"/>
      <c r="E69" s="110"/>
    </row>
    <row r="70" spans="1:5" ht="14.85" customHeight="1" x14ac:dyDescent="0.25">
      <c r="A70" s="58" t="s">
        <v>1224</v>
      </c>
      <c r="B70" s="129" t="s">
        <v>1418</v>
      </c>
      <c r="C70" s="100" t="s">
        <v>1419</v>
      </c>
      <c r="D70" s="100"/>
      <c r="E70" s="110"/>
    </row>
    <row r="71" spans="1:5" ht="14.85" customHeight="1" x14ac:dyDescent="0.25">
      <c r="A71" s="58" t="s">
        <v>1224</v>
      </c>
      <c r="B71" s="129" t="s">
        <v>1420</v>
      </c>
      <c r="C71" s="100" t="s">
        <v>1421</v>
      </c>
      <c r="D71" s="100"/>
      <c r="E71" s="110"/>
    </row>
    <row r="72" spans="1:5" ht="14.85" customHeight="1" x14ac:dyDescent="0.25">
      <c r="A72" s="58" t="s">
        <v>1224</v>
      </c>
      <c r="B72" s="129" t="s">
        <v>1422</v>
      </c>
      <c r="C72" s="100" t="s">
        <v>1423</v>
      </c>
      <c r="D72" s="100"/>
      <c r="E72" s="110"/>
    </row>
    <row r="73" spans="1:5" ht="14.85" customHeight="1" x14ac:dyDescent="0.25">
      <c r="A73" s="58" t="s">
        <v>1224</v>
      </c>
      <c r="B73" s="129" t="s">
        <v>1424</v>
      </c>
      <c r="C73" s="100" t="s">
        <v>1425</v>
      </c>
      <c r="D73" s="100"/>
      <c r="E73" s="110"/>
    </row>
    <row r="74" spans="1:5" ht="14.85" customHeight="1" x14ac:dyDescent="0.25">
      <c r="A74" s="58" t="s">
        <v>1224</v>
      </c>
      <c r="B74" s="129" t="s">
        <v>1426</v>
      </c>
      <c r="C74" s="100" t="s">
        <v>1427</v>
      </c>
      <c r="D74" s="100"/>
      <c r="E74" s="110"/>
    </row>
    <row r="75" spans="1:5" ht="14.85" customHeight="1" x14ac:dyDescent="0.25">
      <c r="A75" s="58" t="s">
        <v>1224</v>
      </c>
      <c r="B75" s="129" t="s">
        <v>1428</v>
      </c>
      <c r="C75" s="100" t="s">
        <v>1429</v>
      </c>
      <c r="D75" s="100"/>
      <c r="E75" s="110"/>
    </row>
    <row r="76" spans="1:5" ht="14.85" customHeight="1" x14ac:dyDescent="0.25">
      <c r="A76" s="58" t="s">
        <v>1224</v>
      </c>
      <c r="B76" s="129" t="s">
        <v>1430</v>
      </c>
      <c r="C76" s="100" t="s">
        <v>1431</v>
      </c>
      <c r="D76" s="100"/>
      <c r="E76" s="110"/>
    </row>
    <row r="77" spans="1:5" ht="14.85" customHeight="1" x14ac:dyDescent="0.25">
      <c r="A77" s="58" t="s">
        <v>1224</v>
      </c>
      <c r="B77" s="129" t="s">
        <v>1432</v>
      </c>
      <c r="C77" s="100" t="s">
        <v>1433</v>
      </c>
      <c r="D77" s="100"/>
      <c r="E77" s="110"/>
    </row>
    <row r="78" spans="1:5" ht="14.85" customHeight="1" x14ac:dyDescent="0.25">
      <c r="A78" s="58" t="s">
        <v>1224</v>
      </c>
      <c r="B78" s="129" t="s">
        <v>1434</v>
      </c>
      <c r="C78" s="100" t="s">
        <v>1435</v>
      </c>
      <c r="D78" s="100"/>
      <c r="E78" s="110"/>
    </row>
    <row r="79" spans="1:5" ht="14.85" customHeight="1" x14ac:dyDescent="0.25">
      <c r="A79" s="58" t="s">
        <v>1224</v>
      </c>
      <c r="B79" s="129" t="s">
        <v>1436</v>
      </c>
      <c r="C79" s="100" t="s">
        <v>1437</v>
      </c>
      <c r="D79" s="100"/>
      <c r="E79" s="110"/>
    </row>
    <row r="80" spans="1:5" ht="14.85" customHeight="1" x14ac:dyDescent="0.25">
      <c r="A80" s="58" t="s">
        <v>1224</v>
      </c>
      <c r="B80" s="129" t="s">
        <v>1438</v>
      </c>
      <c r="C80" s="100" t="s">
        <v>1439</v>
      </c>
      <c r="D80" s="100"/>
      <c r="E80" s="110"/>
    </row>
    <row r="81" spans="1:5" ht="14.85" customHeight="1" x14ac:dyDescent="0.25">
      <c r="A81" s="58" t="s">
        <v>1224</v>
      </c>
      <c r="B81" s="129" t="s">
        <v>1440</v>
      </c>
      <c r="C81" s="100" t="s">
        <v>1441</v>
      </c>
      <c r="D81" s="100"/>
      <c r="E81" s="110"/>
    </row>
    <row r="82" spans="1:5" ht="14.85" customHeight="1" x14ac:dyDescent="0.25">
      <c r="A82" s="58" t="s">
        <v>1224</v>
      </c>
      <c r="B82" s="129" t="s">
        <v>1442</v>
      </c>
      <c r="C82" s="100" t="s">
        <v>1443</v>
      </c>
      <c r="D82" s="100"/>
      <c r="E82" s="110"/>
    </row>
    <row r="83" spans="1:5" ht="14.85" customHeight="1" x14ac:dyDescent="0.25">
      <c r="A83" s="58" t="s">
        <v>1224</v>
      </c>
      <c r="B83" s="129" t="s">
        <v>1444</v>
      </c>
      <c r="C83" s="100" t="s">
        <v>1445</v>
      </c>
      <c r="D83" s="100"/>
      <c r="E83" s="110"/>
    </row>
    <row r="84" spans="1:5" ht="14.85" customHeight="1" x14ac:dyDescent="0.25">
      <c r="A84" s="58" t="s">
        <v>1224</v>
      </c>
      <c r="B84" s="129" t="s">
        <v>1446</v>
      </c>
      <c r="C84" s="100" t="s">
        <v>1447</v>
      </c>
      <c r="D84" s="100"/>
      <c r="E84" s="110"/>
    </row>
    <row r="85" spans="1:5" ht="14.85" customHeight="1" x14ac:dyDescent="0.25">
      <c r="A85" s="58" t="s">
        <v>1224</v>
      </c>
      <c r="B85" s="129" t="s">
        <v>1448</v>
      </c>
      <c r="C85" s="100" t="s">
        <v>1449</v>
      </c>
      <c r="D85" s="100"/>
      <c r="E85" s="110"/>
    </row>
    <row r="86" spans="1:5" ht="14.85" customHeight="1" x14ac:dyDescent="0.25">
      <c r="A86" s="58" t="s">
        <v>1224</v>
      </c>
      <c r="B86" s="129" t="s">
        <v>1450</v>
      </c>
      <c r="C86" s="100" t="s">
        <v>1451</v>
      </c>
      <c r="D86" s="100"/>
      <c r="E86" s="110"/>
    </row>
    <row r="87" spans="1:5" ht="14.85" customHeight="1" x14ac:dyDescent="0.25">
      <c r="A87" s="58" t="s">
        <v>1224</v>
      </c>
      <c r="B87" s="129" t="s">
        <v>1452</v>
      </c>
      <c r="C87" s="100" t="s">
        <v>1453</v>
      </c>
      <c r="D87" s="100"/>
      <c r="E87" s="110"/>
    </row>
    <row r="88" spans="1:5" ht="14.85" customHeight="1" x14ac:dyDescent="0.25">
      <c r="A88" s="58" t="s">
        <v>1224</v>
      </c>
      <c r="B88" s="129" t="s">
        <v>1454</v>
      </c>
      <c r="C88" s="100" t="s">
        <v>1455</v>
      </c>
      <c r="D88" s="100"/>
      <c r="E88" s="110"/>
    </row>
    <row r="89" spans="1:5" ht="14.85" customHeight="1" x14ac:dyDescent="0.25">
      <c r="A89" s="58" t="s">
        <v>1224</v>
      </c>
      <c r="B89" s="129" t="s">
        <v>1456</v>
      </c>
      <c r="C89" s="100" t="s">
        <v>1457</v>
      </c>
      <c r="D89" s="100"/>
      <c r="E89" s="110"/>
    </row>
    <row r="90" spans="1:5" ht="14.85" customHeight="1" x14ac:dyDescent="0.25">
      <c r="A90" s="58" t="s">
        <v>1224</v>
      </c>
      <c r="B90" s="129" t="s">
        <v>1458</v>
      </c>
      <c r="C90" s="100" t="s">
        <v>1459</v>
      </c>
      <c r="D90" s="100"/>
      <c r="E90" s="110"/>
    </row>
    <row r="91" spans="1:5" ht="14.85" customHeight="1" x14ac:dyDescent="0.25">
      <c r="A91" s="58" t="s">
        <v>1224</v>
      </c>
      <c r="B91" s="129" t="s">
        <v>1460</v>
      </c>
      <c r="C91" s="100" t="s">
        <v>1461</v>
      </c>
      <c r="D91" s="100"/>
      <c r="E91" s="110"/>
    </row>
    <row r="92" spans="1:5" ht="14.85" customHeight="1" x14ac:dyDescent="0.25">
      <c r="A92" s="58" t="s">
        <v>1224</v>
      </c>
      <c r="B92" s="129" t="s">
        <v>1462</v>
      </c>
      <c r="C92" s="100" t="s">
        <v>1463</v>
      </c>
      <c r="D92" s="100"/>
      <c r="E92" s="110"/>
    </row>
    <row r="93" spans="1:5" ht="14.85" customHeight="1" x14ac:dyDescent="0.25">
      <c r="A93" s="58" t="s">
        <v>1224</v>
      </c>
      <c r="B93" s="129" t="s">
        <v>1464</v>
      </c>
      <c r="C93" s="100" t="s">
        <v>1465</v>
      </c>
      <c r="D93" s="100"/>
      <c r="E93" s="110"/>
    </row>
    <row r="94" spans="1:5" ht="14.85" customHeight="1" x14ac:dyDescent="0.3">
      <c r="A94" s="58" t="s">
        <v>1109</v>
      </c>
      <c r="B94" s="102" t="s">
        <v>1466</v>
      </c>
      <c r="C94" s="210" t="s">
        <v>1467</v>
      </c>
      <c r="D94" s="211" t="s">
        <v>1468</v>
      </c>
      <c r="E94" s="110" t="s">
        <v>1469</v>
      </c>
    </row>
    <row r="95" spans="1:5" ht="14.85" customHeight="1" x14ac:dyDescent="0.3">
      <c r="A95" s="58" t="s">
        <v>1109</v>
      </c>
      <c r="B95" s="102" t="s">
        <v>1470</v>
      </c>
      <c r="C95" s="210" t="s">
        <v>1471</v>
      </c>
      <c r="D95" s="211" t="s">
        <v>1472</v>
      </c>
      <c r="E95" s="110"/>
    </row>
    <row r="96" spans="1:5" ht="14.85" customHeight="1" x14ac:dyDescent="0.25">
      <c r="A96" s="101" t="s">
        <v>316</v>
      </c>
      <c r="B96" s="102" t="s">
        <v>1473</v>
      </c>
      <c r="C96" s="101" t="s">
        <v>1474</v>
      </c>
      <c r="D96" s="101" t="s">
        <v>1475</v>
      </c>
    </row>
    <row r="97" spans="1:5" ht="14.85" customHeight="1" x14ac:dyDescent="0.25">
      <c r="A97" s="101" t="s">
        <v>316</v>
      </c>
      <c r="B97" s="102" t="s">
        <v>1476</v>
      </c>
      <c r="C97" s="101" t="s">
        <v>1477</v>
      </c>
      <c r="D97" s="101" t="s">
        <v>1478</v>
      </c>
    </row>
    <row r="98" spans="1:5" ht="14.85" customHeight="1" x14ac:dyDescent="0.25">
      <c r="A98" s="101" t="s">
        <v>316</v>
      </c>
      <c r="B98" s="102" t="s">
        <v>99</v>
      </c>
      <c r="C98" s="101" t="s">
        <v>1479</v>
      </c>
      <c r="D98" s="101" t="s">
        <v>1480</v>
      </c>
      <c r="E98" s="79"/>
    </row>
    <row r="99" spans="1:5" ht="14.85" customHeight="1" x14ac:dyDescent="0.25">
      <c r="A99" s="101" t="s">
        <v>472</v>
      </c>
      <c r="B99" s="102" t="s">
        <v>1481</v>
      </c>
      <c r="C99" s="101" t="s">
        <v>1482</v>
      </c>
      <c r="D99" s="101" t="s">
        <v>1483</v>
      </c>
    </row>
    <row r="100" spans="1:5" ht="14.85" customHeight="1" x14ac:dyDescent="0.25">
      <c r="A100" s="101" t="s">
        <v>472</v>
      </c>
      <c r="B100" s="102" t="s">
        <v>1484</v>
      </c>
      <c r="C100" s="101" t="s">
        <v>1485</v>
      </c>
      <c r="D100" s="101" t="s">
        <v>1486</v>
      </c>
      <c r="E100" s="105" t="s">
        <v>1487</v>
      </c>
    </row>
    <row r="101" spans="1:5" ht="14.85" customHeight="1" x14ac:dyDescent="0.25">
      <c r="A101" s="101" t="s">
        <v>472</v>
      </c>
      <c r="B101" s="102" t="s">
        <v>1488</v>
      </c>
      <c r="C101" s="101" t="s">
        <v>1489</v>
      </c>
      <c r="D101" s="101" t="s">
        <v>1490</v>
      </c>
    </row>
    <row r="102" spans="1:5" ht="14.85" customHeight="1" x14ac:dyDescent="0.25">
      <c r="A102" s="101" t="s">
        <v>472</v>
      </c>
      <c r="B102" s="102" t="s">
        <v>1491</v>
      </c>
      <c r="C102" s="101" t="s">
        <v>1492</v>
      </c>
      <c r="D102" s="101" t="s">
        <v>1493</v>
      </c>
    </row>
    <row r="103" spans="1:5" ht="14.85" customHeight="1" x14ac:dyDescent="0.25">
      <c r="A103" s="101" t="s">
        <v>472</v>
      </c>
      <c r="B103" s="102" t="s">
        <v>1494</v>
      </c>
      <c r="C103" s="101" t="s">
        <v>1495</v>
      </c>
      <c r="D103" s="101" t="s">
        <v>1496</v>
      </c>
      <c r="E103" s="105" t="s">
        <v>1497</v>
      </c>
    </row>
    <row r="104" spans="1:5" ht="14.85" customHeight="1" x14ac:dyDescent="0.25">
      <c r="A104" s="101" t="s">
        <v>472</v>
      </c>
      <c r="B104" s="102" t="s">
        <v>1498</v>
      </c>
      <c r="C104" s="101" t="s">
        <v>1499</v>
      </c>
      <c r="D104" s="101" t="s">
        <v>1500</v>
      </c>
      <c r="E104" s="105" t="s">
        <v>1501</v>
      </c>
    </row>
    <row r="105" spans="1:5" ht="14.85" customHeight="1" outlineLevel="1" x14ac:dyDescent="0.25">
      <c r="A105" s="101" t="s">
        <v>1502</v>
      </c>
      <c r="B105" s="193" t="str">
        <f>"01"</f>
        <v>01</v>
      </c>
      <c r="C105" s="58" t="s">
        <v>1503</v>
      </c>
      <c r="D105" s="79" t="s">
        <v>1504</v>
      </c>
      <c r="E105" s="79"/>
    </row>
    <row r="106" spans="1:5" ht="14.85" customHeight="1" outlineLevel="1" x14ac:dyDescent="0.25">
      <c r="A106" s="101" t="s">
        <v>1502</v>
      </c>
      <c r="B106" s="193" t="str">
        <f>"01.00"</f>
        <v>01.00</v>
      </c>
      <c r="C106" s="58" t="s">
        <v>1505</v>
      </c>
      <c r="D106" s="79" t="s">
        <v>1506</v>
      </c>
      <c r="E106" s="79"/>
    </row>
    <row r="107" spans="1:5" ht="14.85" customHeight="1" outlineLevel="1" x14ac:dyDescent="0.25">
      <c r="A107" s="101" t="s">
        <v>1502</v>
      </c>
      <c r="B107" s="193" t="str">
        <f>"01.0000"</f>
        <v>01.0000</v>
      </c>
      <c r="C107" s="58" t="s">
        <v>1505</v>
      </c>
      <c r="D107" s="79" t="s">
        <v>1507</v>
      </c>
      <c r="E107" s="79"/>
    </row>
    <row r="108" spans="1:5" ht="14.85" customHeight="1" outlineLevel="1" x14ac:dyDescent="0.25">
      <c r="A108" s="101" t="s">
        <v>1502</v>
      </c>
      <c r="B108" s="193" t="str">
        <f>"01.01"</f>
        <v>01.01</v>
      </c>
      <c r="C108" s="58" t="s">
        <v>1508</v>
      </c>
      <c r="D108" s="79" t="s">
        <v>1509</v>
      </c>
      <c r="E108" s="79"/>
    </row>
    <row r="109" spans="1:5" ht="14.85" customHeight="1" outlineLevel="1" x14ac:dyDescent="0.25">
      <c r="A109" s="101" t="s">
        <v>1502</v>
      </c>
      <c r="B109" s="193" t="str">
        <f>"01.0101"</f>
        <v>01.0101</v>
      </c>
      <c r="C109" s="58" t="s">
        <v>1510</v>
      </c>
      <c r="D109" s="79" t="s">
        <v>1511</v>
      </c>
      <c r="E109" s="79"/>
    </row>
    <row r="110" spans="1:5" ht="14.85" customHeight="1" outlineLevel="1" x14ac:dyDescent="0.25">
      <c r="A110" s="101" t="s">
        <v>1502</v>
      </c>
      <c r="B110" s="193" t="str">
        <f>"01.0102"</f>
        <v>01.0102</v>
      </c>
      <c r="C110" s="58" t="s">
        <v>1512</v>
      </c>
      <c r="D110" s="79" t="s">
        <v>1513</v>
      </c>
      <c r="E110" s="79"/>
    </row>
    <row r="111" spans="1:5" ht="14.85" customHeight="1" outlineLevel="1" x14ac:dyDescent="0.25">
      <c r="A111" s="101" t="s">
        <v>1502</v>
      </c>
      <c r="B111" s="193" t="str">
        <f>"01.0103"</f>
        <v>01.0103</v>
      </c>
      <c r="C111" s="58" t="s">
        <v>1514</v>
      </c>
      <c r="D111" s="79" t="s">
        <v>1515</v>
      </c>
      <c r="E111" s="79"/>
    </row>
    <row r="112" spans="1:5" ht="14.85" customHeight="1" outlineLevel="1" x14ac:dyDescent="0.25">
      <c r="A112" s="101" t="s">
        <v>1502</v>
      </c>
      <c r="B112" s="193" t="str">
        <f>"01.0104"</f>
        <v>01.0104</v>
      </c>
      <c r="C112" s="58" t="s">
        <v>1516</v>
      </c>
      <c r="D112" s="79" t="s">
        <v>1517</v>
      </c>
      <c r="E112" s="79"/>
    </row>
    <row r="113" spans="1:5" ht="14.85" customHeight="1" outlineLevel="1" x14ac:dyDescent="0.25">
      <c r="A113" s="101" t="s">
        <v>1502</v>
      </c>
      <c r="B113" s="193" t="str">
        <f>"01.0105"</f>
        <v>01.0105</v>
      </c>
      <c r="C113" s="58" t="s">
        <v>1518</v>
      </c>
      <c r="D113" s="79" t="s">
        <v>1519</v>
      </c>
      <c r="E113" s="79"/>
    </row>
    <row r="114" spans="1:5" ht="14.85" customHeight="1" outlineLevel="1" x14ac:dyDescent="0.25">
      <c r="A114" s="101" t="s">
        <v>1502</v>
      </c>
      <c r="B114" s="193" t="str">
        <f>"01.0106"</f>
        <v>01.0106</v>
      </c>
      <c r="C114" s="58" t="s">
        <v>1520</v>
      </c>
      <c r="D114" s="79" t="s">
        <v>1521</v>
      </c>
      <c r="E114" s="79"/>
    </row>
    <row r="115" spans="1:5" ht="14.85" customHeight="1" outlineLevel="1" x14ac:dyDescent="0.25">
      <c r="A115" s="101" t="s">
        <v>1502</v>
      </c>
      <c r="B115" s="193" t="str">
        <f>"01.0199"</f>
        <v>01.0199</v>
      </c>
      <c r="C115" s="58" t="s">
        <v>1522</v>
      </c>
      <c r="D115" s="79" t="s">
        <v>1523</v>
      </c>
      <c r="E115" s="79"/>
    </row>
    <row r="116" spans="1:5" ht="14.85" customHeight="1" outlineLevel="1" x14ac:dyDescent="0.25">
      <c r="A116" s="101" t="s">
        <v>1502</v>
      </c>
      <c r="B116" s="193" t="str">
        <f>"01.02"</f>
        <v>01.02</v>
      </c>
      <c r="C116" s="58" t="s">
        <v>1524</v>
      </c>
      <c r="D116" s="79" t="s">
        <v>1525</v>
      </c>
      <c r="E116" s="79"/>
    </row>
    <row r="117" spans="1:5" ht="14.85" customHeight="1" outlineLevel="1" x14ac:dyDescent="0.25">
      <c r="A117" s="101" t="s">
        <v>1502</v>
      </c>
      <c r="B117" s="193" t="str">
        <f>"01.0201"</f>
        <v>01.0201</v>
      </c>
      <c r="C117" s="58" t="s">
        <v>1526</v>
      </c>
      <c r="D117" s="79" t="s">
        <v>1527</v>
      </c>
      <c r="E117" s="79"/>
    </row>
    <row r="118" spans="1:5" ht="14.85" customHeight="1" outlineLevel="1" x14ac:dyDescent="0.25">
      <c r="A118" s="101" t="s">
        <v>1502</v>
      </c>
      <c r="B118" s="193" t="str">
        <f>"01.0204"</f>
        <v>01.0204</v>
      </c>
      <c r="C118" s="58" t="s">
        <v>1528</v>
      </c>
      <c r="D118" s="79" t="s">
        <v>1529</v>
      </c>
      <c r="E118" s="79"/>
    </row>
    <row r="119" spans="1:5" ht="14.85" customHeight="1" outlineLevel="1" x14ac:dyDescent="0.25">
      <c r="A119" s="101" t="s">
        <v>1502</v>
      </c>
      <c r="B119" s="193" t="str">
        <f>"01.0205"</f>
        <v>01.0205</v>
      </c>
      <c r="C119" s="58" t="s">
        <v>1530</v>
      </c>
      <c r="D119" s="79" t="s">
        <v>1531</v>
      </c>
      <c r="E119" s="79"/>
    </row>
    <row r="120" spans="1:5" ht="14.85" customHeight="1" outlineLevel="1" x14ac:dyDescent="0.25">
      <c r="A120" s="101" t="s">
        <v>1502</v>
      </c>
      <c r="B120" s="193" t="str">
        <f>"01.0207"</f>
        <v>01.0207</v>
      </c>
      <c r="C120" s="58" t="s">
        <v>1532</v>
      </c>
      <c r="D120" s="79" t="s">
        <v>1533</v>
      </c>
      <c r="E120" s="79"/>
    </row>
    <row r="121" spans="1:5" ht="14.85" customHeight="1" outlineLevel="1" x14ac:dyDescent="0.25">
      <c r="A121" s="101" t="s">
        <v>1502</v>
      </c>
      <c r="B121" s="193" t="str">
        <f>"01.0299"</f>
        <v>01.0299</v>
      </c>
      <c r="C121" s="58" t="s">
        <v>1534</v>
      </c>
      <c r="D121" s="79" t="s">
        <v>1535</v>
      </c>
      <c r="E121" s="79"/>
    </row>
    <row r="122" spans="1:5" ht="14.85" customHeight="1" outlineLevel="1" x14ac:dyDescent="0.25">
      <c r="A122" s="101" t="s">
        <v>1502</v>
      </c>
      <c r="B122" s="193" t="str">
        <f>"01.03"</f>
        <v>01.03</v>
      </c>
      <c r="C122" s="58" t="s">
        <v>1536</v>
      </c>
      <c r="D122" s="79" t="s">
        <v>1537</v>
      </c>
      <c r="E122" s="79"/>
    </row>
    <row r="123" spans="1:5" ht="14.85" customHeight="1" outlineLevel="1" x14ac:dyDescent="0.25">
      <c r="A123" s="101" t="s">
        <v>1502</v>
      </c>
      <c r="B123" s="193" t="str">
        <f>"01.0301"</f>
        <v>01.0301</v>
      </c>
      <c r="C123" s="58" t="s">
        <v>1538</v>
      </c>
      <c r="D123" s="79" t="s">
        <v>1539</v>
      </c>
      <c r="E123" s="79"/>
    </row>
    <row r="124" spans="1:5" ht="14.85" customHeight="1" outlineLevel="1" x14ac:dyDescent="0.25">
      <c r="A124" s="101" t="s">
        <v>1502</v>
      </c>
      <c r="B124" s="193" t="str">
        <f>"01.0302"</f>
        <v>01.0302</v>
      </c>
      <c r="C124" s="58" t="s">
        <v>1540</v>
      </c>
      <c r="D124" s="79" t="s">
        <v>1541</v>
      </c>
      <c r="E124" s="79"/>
    </row>
    <row r="125" spans="1:5" ht="14.85" customHeight="1" outlineLevel="1" x14ac:dyDescent="0.25">
      <c r="A125" s="101" t="s">
        <v>1502</v>
      </c>
      <c r="B125" s="193" t="str">
        <f>"01.0303"</f>
        <v>01.0303</v>
      </c>
      <c r="C125" s="58" t="s">
        <v>1542</v>
      </c>
      <c r="D125" s="79" t="s">
        <v>1543</v>
      </c>
      <c r="E125" s="79"/>
    </row>
    <row r="126" spans="1:5" ht="14.85" customHeight="1" outlineLevel="1" x14ac:dyDescent="0.25">
      <c r="A126" s="101" t="s">
        <v>1502</v>
      </c>
      <c r="B126" s="193" t="str">
        <f>"01.0304"</f>
        <v>01.0304</v>
      </c>
      <c r="C126" s="58" t="s">
        <v>1544</v>
      </c>
      <c r="D126" s="79" t="s">
        <v>1545</v>
      </c>
      <c r="E126" s="79"/>
    </row>
    <row r="127" spans="1:5" ht="14.85" customHeight="1" outlineLevel="1" x14ac:dyDescent="0.25">
      <c r="A127" s="101" t="s">
        <v>1502</v>
      </c>
      <c r="B127" s="193" t="str">
        <f>"01.0306"</f>
        <v>01.0306</v>
      </c>
      <c r="C127" s="58" t="s">
        <v>1546</v>
      </c>
      <c r="D127" s="79" t="s">
        <v>1547</v>
      </c>
      <c r="E127" s="79"/>
    </row>
    <row r="128" spans="1:5" ht="14.85" customHeight="1" outlineLevel="1" x14ac:dyDescent="0.25">
      <c r="A128" s="101" t="s">
        <v>1502</v>
      </c>
      <c r="B128" s="193" t="str">
        <f>"01.0307"</f>
        <v>01.0307</v>
      </c>
      <c r="C128" s="58" t="s">
        <v>1548</v>
      </c>
      <c r="D128" s="79" t="s">
        <v>1549</v>
      </c>
      <c r="E128" s="79"/>
    </row>
    <row r="129" spans="1:5" ht="14.85" customHeight="1" outlineLevel="1" x14ac:dyDescent="0.25">
      <c r="A129" s="101" t="s">
        <v>1502</v>
      </c>
      <c r="B129" s="193" t="str">
        <f>"01.0308"</f>
        <v>01.0308</v>
      </c>
      <c r="C129" s="58" t="s">
        <v>1550</v>
      </c>
      <c r="D129" s="79" t="s">
        <v>1551</v>
      </c>
      <c r="E129" s="79"/>
    </row>
    <row r="130" spans="1:5" ht="14.85" customHeight="1" outlineLevel="1" x14ac:dyDescent="0.25">
      <c r="A130" s="101" t="s">
        <v>1502</v>
      </c>
      <c r="B130" s="193" t="str">
        <f>"01.0310"</f>
        <v>01.0310</v>
      </c>
      <c r="C130" s="58" t="s">
        <v>1552</v>
      </c>
      <c r="D130" s="79" t="s">
        <v>1553</v>
      </c>
      <c r="E130" s="79"/>
    </row>
    <row r="131" spans="1:5" ht="14.85" customHeight="1" outlineLevel="1" x14ac:dyDescent="0.25">
      <c r="A131" s="101" t="s">
        <v>1502</v>
      </c>
      <c r="B131" s="193" t="str">
        <f>"01.0399"</f>
        <v>01.0399</v>
      </c>
      <c r="C131" s="58" t="s">
        <v>1554</v>
      </c>
      <c r="D131" s="79" t="s">
        <v>1555</v>
      </c>
      <c r="E131" s="79"/>
    </row>
    <row r="132" spans="1:5" ht="14.85" customHeight="1" outlineLevel="1" x14ac:dyDescent="0.25">
      <c r="A132" s="101" t="s">
        <v>1502</v>
      </c>
      <c r="B132" s="193" t="str">
        <f>"01.04"</f>
        <v>01.04</v>
      </c>
      <c r="C132" s="58" t="s">
        <v>1556</v>
      </c>
      <c r="D132" s="79" t="s">
        <v>1557</v>
      </c>
      <c r="E132" s="79"/>
    </row>
    <row r="133" spans="1:5" ht="14.85" customHeight="1" outlineLevel="1" x14ac:dyDescent="0.25">
      <c r="A133" s="101" t="s">
        <v>1502</v>
      </c>
      <c r="B133" s="193" t="str">
        <f>"01.0401"</f>
        <v>01.0401</v>
      </c>
      <c r="C133" s="58" t="s">
        <v>1556</v>
      </c>
      <c r="D133" s="79" t="s">
        <v>1558</v>
      </c>
      <c r="E133" s="79"/>
    </row>
    <row r="134" spans="1:5" ht="14.85" customHeight="1" outlineLevel="1" x14ac:dyDescent="0.25">
      <c r="A134" s="101" t="s">
        <v>1502</v>
      </c>
      <c r="B134" s="193" t="str">
        <f>"01.0480"</f>
        <v>01.0480</v>
      </c>
      <c r="C134" s="58" t="s">
        <v>1559</v>
      </c>
      <c r="D134" s="79" t="s">
        <v>1560</v>
      </c>
      <c r="E134" s="79"/>
    </row>
    <row r="135" spans="1:5" ht="14.85" customHeight="1" outlineLevel="1" x14ac:dyDescent="0.25">
      <c r="A135" s="101" t="s">
        <v>1502</v>
      </c>
      <c r="B135" s="193" t="str">
        <f>"01.05"</f>
        <v>01.05</v>
      </c>
      <c r="C135" s="58" t="s">
        <v>1561</v>
      </c>
      <c r="D135" s="79" t="s">
        <v>1562</v>
      </c>
      <c r="E135" s="79"/>
    </row>
    <row r="136" spans="1:5" ht="14.85" customHeight="1" outlineLevel="1" x14ac:dyDescent="0.25">
      <c r="A136" s="101" t="s">
        <v>1502</v>
      </c>
      <c r="B136" s="193" t="str">
        <f>"01.0504"</f>
        <v>01.0504</v>
      </c>
      <c r="C136" s="58" t="s">
        <v>1563</v>
      </c>
      <c r="D136" s="79" t="s">
        <v>1564</v>
      </c>
      <c r="E136" s="79"/>
    </row>
    <row r="137" spans="1:5" ht="14.85" customHeight="1" outlineLevel="1" x14ac:dyDescent="0.25">
      <c r="A137" s="101" t="s">
        <v>1502</v>
      </c>
      <c r="B137" s="193" t="str">
        <f>"01.0505"</f>
        <v>01.0505</v>
      </c>
      <c r="C137" s="58" t="s">
        <v>1565</v>
      </c>
      <c r="D137" s="79" t="s">
        <v>1566</v>
      </c>
      <c r="E137" s="79"/>
    </row>
    <row r="138" spans="1:5" ht="14.85" customHeight="1" outlineLevel="1" x14ac:dyDescent="0.25">
      <c r="A138" s="101" t="s">
        <v>1502</v>
      </c>
      <c r="B138" s="193" t="str">
        <f>"01.0507"</f>
        <v>01.0507</v>
      </c>
      <c r="C138" s="58" t="s">
        <v>1567</v>
      </c>
      <c r="D138" s="79" t="s">
        <v>1568</v>
      </c>
      <c r="E138" s="79"/>
    </row>
    <row r="139" spans="1:5" ht="14.85" customHeight="1" outlineLevel="1" x14ac:dyDescent="0.25">
      <c r="A139" s="101" t="s">
        <v>1502</v>
      </c>
      <c r="B139" s="193" t="str">
        <f>"01.0508"</f>
        <v>01.0508</v>
      </c>
      <c r="C139" s="58" t="s">
        <v>1569</v>
      </c>
      <c r="D139" s="79" t="s">
        <v>1570</v>
      </c>
      <c r="E139" s="79"/>
    </row>
    <row r="140" spans="1:5" ht="14.85" customHeight="1" outlineLevel="1" x14ac:dyDescent="0.25">
      <c r="A140" s="101" t="s">
        <v>1502</v>
      </c>
      <c r="B140" s="193" t="str">
        <f>"01.0509"</f>
        <v>01.0509</v>
      </c>
      <c r="C140" s="58" t="s">
        <v>1571</v>
      </c>
      <c r="D140" s="79" t="s">
        <v>1572</v>
      </c>
      <c r="E140" s="79"/>
    </row>
    <row r="141" spans="1:5" ht="14.85" customHeight="1" outlineLevel="1" x14ac:dyDescent="0.25">
      <c r="A141" s="101" t="s">
        <v>1502</v>
      </c>
      <c r="B141" s="193" t="str">
        <f>"01.0599"</f>
        <v>01.0599</v>
      </c>
      <c r="C141" s="58" t="s">
        <v>1573</v>
      </c>
      <c r="D141" s="79" t="s">
        <v>1574</v>
      </c>
      <c r="E141" s="79"/>
    </row>
    <row r="142" spans="1:5" ht="14.85" customHeight="1" outlineLevel="1" x14ac:dyDescent="0.25">
      <c r="A142" s="101" t="s">
        <v>1502</v>
      </c>
      <c r="B142" s="193" t="str">
        <f>"01.06"</f>
        <v>01.06</v>
      </c>
      <c r="C142" s="58" t="s">
        <v>1575</v>
      </c>
      <c r="D142" s="79" t="s">
        <v>1576</v>
      </c>
      <c r="E142" s="79"/>
    </row>
    <row r="143" spans="1:5" ht="14.85" customHeight="1" outlineLevel="1" x14ac:dyDescent="0.25">
      <c r="A143" s="101" t="s">
        <v>1502</v>
      </c>
      <c r="B143" s="193" t="str">
        <f>"01.0601"</f>
        <v>01.0601</v>
      </c>
      <c r="C143" s="58" t="s">
        <v>1577</v>
      </c>
      <c r="D143" s="79" t="s">
        <v>1578</v>
      </c>
      <c r="E143" s="79"/>
    </row>
    <row r="144" spans="1:5" ht="14.85" customHeight="1" outlineLevel="1" x14ac:dyDescent="0.25">
      <c r="A144" s="101" t="s">
        <v>1502</v>
      </c>
      <c r="B144" s="193" t="str">
        <f>"01.0603"</f>
        <v>01.0603</v>
      </c>
      <c r="C144" s="58" t="s">
        <v>1579</v>
      </c>
      <c r="D144" s="79" t="s">
        <v>1580</v>
      </c>
      <c r="E144" s="79"/>
    </row>
    <row r="145" spans="1:5" ht="14.85" customHeight="1" outlineLevel="1" x14ac:dyDescent="0.25">
      <c r="A145" s="101" t="s">
        <v>1502</v>
      </c>
      <c r="B145" s="193" t="str">
        <f>"01.0604"</f>
        <v>01.0604</v>
      </c>
      <c r="C145" s="58" t="s">
        <v>1581</v>
      </c>
      <c r="D145" s="79" t="s">
        <v>1582</v>
      </c>
      <c r="E145" s="79"/>
    </row>
    <row r="146" spans="1:5" ht="14.85" customHeight="1" outlineLevel="1" x14ac:dyDescent="0.25">
      <c r="A146" s="101" t="s">
        <v>1502</v>
      </c>
      <c r="B146" s="193" t="str">
        <f>"01.0605"</f>
        <v>01.0605</v>
      </c>
      <c r="C146" s="58" t="s">
        <v>1583</v>
      </c>
      <c r="D146" s="79" t="s">
        <v>1584</v>
      </c>
      <c r="E146" s="79"/>
    </row>
    <row r="147" spans="1:5" ht="14.85" customHeight="1" outlineLevel="1" x14ac:dyDescent="0.25">
      <c r="A147" s="101" t="s">
        <v>1502</v>
      </c>
      <c r="B147" s="193" t="str">
        <f>"01.0606"</f>
        <v>01.0606</v>
      </c>
      <c r="C147" s="58" t="s">
        <v>1585</v>
      </c>
      <c r="D147" s="79" t="s">
        <v>1586</v>
      </c>
      <c r="E147" s="79"/>
    </row>
    <row r="148" spans="1:5" ht="14.85" customHeight="1" outlineLevel="1" x14ac:dyDescent="0.25">
      <c r="A148" s="101" t="s">
        <v>1502</v>
      </c>
      <c r="B148" s="193" t="str">
        <f>"01.0607"</f>
        <v>01.0607</v>
      </c>
      <c r="C148" s="58" t="s">
        <v>1587</v>
      </c>
      <c r="D148" s="79" t="s">
        <v>1588</v>
      </c>
      <c r="E148" s="79"/>
    </row>
    <row r="149" spans="1:5" ht="14.85" customHeight="1" outlineLevel="1" x14ac:dyDescent="0.25">
      <c r="A149" s="101" t="s">
        <v>1502</v>
      </c>
      <c r="B149" s="193" t="str">
        <f>"01.0608"</f>
        <v>01.0608</v>
      </c>
      <c r="C149" s="58" t="s">
        <v>1589</v>
      </c>
      <c r="D149" s="79" t="s">
        <v>1590</v>
      </c>
      <c r="E149" s="79"/>
    </row>
    <row r="150" spans="1:5" ht="14.85" customHeight="1" outlineLevel="1" x14ac:dyDescent="0.25">
      <c r="A150" s="101" t="s">
        <v>1502</v>
      </c>
      <c r="B150" s="193" t="str">
        <f>"01.0609"</f>
        <v>01.0609</v>
      </c>
      <c r="C150" s="58" t="s">
        <v>1591</v>
      </c>
      <c r="D150" s="79" t="s">
        <v>1592</v>
      </c>
      <c r="E150" s="79"/>
    </row>
    <row r="151" spans="1:5" ht="14.85" customHeight="1" outlineLevel="1" x14ac:dyDescent="0.25">
      <c r="A151" s="101" t="s">
        <v>1502</v>
      </c>
      <c r="B151" s="193" t="str">
        <f>"01.0610"</f>
        <v>01.0610</v>
      </c>
      <c r="C151" s="58" t="s">
        <v>1593</v>
      </c>
      <c r="D151" s="79" t="s">
        <v>1594</v>
      </c>
      <c r="E151" s="79"/>
    </row>
    <row r="152" spans="1:5" ht="14.85" customHeight="1" outlineLevel="1" x14ac:dyDescent="0.25">
      <c r="A152" s="101" t="s">
        <v>1502</v>
      </c>
      <c r="B152" s="193" t="str">
        <f>"01.0680"</f>
        <v>01.0680</v>
      </c>
      <c r="C152" s="58" t="s">
        <v>1559</v>
      </c>
      <c r="D152" s="79" t="s">
        <v>1560</v>
      </c>
      <c r="E152" s="79"/>
    </row>
    <row r="153" spans="1:5" ht="14.85" customHeight="1" outlineLevel="1" x14ac:dyDescent="0.25">
      <c r="A153" s="101" t="s">
        <v>1502</v>
      </c>
      <c r="B153" s="193" t="str">
        <f>"01.0699"</f>
        <v>01.0699</v>
      </c>
      <c r="C153" s="58" t="s">
        <v>1595</v>
      </c>
      <c r="D153" s="79" t="s">
        <v>1596</v>
      </c>
      <c r="E153" s="79"/>
    </row>
    <row r="154" spans="1:5" ht="14.85" customHeight="1" outlineLevel="1" x14ac:dyDescent="0.25">
      <c r="A154" s="101" t="s">
        <v>1502</v>
      </c>
      <c r="B154" s="193" t="str">
        <f>"01.07"</f>
        <v>01.07</v>
      </c>
      <c r="C154" s="58" t="s">
        <v>1597</v>
      </c>
      <c r="D154" s="79" t="s">
        <v>1598</v>
      </c>
      <c r="E154" s="79"/>
    </row>
    <row r="155" spans="1:5" ht="14.85" customHeight="1" outlineLevel="1" x14ac:dyDescent="0.25">
      <c r="A155" s="101" t="s">
        <v>1502</v>
      </c>
      <c r="B155" s="193" t="str">
        <f>"01.0701"</f>
        <v>01.0701</v>
      </c>
      <c r="C155" s="58" t="s">
        <v>1597</v>
      </c>
      <c r="D155" s="79" t="s">
        <v>1599</v>
      </c>
      <c r="E155" s="79"/>
    </row>
    <row r="156" spans="1:5" ht="14.85" customHeight="1" outlineLevel="1" x14ac:dyDescent="0.25">
      <c r="A156" s="101" t="s">
        <v>1502</v>
      </c>
      <c r="B156" s="193" t="str">
        <f>"01.08"</f>
        <v>01.08</v>
      </c>
      <c r="C156" s="58" t="s">
        <v>1600</v>
      </c>
      <c r="D156" s="79" t="s">
        <v>1601</v>
      </c>
      <c r="E156" s="79"/>
    </row>
    <row r="157" spans="1:5" ht="14.85" customHeight="1" outlineLevel="1" x14ac:dyDescent="0.25">
      <c r="A157" s="101" t="s">
        <v>1502</v>
      </c>
      <c r="B157" s="193" t="str">
        <f>"01.0801"</f>
        <v>01.0801</v>
      </c>
      <c r="C157" s="58" t="s">
        <v>1602</v>
      </c>
      <c r="D157" s="79" t="s">
        <v>1603</v>
      </c>
      <c r="E157" s="79"/>
    </row>
    <row r="158" spans="1:5" ht="14.85" customHeight="1" outlineLevel="1" x14ac:dyDescent="0.25">
      <c r="A158" s="101" t="s">
        <v>1502</v>
      </c>
      <c r="B158" s="193" t="str">
        <f>"01.0802"</f>
        <v>01.0802</v>
      </c>
      <c r="C158" s="58" t="s">
        <v>1604</v>
      </c>
      <c r="D158" s="79" t="s">
        <v>1605</v>
      </c>
      <c r="E158" s="79"/>
    </row>
    <row r="159" spans="1:5" ht="14.85" customHeight="1" outlineLevel="1" x14ac:dyDescent="0.25">
      <c r="A159" s="101" t="s">
        <v>1502</v>
      </c>
      <c r="B159" s="193" t="str">
        <f>"01.0899"</f>
        <v>01.0899</v>
      </c>
      <c r="C159" s="58" t="s">
        <v>1606</v>
      </c>
      <c r="D159" s="79" t="s">
        <v>1607</v>
      </c>
      <c r="E159" s="79"/>
    </row>
    <row r="160" spans="1:5" ht="14.85" customHeight="1" outlineLevel="1" x14ac:dyDescent="0.25">
      <c r="A160" s="101" t="s">
        <v>1502</v>
      </c>
      <c r="B160" s="193" t="str">
        <f>"01.09"</f>
        <v>01.09</v>
      </c>
      <c r="C160" s="58" t="s">
        <v>1608</v>
      </c>
      <c r="D160" s="79" t="s">
        <v>1609</v>
      </c>
      <c r="E160" s="79"/>
    </row>
    <row r="161" spans="1:5" ht="14.85" customHeight="1" outlineLevel="1" x14ac:dyDescent="0.25">
      <c r="A161" s="101" t="s">
        <v>1502</v>
      </c>
      <c r="B161" s="193" t="str">
        <f>"01.0901"</f>
        <v>01.0901</v>
      </c>
      <c r="C161" s="58" t="s">
        <v>1610</v>
      </c>
      <c r="D161" s="79" t="s">
        <v>1611</v>
      </c>
      <c r="E161" s="79"/>
    </row>
    <row r="162" spans="1:5" ht="14.85" customHeight="1" outlineLevel="1" x14ac:dyDescent="0.25">
      <c r="A162" s="101" t="s">
        <v>1502</v>
      </c>
      <c r="B162" s="193" t="str">
        <f>"01.0902"</f>
        <v>01.0902</v>
      </c>
      <c r="C162" s="58" t="s">
        <v>1612</v>
      </c>
      <c r="D162" s="79" t="s">
        <v>1613</v>
      </c>
      <c r="E162" s="79"/>
    </row>
    <row r="163" spans="1:5" ht="14.85" customHeight="1" outlineLevel="1" x14ac:dyDescent="0.25">
      <c r="A163" s="101" t="s">
        <v>1502</v>
      </c>
      <c r="B163" s="193" t="str">
        <f>"01.0903"</f>
        <v>01.0903</v>
      </c>
      <c r="C163" s="58" t="s">
        <v>1614</v>
      </c>
      <c r="D163" s="79" t="s">
        <v>1615</v>
      </c>
      <c r="E163" s="79"/>
    </row>
    <row r="164" spans="1:5" ht="14.85" customHeight="1" outlineLevel="1" x14ac:dyDescent="0.25">
      <c r="A164" s="101" t="s">
        <v>1502</v>
      </c>
      <c r="B164" s="193" t="str">
        <f>"01.0904"</f>
        <v>01.0904</v>
      </c>
      <c r="C164" s="58" t="s">
        <v>1616</v>
      </c>
      <c r="D164" s="79" t="s">
        <v>1617</v>
      </c>
      <c r="E164" s="79"/>
    </row>
    <row r="165" spans="1:5" ht="14.85" customHeight="1" outlineLevel="1" x14ac:dyDescent="0.25">
      <c r="A165" s="101" t="s">
        <v>1502</v>
      </c>
      <c r="B165" s="193" t="str">
        <f>"01.0905"</f>
        <v>01.0905</v>
      </c>
      <c r="C165" s="58" t="s">
        <v>1618</v>
      </c>
      <c r="D165" s="79" t="s">
        <v>1619</v>
      </c>
      <c r="E165" s="79"/>
    </row>
    <row r="166" spans="1:5" ht="14.85" customHeight="1" outlineLevel="1" x14ac:dyDescent="0.25">
      <c r="A166" s="101" t="s">
        <v>1502</v>
      </c>
      <c r="B166" s="193" t="str">
        <f>"01.0906"</f>
        <v>01.0906</v>
      </c>
      <c r="C166" s="58" t="s">
        <v>1620</v>
      </c>
      <c r="D166" s="79" t="s">
        <v>1621</v>
      </c>
      <c r="E166" s="79"/>
    </row>
    <row r="167" spans="1:5" ht="14.85" customHeight="1" outlineLevel="1" x14ac:dyDescent="0.25">
      <c r="A167" s="101" t="s">
        <v>1502</v>
      </c>
      <c r="B167" s="193" t="str">
        <f>"01.0907"</f>
        <v>01.0907</v>
      </c>
      <c r="C167" s="58" t="s">
        <v>1622</v>
      </c>
      <c r="D167" s="79" t="s">
        <v>1623</v>
      </c>
      <c r="E167" s="79"/>
    </row>
    <row r="168" spans="1:5" ht="14.85" customHeight="1" outlineLevel="1" x14ac:dyDescent="0.25">
      <c r="A168" s="101" t="s">
        <v>1502</v>
      </c>
      <c r="B168" s="193" t="str">
        <f>"01.0999"</f>
        <v>01.0999</v>
      </c>
      <c r="C168" s="58" t="s">
        <v>1624</v>
      </c>
      <c r="D168" s="79" t="s">
        <v>1625</v>
      </c>
      <c r="E168" s="79"/>
    </row>
    <row r="169" spans="1:5" ht="14.85" customHeight="1" outlineLevel="1" x14ac:dyDescent="0.25">
      <c r="A169" s="101" t="s">
        <v>1502</v>
      </c>
      <c r="B169" s="193" t="str">
        <f>"01.10"</f>
        <v>01.10</v>
      </c>
      <c r="C169" s="58" t="s">
        <v>1626</v>
      </c>
      <c r="D169" s="79" t="s">
        <v>1627</v>
      </c>
      <c r="E169" s="79"/>
    </row>
    <row r="170" spans="1:5" ht="14.85" customHeight="1" outlineLevel="1" x14ac:dyDescent="0.25">
      <c r="A170" s="101" t="s">
        <v>1502</v>
      </c>
      <c r="B170" s="193" t="str">
        <f>"01.1001"</f>
        <v>01.1001</v>
      </c>
      <c r="C170" s="58" t="s">
        <v>1628</v>
      </c>
      <c r="D170" s="79" t="s">
        <v>1629</v>
      </c>
      <c r="E170" s="79"/>
    </row>
    <row r="171" spans="1:5" ht="14.85" customHeight="1" outlineLevel="1" x14ac:dyDescent="0.25">
      <c r="A171" s="101" t="s">
        <v>1502</v>
      </c>
      <c r="B171" s="193" t="str">
        <f>"01.1002"</f>
        <v>01.1002</v>
      </c>
      <c r="C171" s="58" t="s">
        <v>1630</v>
      </c>
      <c r="D171" s="79" t="s">
        <v>1631</v>
      </c>
      <c r="E171" s="79"/>
    </row>
    <row r="172" spans="1:5" ht="14.85" customHeight="1" outlineLevel="1" x14ac:dyDescent="0.25">
      <c r="A172" s="101" t="s">
        <v>1502</v>
      </c>
      <c r="B172" s="193" t="str">
        <f>"01.1003"</f>
        <v>01.1003</v>
      </c>
      <c r="C172" s="58" t="s">
        <v>1632</v>
      </c>
      <c r="D172" s="79" t="s">
        <v>1633</v>
      </c>
      <c r="E172" s="79"/>
    </row>
    <row r="173" spans="1:5" ht="14.85" customHeight="1" outlineLevel="1" x14ac:dyDescent="0.25">
      <c r="A173" s="101" t="s">
        <v>1502</v>
      </c>
      <c r="B173" s="193" t="str">
        <f>"01.1004"</f>
        <v>01.1004</v>
      </c>
      <c r="C173" s="58" t="s">
        <v>1634</v>
      </c>
      <c r="D173" s="79" t="s">
        <v>1635</v>
      </c>
      <c r="E173" s="79"/>
    </row>
    <row r="174" spans="1:5" ht="14.85" customHeight="1" outlineLevel="1" x14ac:dyDescent="0.25">
      <c r="A174" s="101" t="s">
        <v>1502</v>
      </c>
      <c r="B174" s="193" t="str">
        <f>"01.1005"</f>
        <v>01.1005</v>
      </c>
      <c r="C174" s="58" t="s">
        <v>1636</v>
      </c>
      <c r="D174" s="79" t="s">
        <v>1637</v>
      </c>
      <c r="E174" s="79"/>
    </row>
    <row r="175" spans="1:5" ht="14.85" customHeight="1" outlineLevel="1" x14ac:dyDescent="0.25">
      <c r="A175" s="101" t="s">
        <v>1502</v>
      </c>
      <c r="B175" s="193" t="str">
        <f>"01.1099"</f>
        <v>01.1099</v>
      </c>
      <c r="C175" s="58" t="s">
        <v>1638</v>
      </c>
      <c r="D175" s="79" t="s">
        <v>1639</v>
      </c>
      <c r="E175" s="79"/>
    </row>
    <row r="176" spans="1:5" ht="14.85" customHeight="1" outlineLevel="1" x14ac:dyDescent="0.25">
      <c r="A176" s="101" t="s">
        <v>1502</v>
      </c>
      <c r="B176" s="193" t="str">
        <f>"01.11"</f>
        <v>01.11</v>
      </c>
      <c r="C176" s="58" t="s">
        <v>1640</v>
      </c>
      <c r="D176" s="79" t="s">
        <v>1641</v>
      </c>
      <c r="E176" s="79"/>
    </row>
    <row r="177" spans="1:5" ht="14.85" customHeight="1" outlineLevel="1" x14ac:dyDescent="0.25">
      <c r="A177" s="101" t="s">
        <v>1502</v>
      </c>
      <c r="B177" s="193" t="str">
        <f>"01.1101"</f>
        <v>01.1101</v>
      </c>
      <c r="C177" s="58" t="s">
        <v>1642</v>
      </c>
      <c r="D177" s="79" t="s">
        <v>1643</v>
      </c>
      <c r="E177" s="79"/>
    </row>
    <row r="178" spans="1:5" ht="14.85" customHeight="1" outlineLevel="1" x14ac:dyDescent="0.25">
      <c r="A178" s="101" t="s">
        <v>1502</v>
      </c>
      <c r="B178" s="193" t="str">
        <f>"01.1102"</f>
        <v>01.1102</v>
      </c>
      <c r="C178" s="58" t="s">
        <v>1644</v>
      </c>
      <c r="D178" s="79" t="s">
        <v>1645</v>
      </c>
      <c r="E178" s="79"/>
    </row>
    <row r="179" spans="1:5" ht="14.85" customHeight="1" outlineLevel="1" x14ac:dyDescent="0.25">
      <c r="A179" s="101" t="s">
        <v>1502</v>
      </c>
      <c r="B179" s="193" t="str">
        <f>"01.1103"</f>
        <v>01.1103</v>
      </c>
      <c r="C179" s="58" t="s">
        <v>1646</v>
      </c>
      <c r="D179" s="79" t="s">
        <v>1647</v>
      </c>
      <c r="E179" s="79"/>
    </row>
    <row r="180" spans="1:5" ht="14.85" customHeight="1" outlineLevel="1" x14ac:dyDescent="0.25">
      <c r="A180" s="101" t="s">
        <v>1502</v>
      </c>
      <c r="B180" s="193" t="str">
        <f>"01.1104"</f>
        <v>01.1104</v>
      </c>
      <c r="C180" s="58" t="s">
        <v>1648</v>
      </c>
      <c r="D180" s="79" t="s">
        <v>1649</v>
      </c>
      <c r="E180" s="79"/>
    </row>
    <row r="181" spans="1:5" ht="14.85" customHeight="1" outlineLevel="1" x14ac:dyDescent="0.25">
      <c r="A181" s="101" t="s">
        <v>1502</v>
      </c>
      <c r="B181" s="193" t="str">
        <f>"01.1105"</f>
        <v>01.1105</v>
      </c>
      <c r="C181" s="58" t="s">
        <v>1650</v>
      </c>
      <c r="D181" s="79" t="s">
        <v>1651</v>
      </c>
      <c r="E181" s="79"/>
    </row>
    <row r="182" spans="1:5" ht="14.85" customHeight="1" outlineLevel="1" x14ac:dyDescent="0.25">
      <c r="A182" s="101" t="s">
        <v>1502</v>
      </c>
      <c r="B182" s="193" t="str">
        <f>"01.1106"</f>
        <v>01.1106</v>
      </c>
      <c r="C182" s="58" t="s">
        <v>1652</v>
      </c>
      <c r="D182" s="79" t="s">
        <v>1653</v>
      </c>
      <c r="E182" s="79"/>
    </row>
    <row r="183" spans="1:5" ht="14.85" customHeight="1" outlineLevel="1" x14ac:dyDescent="0.25">
      <c r="A183" s="101" t="s">
        <v>1502</v>
      </c>
      <c r="B183" s="193" t="str">
        <f>"01.1180"</f>
        <v>01.1180</v>
      </c>
      <c r="C183" s="58" t="s">
        <v>1559</v>
      </c>
      <c r="D183" s="79" t="s">
        <v>1560</v>
      </c>
      <c r="E183" s="79"/>
    </row>
    <row r="184" spans="1:5" ht="14.85" customHeight="1" outlineLevel="1" x14ac:dyDescent="0.25">
      <c r="A184" s="101" t="s">
        <v>1502</v>
      </c>
      <c r="B184" s="193" t="str">
        <f>"01.1199"</f>
        <v>01.1199</v>
      </c>
      <c r="C184" s="58" t="s">
        <v>1654</v>
      </c>
      <c r="D184" s="79" t="s">
        <v>1655</v>
      </c>
      <c r="E184" s="79"/>
    </row>
    <row r="185" spans="1:5" ht="14.85" customHeight="1" outlineLevel="1" x14ac:dyDescent="0.25">
      <c r="A185" s="101" t="s">
        <v>1502</v>
      </c>
      <c r="B185" s="193" t="str">
        <f>"01.12"</f>
        <v>01.12</v>
      </c>
      <c r="C185" s="58" t="s">
        <v>1656</v>
      </c>
      <c r="D185" s="79" t="s">
        <v>1657</v>
      </c>
      <c r="E185" s="79"/>
    </row>
    <row r="186" spans="1:5" ht="14.85" customHeight="1" outlineLevel="1" x14ac:dyDescent="0.25">
      <c r="A186" s="101" t="s">
        <v>1502</v>
      </c>
      <c r="B186" s="193" t="str">
        <f>"01.1201"</f>
        <v>01.1201</v>
      </c>
      <c r="C186" s="58" t="s">
        <v>1658</v>
      </c>
      <c r="D186" s="79" t="s">
        <v>1659</v>
      </c>
      <c r="E186" s="79"/>
    </row>
    <row r="187" spans="1:5" ht="14.85" customHeight="1" outlineLevel="1" x14ac:dyDescent="0.25">
      <c r="A187" s="101" t="s">
        <v>1502</v>
      </c>
      <c r="B187" s="193" t="str">
        <f>"01.1202"</f>
        <v>01.1202</v>
      </c>
      <c r="C187" s="58" t="s">
        <v>1660</v>
      </c>
      <c r="D187" s="79" t="s">
        <v>1661</v>
      </c>
      <c r="E187" s="79"/>
    </row>
    <row r="188" spans="1:5" ht="14.85" customHeight="1" outlineLevel="1" x14ac:dyDescent="0.25">
      <c r="A188" s="101" t="s">
        <v>1502</v>
      </c>
      <c r="B188" s="193" t="str">
        <f>"01.1203"</f>
        <v>01.1203</v>
      </c>
      <c r="C188" s="58" t="s">
        <v>1662</v>
      </c>
      <c r="D188" s="79" t="s">
        <v>1663</v>
      </c>
      <c r="E188" s="79"/>
    </row>
    <row r="189" spans="1:5" ht="14.85" customHeight="1" outlineLevel="1" x14ac:dyDescent="0.25">
      <c r="A189" s="101" t="s">
        <v>1502</v>
      </c>
      <c r="B189" s="193" t="str">
        <f>"01.1299"</f>
        <v>01.1299</v>
      </c>
      <c r="C189" s="58" t="s">
        <v>1664</v>
      </c>
      <c r="D189" s="79" t="s">
        <v>1665</v>
      </c>
      <c r="E189" s="79"/>
    </row>
    <row r="190" spans="1:5" ht="14.85" customHeight="1" outlineLevel="1" x14ac:dyDescent="0.25">
      <c r="A190" s="101" t="s">
        <v>1502</v>
      </c>
      <c r="B190" s="193" t="str">
        <f>"01.13"</f>
        <v>01.13</v>
      </c>
      <c r="C190" s="58" t="s">
        <v>1666</v>
      </c>
      <c r="D190" s="79" t="s">
        <v>1667</v>
      </c>
      <c r="E190" s="79"/>
    </row>
    <row r="191" spans="1:5" ht="14.85" customHeight="1" outlineLevel="1" x14ac:dyDescent="0.25">
      <c r="A191" s="101" t="s">
        <v>1502</v>
      </c>
      <c r="B191" s="193" t="str">
        <f>"01.1302"</f>
        <v>01.1302</v>
      </c>
      <c r="C191" s="58" t="s">
        <v>1668</v>
      </c>
      <c r="D191" s="79" t="s">
        <v>1669</v>
      </c>
      <c r="E191" s="79"/>
    </row>
    <row r="192" spans="1:5" ht="14.85" customHeight="1" outlineLevel="1" x14ac:dyDescent="0.25">
      <c r="A192" s="101" t="s">
        <v>1502</v>
      </c>
      <c r="B192" s="193" t="str">
        <f>"01.1399"</f>
        <v>01.1399</v>
      </c>
      <c r="C192" s="58" t="s">
        <v>1670</v>
      </c>
      <c r="D192" s="79" t="s">
        <v>1671</v>
      </c>
      <c r="E192" s="79"/>
    </row>
    <row r="193" spans="1:5" ht="14.85" customHeight="1" outlineLevel="1" x14ac:dyDescent="0.25">
      <c r="A193" s="101" t="s">
        <v>1502</v>
      </c>
      <c r="B193" s="193" t="str">
        <f>"01.80"</f>
        <v>01.80</v>
      </c>
      <c r="C193" s="58" t="s">
        <v>1672</v>
      </c>
      <c r="D193" s="79" t="s">
        <v>1673</v>
      </c>
      <c r="E193" s="79"/>
    </row>
    <row r="194" spans="1:5" ht="14.85" customHeight="1" outlineLevel="1" x14ac:dyDescent="0.25">
      <c r="A194" s="101" t="s">
        <v>1502</v>
      </c>
      <c r="B194" s="193" t="str">
        <f>"01.8001"</f>
        <v>01.8001</v>
      </c>
      <c r="C194" s="58" t="s">
        <v>1672</v>
      </c>
      <c r="D194" s="79" t="s">
        <v>1674</v>
      </c>
      <c r="E194" s="79"/>
    </row>
    <row r="195" spans="1:5" ht="14.85" customHeight="1" outlineLevel="1" x14ac:dyDescent="0.25">
      <c r="A195" s="101" t="s">
        <v>1502</v>
      </c>
      <c r="B195" s="193" t="str">
        <f>"01.81"</f>
        <v>01.81</v>
      </c>
      <c r="C195" s="58" t="s">
        <v>1675</v>
      </c>
      <c r="D195" s="79" t="s">
        <v>1676</v>
      </c>
      <c r="E195" s="79"/>
    </row>
    <row r="196" spans="1:5" ht="14.85" customHeight="1" outlineLevel="1" x14ac:dyDescent="0.25">
      <c r="A196" s="101" t="s">
        <v>1502</v>
      </c>
      <c r="B196" s="193" t="str">
        <f>"01.8101"</f>
        <v>01.8101</v>
      </c>
      <c r="C196" s="58" t="s">
        <v>1677</v>
      </c>
      <c r="D196" s="79" t="s">
        <v>1678</v>
      </c>
      <c r="E196" s="79"/>
    </row>
    <row r="197" spans="1:5" ht="14.85" customHeight="1" outlineLevel="1" x14ac:dyDescent="0.25">
      <c r="A197" s="101" t="s">
        <v>1502</v>
      </c>
      <c r="B197" s="193" t="str">
        <f>"01.8102"</f>
        <v>01.8102</v>
      </c>
      <c r="C197" s="58" t="s">
        <v>1679</v>
      </c>
      <c r="D197" s="79" t="s">
        <v>1680</v>
      </c>
      <c r="E197" s="79"/>
    </row>
    <row r="198" spans="1:5" ht="14.85" customHeight="1" outlineLevel="1" x14ac:dyDescent="0.25">
      <c r="A198" s="101" t="s">
        <v>1502</v>
      </c>
      <c r="B198" s="193" t="str">
        <f>"01.8103"</f>
        <v>01.8103</v>
      </c>
      <c r="C198" s="58" t="s">
        <v>1681</v>
      </c>
      <c r="D198" s="79" t="s">
        <v>1682</v>
      </c>
      <c r="E198" s="79"/>
    </row>
    <row r="199" spans="1:5" ht="14.85" customHeight="1" outlineLevel="1" x14ac:dyDescent="0.25">
      <c r="A199" s="101" t="s">
        <v>1502</v>
      </c>
      <c r="B199" s="193" t="str">
        <f>"01.8104"</f>
        <v>01.8104</v>
      </c>
      <c r="C199" s="58" t="s">
        <v>1683</v>
      </c>
      <c r="D199" s="79" t="s">
        <v>1684</v>
      </c>
      <c r="E199" s="79"/>
    </row>
    <row r="200" spans="1:5" ht="14.85" customHeight="1" outlineLevel="1" x14ac:dyDescent="0.25">
      <c r="A200" s="101" t="s">
        <v>1502</v>
      </c>
      <c r="B200" s="193" t="str">
        <f>"01.8105"</f>
        <v>01.8105</v>
      </c>
      <c r="C200" s="58" t="s">
        <v>1685</v>
      </c>
      <c r="D200" s="79" t="s">
        <v>1686</v>
      </c>
      <c r="E200" s="79"/>
    </row>
    <row r="201" spans="1:5" ht="14.85" customHeight="1" outlineLevel="1" x14ac:dyDescent="0.25">
      <c r="A201" s="101" t="s">
        <v>1502</v>
      </c>
      <c r="B201" s="193" t="str">
        <f>"01.8106"</f>
        <v>01.8106</v>
      </c>
      <c r="C201" s="58" t="s">
        <v>1687</v>
      </c>
      <c r="D201" s="79" t="s">
        <v>1688</v>
      </c>
      <c r="E201" s="79"/>
    </row>
    <row r="202" spans="1:5" ht="14.85" customHeight="1" outlineLevel="1" x14ac:dyDescent="0.25">
      <c r="A202" s="101" t="s">
        <v>1502</v>
      </c>
      <c r="B202" s="193" t="str">
        <f>"01.8107"</f>
        <v>01.8107</v>
      </c>
      <c r="C202" s="58" t="s">
        <v>1689</v>
      </c>
      <c r="D202" s="79" t="s">
        <v>1690</v>
      </c>
      <c r="E202" s="79"/>
    </row>
    <row r="203" spans="1:5" ht="14.85" customHeight="1" outlineLevel="1" x14ac:dyDescent="0.25">
      <c r="A203" s="101" t="s">
        <v>1502</v>
      </c>
      <c r="B203" s="193" t="str">
        <f>"01.8108"</f>
        <v>01.8108</v>
      </c>
      <c r="C203" s="58" t="s">
        <v>1691</v>
      </c>
      <c r="D203" s="79" t="s">
        <v>1692</v>
      </c>
      <c r="E203" s="79"/>
    </row>
    <row r="204" spans="1:5" ht="14.85" customHeight="1" outlineLevel="1" x14ac:dyDescent="0.25">
      <c r="A204" s="101" t="s">
        <v>1502</v>
      </c>
      <c r="B204" s="193" t="str">
        <f>"01.8109"</f>
        <v>01.8109</v>
      </c>
      <c r="C204" s="58" t="s">
        <v>1693</v>
      </c>
      <c r="D204" s="79" t="s">
        <v>1694</v>
      </c>
      <c r="E204" s="79"/>
    </row>
    <row r="205" spans="1:5" ht="14.85" customHeight="1" outlineLevel="1" x14ac:dyDescent="0.25">
      <c r="A205" s="101" t="s">
        <v>1502</v>
      </c>
      <c r="B205" s="193" t="str">
        <f>"01.8110"</f>
        <v>01.8110</v>
      </c>
      <c r="C205" s="58" t="s">
        <v>1695</v>
      </c>
      <c r="D205" s="79" t="s">
        <v>1696</v>
      </c>
      <c r="E205" s="79"/>
    </row>
    <row r="206" spans="1:5" ht="14.85" customHeight="1" outlineLevel="1" x14ac:dyDescent="0.25">
      <c r="A206" s="101" t="s">
        <v>1502</v>
      </c>
      <c r="B206" s="193" t="str">
        <f>"01.8111"</f>
        <v>01.8111</v>
      </c>
      <c r="C206" s="58" t="s">
        <v>1697</v>
      </c>
      <c r="D206" s="79" t="s">
        <v>1698</v>
      </c>
      <c r="E206" s="79"/>
    </row>
    <row r="207" spans="1:5" ht="14.85" customHeight="1" outlineLevel="1" x14ac:dyDescent="0.25">
      <c r="A207" s="101" t="s">
        <v>1502</v>
      </c>
      <c r="B207" s="193" t="str">
        <f>"01.8199"</f>
        <v>01.8199</v>
      </c>
      <c r="C207" s="58" t="s">
        <v>1699</v>
      </c>
      <c r="D207" s="79" t="s">
        <v>1700</v>
      </c>
      <c r="E207" s="79"/>
    </row>
    <row r="208" spans="1:5" ht="14.85" customHeight="1" outlineLevel="1" x14ac:dyDescent="0.25">
      <c r="A208" s="101" t="s">
        <v>1502</v>
      </c>
      <c r="B208" s="193" t="str">
        <f>"01.82"</f>
        <v>01.82</v>
      </c>
      <c r="C208" s="58" t="s">
        <v>1701</v>
      </c>
      <c r="D208" s="79" t="s">
        <v>1702</v>
      </c>
      <c r="E208" s="79"/>
    </row>
    <row r="209" spans="1:5" ht="14.85" customHeight="1" outlineLevel="1" x14ac:dyDescent="0.25">
      <c r="A209" s="101" t="s">
        <v>1502</v>
      </c>
      <c r="B209" s="193" t="str">
        <f>"01.8201"</f>
        <v>01.8201</v>
      </c>
      <c r="C209" s="58" t="s">
        <v>1703</v>
      </c>
      <c r="D209" s="79" t="s">
        <v>1704</v>
      </c>
      <c r="E209" s="79"/>
    </row>
    <row r="210" spans="1:5" ht="14.85" customHeight="1" outlineLevel="1" x14ac:dyDescent="0.25">
      <c r="A210" s="101" t="s">
        <v>1502</v>
      </c>
      <c r="B210" s="193" t="str">
        <f>"01.8202"</f>
        <v>01.8202</v>
      </c>
      <c r="C210" s="58" t="s">
        <v>1705</v>
      </c>
      <c r="D210" s="79" t="s">
        <v>1706</v>
      </c>
      <c r="E210" s="79"/>
    </row>
    <row r="211" spans="1:5" ht="14.85" customHeight="1" outlineLevel="1" x14ac:dyDescent="0.25">
      <c r="A211" s="101" t="s">
        <v>1502</v>
      </c>
      <c r="B211" s="193" t="str">
        <f>"01.8203"</f>
        <v>01.8203</v>
      </c>
      <c r="C211" s="58" t="s">
        <v>1707</v>
      </c>
      <c r="D211" s="79" t="s">
        <v>1708</v>
      </c>
      <c r="E211" s="79"/>
    </row>
    <row r="212" spans="1:5" ht="14.85" customHeight="1" outlineLevel="1" x14ac:dyDescent="0.25">
      <c r="A212" s="101" t="s">
        <v>1502</v>
      </c>
      <c r="B212" s="193" t="str">
        <f>"01.8204"</f>
        <v>01.8204</v>
      </c>
      <c r="C212" s="58" t="s">
        <v>1709</v>
      </c>
      <c r="D212" s="79" t="s">
        <v>1710</v>
      </c>
      <c r="E212" s="79"/>
    </row>
    <row r="213" spans="1:5" ht="14.85" customHeight="1" outlineLevel="1" x14ac:dyDescent="0.25">
      <c r="A213" s="101" t="s">
        <v>1502</v>
      </c>
      <c r="B213" s="193" t="str">
        <f>"01.8299"</f>
        <v>01.8299</v>
      </c>
      <c r="C213" s="58" t="s">
        <v>1711</v>
      </c>
      <c r="D213" s="79" t="s">
        <v>1712</v>
      </c>
      <c r="E213" s="79"/>
    </row>
    <row r="214" spans="1:5" ht="14.85" customHeight="1" outlineLevel="1" x14ac:dyDescent="0.25">
      <c r="A214" s="101" t="s">
        <v>1502</v>
      </c>
      <c r="B214" s="193" t="str">
        <f>"01.83"</f>
        <v>01.83</v>
      </c>
      <c r="C214" s="58" t="s">
        <v>1713</v>
      </c>
      <c r="D214" s="79" t="s">
        <v>1714</v>
      </c>
      <c r="E214" s="79"/>
    </row>
    <row r="215" spans="1:5" ht="14.85" customHeight="1" outlineLevel="1" x14ac:dyDescent="0.25">
      <c r="A215" s="101" t="s">
        <v>1502</v>
      </c>
      <c r="B215" s="193" t="str">
        <f>"01.8301"</f>
        <v>01.8301</v>
      </c>
      <c r="C215" s="58" t="s">
        <v>1715</v>
      </c>
      <c r="D215" s="79" t="s">
        <v>1716</v>
      </c>
      <c r="E215" s="79"/>
    </row>
    <row r="216" spans="1:5" ht="14.85" customHeight="1" outlineLevel="1" x14ac:dyDescent="0.25">
      <c r="A216" s="101" t="s">
        <v>1502</v>
      </c>
      <c r="B216" s="193" t="str">
        <f>"01.8399"</f>
        <v>01.8399</v>
      </c>
      <c r="C216" s="58" t="s">
        <v>1717</v>
      </c>
      <c r="D216" s="79" t="s">
        <v>1718</v>
      </c>
      <c r="E216" s="79"/>
    </row>
    <row r="217" spans="1:5" ht="14.85" customHeight="1" outlineLevel="1" x14ac:dyDescent="0.25">
      <c r="A217" s="101" t="s">
        <v>1502</v>
      </c>
      <c r="B217" s="193" t="str">
        <f>"01.99"</f>
        <v>01.99</v>
      </c>
      <c r="C217" s="58" t="s">
        <v>1719</v>
      </c>
      <c r="D217" s="79" t="s">
        <v>1720</v>
      </c>
      <c r="E217" s="79"/>
    </row>
    <row r="218" spans="1:5" ht="14.85" customHeight="1" outlineLevel="1" x14ac:dyDescent="0.25">
      <c r="A218" s="101" t="s">
        <v>1502</v>
      </c>
      <c r="B218" s="193" t="str">
        <f>"01.9999"</f>
        <v>01.9999</v>
      </c>
      <c r="C218" s="58" t="s">
        <v>1719</v>
      </c>
      <c r="D218" s="79" t="s">
        <v>1721</v>
      </c>
      <c r="E218" s="79"/>
    </row>
    <row r="219" spans="1:5" ht="14.85" customHeight="1" outlineLevel="1" x14ac:dyDescent="0.25">
      <c r="A219" s="101" t="s">
        <v>1502</v>
      </c>
      <c r="B219" s="193" t="str">
        <f>"03"</f>
        <v>03</v>
      </c>
      <c r="C219" s="58" t="s">
        <v>1722</v>
      </c>
      <c r="D219" s="79" t="s">
        <v>1723</v>
      </c>
      <c r="E219" s="79"/>
    </row>
    <row r="220" spans="1:5" ht="14.85" customHeight="1" outlineLevel="1" x14ac:dyDescent="0.25">
      <c r="A220" s="101" t="s">
        <v>1502</v>
      </c>
      <c r="B220" s="193" t="str">
        <f>"03.01"</f>
        <v>03.01</v>
      </c>
      <c r="C220" s="58" t="s">
        <v>1724</v>
      </c>
      <c r="D220" s="79" t="s">
        <v>1725</v>
      </c>
      <c r="E220" s="79"/>
    </row>
    <row r="221" spans="1:5" ht="14.85" customHeight="1" outlineLevel="1" x14ac:dyDescent="0.25">
      <c r="A221" s="101" t="s">
        <v>1502</v>
      </c>
      <c r="B221" s="193" t="str">
        <f>"03.0101"</f>
        <v>03.0101</v>
      </c>
      <c r="C221" s="58" t="s">
        <v>1726</v>
      </c>
      <c r="D221" s="79" t="s">
        <v>1727</v>
      </c>
      <c r="E221" s="79"/>
    </row>
    <row r="222" spans="1:5" ht="14.85" customHeight="1" outlineLevel="1" x14ac:dyDescent="0.25">
      <c r="A222" s="101" t="s">
        <v>1502</v>
      </c>
      <c r="B222" s="193" t="str">
        <f>"03.0103"</f>
        <v>03.0103</v>
      </c>
      <c r="C222" s="58" t="s">
        <v>1728</v>
      </c>
      <c r="D222" s="79" t="s">
        <v>1729</v>
      </c>
      <c r="E222" s="79"/>
    </row>
    <row r="223" spans="1:5" ht="14.85" customHeight="1" outlineLevel="1" x14ac:dyDescent="0.25">
      <c r="A223" s="101" t="s">
        <v>1502</v>
      </c>
      <c r="B223" s="193" t="str">
        <f>"03.0104"</f>
        <v>03.0104</v>
      </c>
      <c r="C223" s="58" t="s">
        <v>1730</v>
      </c>
      <c r="D223" s="79" t="s">
        <v>1731</v>
      </c>
      <c r="E223" s="79"/>
    </row>
    <row r="224" spans="1:5" ht="14.85" customHeight="1" outlineLevel="1" x14ac:dyDescent="0.25">
      <c r="A224" s="101" t="s">
        <v>1502</v>
      </c>
      <c r="B224" s="193" t="str">
        <f>"03.0199"</f>
        <v>03.0199</v>
      </c>
      <c r="C224" s="58" t="s">
        <v>1732</v>
      </c>
      <c r="D224" s="79" t="s">
        <v>1733</v>
      </c>
      <c r="E224" s="79"/>
    </row>
    <row r="225" spans="1:5" ht="14.85" customHeight="1" outlineLevel="1" x14ac:dyDescent="0.25">
      <c r="A225" s="101" t="s">
        <v>1502</v>
      </c>
      <c r="B225" s="193" t="str">
        <f>"03.02"</f>
        <v>03.02</v>
      </c>
      <c r="C225" s="58" t="s">
        <v>1734</v>
      </c>
      <c r="D225" s="79" t="s">
        <v>1735</v>
      </c>
      <c r="E225" s="79"/>
    </row>
    <row r="226" spans="1:5" ht="14.85" customHeight="1" outlineLevel="1" x14ac:dyDescent="0.25">
      <c r="A226" s="101" t="s">
        <v>1502</v>
      </c>
      <c r="B226" s="193" t="str">
        <f>"03.0201"</f>
        <v>03.0201</v>
      </c>
      <c r="C226" s="58" t="s">
        <v>1736</v>
      </c>
      <c r="D226" s="79" t="s">
        <v>1737</v>
      </c>
      <c r="E226" s="79"/>
    </row>
    <row r="227" spans="1:5" ht="14.85" customHeight="1" outlineLevel="1" x14ac:dyDescent="0.25">
      <c r="A227" s="101" t="s">
        <v>1502</v>
      </c>
      <c r="B227" s="193" t="str">
        <f>"03.0204"</f>
        <v>03.0204</v>
      </c>
      <c r="C227" s="58" t="s">
        <v>1738</v>
      </c>
      <c r="D227" s="79" t="s">
        <v>1739</v>
      </c>
      <c r="E227" s="79"/>
    </row>
    <row r="228" spans="1:5" ht="14.85" customHeight="1" outlineLevel="1" x14ac:dyDescent="0.25">
      <c r="A228" s="101" t="s">
        <v>1502</v>
      </c>
      <c r="B228" s="193" t="str">
        <f>"03.0205"</f>
        <v>03.0205</v>
      </c>
      <c r="C228" s="58" t="s">
        <v>1740</v>
      </c>
      <c r="D228" s="79" t="s">
        <v>1741</v>
      </c>
      <c r="E228" s="79"/>
    </row>
    <row r="229" spans="1:5" ht="14.85" customHeight="1" outlineLevel="1" x14ac:dyDescent="0.25">
      <c r="A229" s="101" t="s">
        <v>1502</v>
      </c>
      <c r="B229" s="193" t="str">
        <f>"03.0206"</f>
        <v>03.0206</v>
      </c>
      <c r="C229" s="58" t="s">
        <v>1742</v>
      </c>
      <c r="D229" s="79" t="s">
        <v>1743</v>
      </c>
      <c r="E229" s="79"/>
    </row>
    <row r="230" spans="1:5" ht="14.85" customHeight="1" outlineLevel="1" x14ac:dyDescent="0.25">
      <c r="A230" s="101" t="s">
        <v>1502</v>
      </c>
      <c r="B230" s="193" t="str">
        <f>"03.0207"</f>
        <v>03.0207</v>
      </c>
      <c r="C230" s="58" t="s">
        <v>1744</v>
      </c>
      <c r="D230" s="79" t="s">
        <v>1745</v>
      </c>
      <c r="E230" s="79"/>
    </row>
    <row r="231" spans="1:5" ht="14.85" customHeight="1" outlineLevel="1" x14ac:dyDescent="0.25">
      <c r="A231" s="101" t="s">
        <v>1502</v>
      </c>
      <c r="B231" s="193" t="str">
        <f>"03.0208"</f>
        <v>03.0208</v>
      </c>
      <c r="C231" s="58" t="s">
        <v>1746</v>
      </c>
      <c r="D231" s="79" t="s">
        <v>1747</v>
      </c>
      <c r="E231" s="79"/>
    </row>
    <row r="232" spans="1:5" ht="14.85" customHeight="1" outlineLevel="1" x14ac:dyDescent="0.25">
      <c r="A232" s="101" t="s">
        <v>1502</v>
      </c>
      <c r="B232" s="193" t="str">
        <f>"03.0209"</f>
        <v>03.0209</v>
      </c>
      <c r="C232" s="58" t="s">
        <v>1748</v>
      </c>
      <c r="D232" s="79" t="s">
        <v>1749</v>
      </c>
      <c r="E232" s="79"/>
    </row>
    <row r="233" spans="1:5" ht="14.85" customHeight="1" outlineLevel="1" x14ac:dyDescent="0.25">
      <c r="A233" s="101" t="s">
        <v>1502</v>
      </c>
      <c r="B233" s="193" t="str">
        <f>"03.0210"</f>
        <v>03.0210</v>
      </c>
      <c r="C233" s="58" t="s">
        <v>1750</v>
      </c>
      <c r="D233" s="79" t="s">
        <v>1751</v>
      </c>
      <c r="E233" s="79"/>
    </row>
    <row r="234" spans="1:5" ht="14.85" customHeight="1" outlineLevel="1" x14ac:dyDescent="0.25">
      <c r="A234" s="101" t="s">
        <v>1502</v>
      </c>
      <c r="B234" s="193" t="str">
        <f>"03.0299"</f>
        <v>03.0299</v>
      </c>
      <c r="C234" s="58" t="s">
        <v>1752</v>
      </c>
      <c r="D234" s="79" t="s">
        <v>1753</v>
      </c>
      <c r="E234" s="79"/>
    </row>
    <row r="235" spans="1:5" ht="14.85" customHeight="1" outlineLevel="1" x14ac:dyDescent="0.25">
      <c r="A235" s="101" t="s">
        <v>1502</v>
      </c>
      <c r="B235" s="193" t="str">
        <f>"03.03"</f>
        <v>03.03</v>
      </c>
      <c r="C235" s="58" t="s">
        <v>1754</v>
      </c>
      <c r="D235" s="79" t="s">
        <v>1755</v>
      </c>
      <c r="E235" s="79"/>
    </row>
    <row r="236" spans="1:5" ht="14.85" customHeight="1" outlineLevel="1" x14ac:dyDescent="0.25">
      <c r="A236" s="101" t="s">
        <v>1502</v>
      </c>
      <c r="B236" s="193" t="str">
        <f>"03.0301"</f>
        <v>03.0301</v>
      </c>
      <c r="C236" s="58" t="s">
        <v>1754</v>
      </c>
      <c r="D236" s="79" t="s">
        <v>1756</v>
      </c>
      <c r="E236" s="79"/>
    </row>
    <row r="237" spans="1:5" ht="14.85" customHeight="1" outlineLevel="1" x14ac:dyDescent="0.25">
      <c r="A237" s="101" t="s">
        <v>1502</v>
      </c>
      <c r="B237" s="193" t="str">
        <f>"03.05"</f>
        <v>03.05</v>
      </c>
      <c r="C237" s="58" t="s">
        <v>1757</v>
      </c>
      <c r="D237" s="79" t="s">
        <v>1758</v>
      </c>
      <c r="E237" s="79"/>
    </row>
    <row r="238" spans="1:5" ht="14.85" customHeight="1" outlineLevel="1" x14ac:dyDescent="0.25">
      <c r="A238" s="101" t="s">
        <v>1502</v>
      </c>
      <c r="B238" s="193" t="str">
        <f>"03.0501"</f>
        <v>03.0501</v>
      </c>
      <c r="C238" s="58" t="s">
        <v>1759</v>
      </c>
      <c r="D238" s="79" t="s">
        <v>1760</v>
      </c>
      <c r="E238" s="79"/>
    </row>
    <row r="239" spans="1:5" ht="14.85" customHeight="1" outlineLevel="1" x14ac:dyDescent="0.25">
      <c r="A239" s="101" t="s">
        <v>1502</v>
      </c>
      <c r="B239" s="193" t="str">
        <f>"03.0502"</f>
        <v>03.0502</v>
      </c>
      <c r="C239" s="58" t="s">
        <v>1761</v>
      </c>
      <c r="D239" s="79" t="s">
        <v>1762</v>
      </c>
      <c r="E239" s="79"/>
    </row>
    <row r="240" spans="1:5" ht="14.85" customHeight="1" outlineLevel="1" x14ac:dyDescent="0.25">
      <c r="A240" s="101" t="s">
        <v>1502</v>
      </c>
      <c r="B240" s="193" t="str">
        <f>"03.0506"</f>
        <v>03.0506</v>
      </c>
      <c r="C240" s="58" t="s">
        <v>1763</v>
      </c>
      <c r="D240" s="79" t="s">
        <v>1764</v>
      </c>
      <c r="E240" s="79"/>
    </row>
    <row r="241" spans="1:5" ht="14.85" customHeight="1" outlineLevel="1" x14ac:dyDescent="0.25">
      <c r="A241" s="101" t="s">
        <v>1502</v>
      </c>
      <c r="B241" s="193" t="str">
        <f>"03.0508"</f>
        <v>03.0508</v>
      </c>
      <c r="C241" s="58" t="s">
        <v>1765</v>
      </c>
      <c r="D241" s="79" t="s">
        <v>1766</v>
      </c>
      <c r="E241" s="79"/>
    </row>
    <row r="242" spans="1:5" ht="14.85" customHeight="1" outlineLevel="1" x14ac:dyDescent="0.25">
      <c r="A242" s="101" t="s">
        <v>1502</v>
      </c>
      <c r="B242" s="193" t="str">
        <f>"03.0509"</f>
        <v>03.0509</v>
      </c>
      <c r="C242" s="58" t="s">
        <v>1767</v>
      </c>
      <c r="D242" s="79" t="s">
        <v>1768</v>
      </c>
      <c r="E242" s="79"/>
    </row>
    <row r="243" spans="1:5" ht="14.85" customHeight="1" outlineLevel="1" x14ac:dyDescent="0.25">
      <c r="A243" s="101" t="s">
        <v>1502</v>
      </c>
      <c r="B243" s="193" t="str">
        <f>"03.0510"</f>
        <v>03.0510</v>
      </c>
      <c r="C243" s="58" t="s">
        <v>1769</v>
      </c>
      <c r="D243" s="79" t="s">
        <v>1770</v>
      </c>
      <c r="E243" s="79"/>
    </row>
    <row r="244" spans="1:5" ht="14.85" customHeight="1" outlineLevel="1" x14ac:dyDescent="0.25">
      <c r="A244" s="101" t="s">
        <v>1502</v>
      </c>
      <c r="B244" s="193" t="str">
        <f>"03.0511"</f>
        <v>03.0511</v>
      </c>
      <c r="C244" s="58" t="s">
        <v>1771</v>
      </c>
      <c r="D244" s="79" t="s">
        <v>1772</v>
      </c>
      <c r="E244" s="79"/>
    </row>
    <row r="245" spans="1:5" ht="14.85" customHeight="1" outlineLevel="1" x14ac:dyDescent="0.25">
      <c r="A245" s="101" t="s">
        <v>1502</v>
      </c>
      <c r="B245" s="193" t="str">
        <f>"03.0599"</f>
        <v>03.0599</v>
      </c>
      <c r="C245" s="58" t="s">
        <v>1773</v>
      </c>
      <c r="D245" s="79" t="s">
        <v>1774</v>
      </c>
      <c r="E245" s="79"/>
    </row>
    <row r="246" spans="1:5" ht="14.85" customHeight="1" outlineLevel="1" x14ac:dyDescent="0.25">
      <c r="A246" s="101" t="s">
        <v>1502</v>
      </c>
      <c r="B246" s="193" t="str">
        <f>"03.06"</f>
        <v>03.06</v>
      </c>
      <c r="C246" s="58" t="s">
        <v>1775</v>
      </c>
      <c r="D246" s="79" t="s">
        <v>1776</v>
      </c>
      <c r="E246" s="79"/>
    </row>
    <row r="247" spans="1:5" ht="14.85" customHeight="1" outlineLevel="1" x14ac:dyDescent="0.25">
      <c r="A247" s="101" t="s">
        <v>1502</v>
      </c>
      <c r="B247" s="193" t="str">
        <f>"03.0601"</f>
        <v>03.0601</v>
      </c>
      <c r="C247" s="58" t="s">
        <v>1777</v>
      </c>
      <c r="D247" s="79" t="s">
        <v>1778</v>
      </c>
      <c r="E247" s="79"/>
    </row>
    <row r="248" spans="1:5" ht="14.85" customHeight="1" outlineLevel="1" x14ac:dyDescent="0.25">
      <c r="A248" s="101" t="s">
        <v>1502</v>
      </c>
      <c r="B248" s="193" t="str">
        <f>"03.99"</f>
        <v>03.99</v>
      </c>
      <c r="C248" s="58" t="s">
        <v>1779</v>
      </c>
      <c r="D248" s="79" t="s">
        <v>1780</v>
      </c>
      <c r="E248" s="79"/>
    </row>
    <row r="249" spans="1:5" ht="14.85" customHeight="1" outlineLevel="1" x14ac:dyDescent="0.25">
      <c r="A249" s="101" t="s">
        <v>1502</v>
      </c>
      <c r="B249" s="193" t="str">
        <f>"03.9999"</f>
        <v>03.9999</v>
      </c>
      <c r="C249" s="58" t="s">
        <v>1779</v>
      </c>
      <c r="D249" s="79" t="s">
        <v>1781</v>
      </c>
      <c r="E249" s="79"/>
    </row>
    <row r="250" spans="1:5" ht="14.85" customHeight="1" outlineLevel="1" x14ac:dyDescent="0.25">
      <c r="A250" s="101" t="s">
        <v>1502</v>
      </c>
      <c r="B250" s="193" t="str">
        <f>"04"</f>
        <v>04</v>
      </c>
      <c r="C250" s="58" t="s">
        <v>1782</v>
      </c>
      <c r="D250" s="79" t="s">
        <v>1783</v>
      </c>
      <c r="E250" s="79"/>
    </row>
    <row r="251" spans="1:5" ht="14.85" customHeight="1" outlineLevel="1" x14ac:dyDescent="0.25">
      <c r="A251" s="101" t="s">
        <v>1502</v>
      </c>
      <c r="B251" s="193" t="str">
        <f>"04.02"</f>
        <v>04.02</v>
      </c>
      <c r="C251" s="58" t="s">
        <v>1784</v>
      </c>
      <c r="D251" s="79" t="s">
        <v>1785</v>
      </c>
      <c r="E251" s="79"/>
    </row>
    <row r="252" spans="1:5" ht="14.85" customHeight="1" outlineLevel="1" x14ac:dyDescent="0.25">
      <c r="A252" s="101" t="s">
        <v>1502</v>
      </c>
      <c r="B252" s="193" t="str">
        <f>"04.0200"</f>
        <v>04.0200</v>
      </c>
      <c r="C252" s="58" t="s">
        <v>1786</v>
      </c>
      <c r="D252" s="79" t="s">
        <v>1787</v>
      </c>
      <c r="E252" s="79"/>
    </row>
    <row r="253" spans="1:5" ht="14.85" customHeight="1" outlineLevel="1" x14ac:dyDescent="0.25">
      <c r="A253" s="101" t="s">
        <v>1502</v>
      </c>
      <c r="B253" s="193" t="str">
        <f>"04.0201"</f>
        <v>04.0201</v>
      </c>
      <c r="C253" s="58" t="s">
        <v>1784</v>
      </c>
      <c r="D253" s="79" t="s">
        <v>1788</v>
      </c>
      <c r="E253" s="79"/>
    </row>
    <row r="254" spans="1:5" ht="14.85" customHeight="1" outlineLevel="1" x14ac:dyDescent="0.25">
      <c r="A254" s="101" t="s">
        <v>1502</v>
      </c>
      <c r="B254" s="193" t="str">
        <f>"04.0202"</f>
        <v>04.0202</v>
      </c>
      <c r="C254" s="58" t="s">
        <v>1789</v>
      </c>
      <c r="D254" s="79" t="s">
        <v>1790</v>
      </c>
      <c r="E254" s="79"/>
    </row>
    <row r="255" spans="1:5" ht="14.85" customHeight="1" outlineLevel="1" x14ac:dyDescent="0.25">
      <c r="A255" s="101" t="s">
        <v>1502</v>
      </c>
      <c r="B255" s="193" t="str">
        <f>"04.0299"</f>
        <v>04.0299</v>
      </c>
      <c r="C255" s="58" t="s">
        <v>1791</v>
      </c>
      <c r="D255" s="79" t="s">
        <v>1792</v>
      </c>
      <c r="E255" s="79"/>
    </row>
    <row r="256" spans="1:5" ht="14.85" customHeight="1" outlineLevel="1" x14ac:dyDescent="0.25">
      <c r="A256" s="101" t="s">
        <v>1502</v>
      </c>
      <c r="B256" s="193" t="str">
        <f>"04.03"</f>
        <v>04.03</v>
      </c>
      <c r="C256" s="58" t="s">
        <v>1793</v>
      </c>
      <c r="D256" s="79" t="s">
        <v>1794</v>
      </c>
      <c r="E256" s="79"/>
    </row>
    <row r="257" spans="1:5" ht="14.85" customHeight="1" outlineLevel="1" x14ac:dyDescent="0.25">
      <c r="A257" s="101" t="s">
        <v>1502</v>
      </c>
      <c r="B257" s="193" t="str">
        <f>"04.0301"</f>
        <v>04.0301</v>
      </c>
      <c r="C257" s="58" t="s">
        <v>1793</v>
      </c>
      <c r="D257" s="79" t="s">
        <v>1795</v>
      </c>
      <c r="E257" s="79"/>
    </row>
    <row r="258" spans="1:5" ht="14.85" customHeight="1" outlineLevel="1" x14ac:dyDescent="0.25">
      <c r="A258" s="101" t="s">
        <v>1502</v>
      </c>
      <c r="B258" s="193" t="str">
        <f>"04.04"</f>
        <v>04.04</v>
      </c>
      <c r="C258" s="58" t="s">
        <v>1796</v>
      </c>
      <c r="D258" s="79" t="s">
        <v>1797</v>
      </c>
      <c r="E258" s="79"/>
    </row>
    <row r="259" spans="1:5" ht="14.85" customHeight="1" outlineLevel="1" x14ac:dyDescent="0.25">
      <c r="A259" s="101" t="s">
        <v>1502</v>
      </c>
      <c r="B259" s="193" t="str">
        <f>"04.0401"</f>
        <v>04.0401</v>
      </c>
      <c r="C259" s="58" t="s">
        <v>1798</v>
      </c>
      <c r="D259" s="79" t="s">
        <v>1799</v>
      </c>
      <c r="E259" s="79"/>
    </row>
    <row r="260" spans="1:5" ht="14.85" customHeight="1" outlineLevel="1" x14ac:dyDescent="0.25">
      <c r="A260" s="101" t="s">
        <v>1502</v>
      </c>
      <c r="B260" s="193" t="str">
        <f>"04.0402"</f>
        <v>04.0402</v>
      </c>
      <c r="C260" s="58" t="s">
        <v>1800</v>
      </c>
      <c r="D260" s="79" t="s">
        <v>1801</v>
      </c>
      <c r="E260" s="79"/>
    </row>
    <row r="261" spans="1:5" ht="14.85" customHeight="1" outlineLevel="1" x14ac:dyDescent="0.25">
      <c r="A261" s="101" t="s">
        <v>1502</v>
      </c>
      <c r="B261" s="193" t="str">
        <f>"04.0403"</f>
        <v>04.0403</v>
      </c>
      <c r="C261" s="58" t="s">
        <v>1802</v>
      </c>
      <c r="D261" s="79" t="s">
        <v>1803</v>
      </c>
      <c r="E261" s="79"/>
    </row>
    <row r="262" spans="1:5" ht="14.85" customHeight="1" outlineLevel="1" x14ac:dyDescent="0.25">
      <c r="A262" s="101" t="s">
        <v>1502</v>
      </c>
      <c r="B262" s="193" t="str">
        <f>"04.0499"</f>
        <v>04.0499</v>
      </c>
      <c r="C262" s="58" t="s">
        <v>1804</v>
      </c>
      <c r="D262" s="79" t="s">
        <v>1805</v>
      </c>
      <c r="E262" s="79"/>
    </row>
    <row r="263" spans="1:5" ht="14.85" customHeight="1" outlineLevel="1" x14ac:dyDescent="0.25">
      <c r="A263" s="101" t="s">
        <v>1502</v>
      </c>
      <c r="B263" s="193" t="str">
        <f>"04.05"</f>
        <v>04.05</v>
      </c>
      <c r="C263" s="58" t="s">
        <v>1806</v>
      </c>
      <c r="D263" s="79" t="s">
        <v>1807</v>
      </c>
      <c r="E263" s="79"/>
    </row>
    <row r="264" spans="1:5" ht="14.85" customHeight="1" outlineLevel="1" x14ac:dyDescent="0.25">
      <c r="A264" s="101" t="s">
        <v>1502</v>
      </c>
      <c r="B264" s="193" t="str">
        <f>"04.0501"</f>
        <v>04.0501</v>
      </c>
      <c r="C264" s="58" t="s">
        <v>1806</v>
      </c>
      <c r="D264" s="79" t="s">
        <v>1808</v>
      </c>
      <c r="E264" s="79"/>
    </row>
    <row r="265" spans="1:5" ht="14.85" customHeight="1" outlineLevel="1" x14ac:dyDescent="0.25">
      <c r="A265" s="101" t="s">
        <v>1502</v>
      </c>
      <c r="B265" s="193" t="str">
        <f>"04.06"</f>
        <v>04.06</v>
      </c>
      <c r="C265" s="58" t="s">
        <v>1809</v>
      </c>
      <c r="D265" s="79" t="s">
        <v>1810</v>
      </c>
      <c r="E265" s="79"/>
    </row>
    <row r="266" spans="1:5" ht="14.85" customHeight="1" outlineLevel="1" x14ac:dyDescent="0.25">
      <c r="A266" s="101" t="s">
        <v>1502</v>
      </c>
      <c r="B266" s="193" t="str">
        <f>"04.0601"</f>
        <v>04.0601</v>
      </c>
      <c r="C266" s="58" t="s">
        <v>1809</v>
      </c>
      <c r="D266" s="79" t="s">
        <v>1811</v>
      </c>
      <c r="E266" s="79"/>
    </row>
    <row r="267" spans="1:5" ht="14.85" customHeight="1" outlineLevel="1" x14ac:dyDescent="0.25">
      <c r="A267" s="101" t="s">
        <v>1502</v>
      </c>
      <c r="B267" s="193" t="str">
        <f>"04.08"</f>
        <v>04.08</v>
      </c>
      <c r="C267" s="58" t="s">
        <v>1812</v>
      </c>
      <c r="D267" s="79" t="s">
        <v>1813</v>
      </c>
      <c r="E267" s="79"/>
    </row>
    <row r="268" spans="1:5" ht="14.85" customHeight="1" outlineLevel="1" x14ac:dyDescent="0.25">
      <c r="A268" s="101" t="s">
        <v>1502</v>
      </c>
      <c r="B268" s="193" t="str">
        <f>"04.0801"</f>
        <v>04.0801</v>
      </c>
      <c r="C268" s="58" t="s">
        <v>1814</v>
      </c>
      <c r="D268" s="79" t="s">
        <v>1815</v>
      </c>
      <c r="E268" s="79"/>
    </row>
    <row r="269" spans="1:5" ht="14.85" customHeight="1" outlineLevel="1" x14ac:dyDescent="0.25">
      <c r="A269" s="101" t="s">
        <v>1502</v>
      </c>
      <c r="B269" s="193" t="str">
        <f>"04.0802"</f>
        <v>04.0802</v>
      </c>
      <c r="C269" s="58" t="s">
        <v>1816</v>
      </c>
      <c r="D269" s="79" t="s">
        <v>1817</v>
      </c>
      <c r="E269" s="79"/>
    </row>
    <row r="270" spans="1:5" ht="14.85" customHeight="1" outlineLevel="1" x14ac:dyDescent="0.25">
      <c r="A270" s="101" t="s">
        <v>1502</v>
      </c>
      <c r="B270" s="193" t="str">
        <f>"04.0803"</f>
        <v>04.0803</v>
      </c>
      <c r="C270" s="58" t="s">
        <v>1818</v>
      </c>
      <c r="D270" s="79" t="s">
        <v>1819</v>
      </c>
      <c r="E270" s="79"/>
    </row>
    <row r="271" spans="1:5" ht="14.85" customHeight="1" outlineLevel="1" x14ac:dyDescent="0.25">
      <c r="A271" s="101" t="s">
        <v>1502</v>
      </c>
      <c r="B271" s="193" t="str">
        <f>"04.0899"</f>
        <v>04.0899</v>
      </c>
      <c r="C271" s="58" t="s">
        <v>1820</v>
      </c>
      <c r="D271" s="79" t="s">
        <v>1821</v>
      </c>
      <c r="E271" s="79"/>
    </row>
    <row r="272" spans="1:5" ht="14.85" customHeight="1" outlineLevel="1" x14ac:dyDescent="0.25">
      <c r="A272" s="101" t="s">
        <v>1502</v>
      </c>
      <c r="B272" s="193" t="str">
        <f>"04.09"</f>
        <v>04.09</v>
      </c>
      <c r="C272" s="58" t="s">
        <v>1822</v>
      </c>
      <c r="D272" s="79" t="s">
        <v>1823</v>
      </c>
      <c r="E272" s="79"/>
    </row>
    <row r="273" spans="1:5" ht="14.85" customHeight="1" outlineLevel="1" x14ac:dyDescent="0.25">
      <c r="A273" s="101" t="s">
        <v>1502</v>
      </c>
      <c r="B273" s="193" t="str">
        <f>"04.0901"</f>
        <v>04.0901</v>
      </c>
      <c r="C273" s="58" t="s">
        <v>1824</v>
      </c>
      <c r="D273" s="79" t="s">
        <v>1825</v>
      </c>
      <c r="E273" s="79"/>
    </row>
    <row r="274" spans="1:5" ht="14.85" customHeight="1" outlineLevel="1" x14ac:dyDescent="0.25">
      <c r="A274" s="101" t="s">
        <v>1502</v>
      </c>
      <c r="B274" s="193" t="str">
        <f>"04.0902"</f>
        <v>04.0902</v>
      </c>
      <c r="C274" s="58" t="s">
        <v>1826</v>
      </c>
      <c r="D274" s="79" t="s">
        <v>1827</v>
      </c>
      <c r="E274" s="79"/>
    </row>
    <row r="275" spans="1:5" ht="14.85" customHeight="1" outlineLevel="1" x14ac:dyDescent="0.25">
      <c r="A275" s="101" t="s">
        <v>1502</v>
      </c>
      <c r="B275" s="193" t="str">
        <f>"04.0999"</f>
        <v>04.0999</v>
      </c>
      <c r="C275" s="58" t="s">
        <v>1828</v>
      </c>
      <c r="D275" s="79" t="s">
        <v>1829</v>
      </c>
      <c r="E275" s="79"/>
    </row>
    <row r="276" spans="1:5" ht="14.85" customHeight="1" outlineLevel="1" x14ac:dyDescent="0.25">
      <c r="A276" s="101" t="s">
        <v>1502</v>
      </c>
      <c r="B276" s="193" t="str">
        <f>"04.10"</f>
        <v>04.10</v>
      </c>
      <c r="C276" s="58" t="s">
        <v>1830</v>
      </c>
      <c r="D276" s="79" t="s">
        <v>1831</v>
      </c>
      <c r="E276" s="79"/>
    </row>
    <row r="277" spans="1:5" ht="14.85" customHeight="1" outlineLevel="1" x14ac:dyDescent="0.25">
      <c r="A277" s="101" t="s">
        <v>1502</v>
      </c>
      <c r="B277" s="193" t="str">
        <f>"04.1001"</f>
        <v>04.1001</v>
      </c>
      <c r="C277" s="58" t="s">
        <v>1830</v>
      </c>
      <c r="D277" s="79" t="s">
        <v>1832</v>
      </c>
      <c r="E277" s="79"/>
    </row>
    <row r="278" spans="1:5" ht="14.85" customHeight="1" outlineLevel="1" x14ac:dyDescent="0.25">
      <c r="A278" s="101" t="s">
        <v>1502</v>
      </c>
      <c r="B278" s="193" t="str">
        <f>"04.99"</f>
        <v>04.99</v>
      </c>
      <c r="C278" s="58" t="s">
        <v>1833</v>
      </c>
      <c r="D278" s="79" t="s">
        <v>1834</v>
      </c>
      <c r="E278" s="79"/>
    </row>
    <row r="279" spans="1:5" ht="14.85" customHeight="1" outlineLevel="1" x14ac:dyDescent="0.25">
      <c r="A279" s="101" t="s">
        <v>1502</v>
      </c>
      <c r="B279" s="193" t="str">
        <f>"04.9999"</f>
        <v>04.9999</v>
      </c>
      <c r="C279" s="58" t="s">
        <v>1833</v>
      </c>
      <c r="D279" s="79" t="s">
        <v>1835</v>
      </c>
      <c r="E279" s="79"/>
    </row>
    <row r="280" spans="1:5" ht="14.85" customHeight="1" outlineLevel="1" x14ac:dyDescent="0.25">
      <c r="A280" s="101" t="s">
        <v>1502</v>
      </c>
      <c r="B280" s="193" t="str">
        <f>"05"</f>
        <v>05</v>
      </c>
      <c r="C280" s="58" t="s">
        <v>1836</v>
      </c>
      <c r="D280" s="79" t="s">
        <v>1837</v>
      </c>
      <c r="E280" s="79"/>
    </row>
    <row r="281" spans="1:5" ht="14.85" customHeight="1" outlineLevel="1" x14ac:dyDescent="0.25">
      <c r="A281" s="101" t="s">
        <v>1502</v>
      </c>
      <c r="B281" s="193" t="str">
        <f>"05.01"</f>
        <v>05.01</v>
      </c>
      <c r="C281" s="58" t="s">
        <v>1838</v>
      </c>
      <c r="D281" s="79" t="s">
        <v>1839</v>
      </c>
      <c r="E281" s="79"/>
    </row>
    <row r="282" spans="1:5" ht="14.85" customHeight="1" outlineLevel="1" x14ac:dyDescent="0.25">
      <c r="A282" s="101" t="s">
        <v>1502</v>
      </c>
      <c r="B282" s="193" t="str">
        <f>"05.0101"</f>
        <v>05.0101</v>
      </c>
      <c r="C282" s="58" t="s">
        <v>1840</v>
      </c>
      <c r="D282" s="79" t="s">
        <v>1841</v>
      </c>
      <c r="E282" s="79"/>
    </row>
    <row r="283" spans="1:5" ht="14.85" customHeight="1" outlineLevel="1" x14ac:dyDescent="0.25">
      <c r="A283" s="101" t="s">
        <v>1502</v>
      </c>
      <c r="B283" s="193" t="str">
        <f>"05.0102"</f>
        <v>05.0102</v>
      </c>
      <c r="C283" s="58" t="s">
        <v>1842</v>
      </c>
      <c r="D283" s="79" t="s">
        <v>1843</v>
      </c>
      <c r="E283" s="79"/>
    </row>
    <row r="284" spans="1:5" ht="14.85" customHeight="1" outlineLevel="1" x14ac:dyDescent="0.25">
      <c r="A284" s="101" t="s">
        <v>1502</v>
      </c>
      <c r="B284" s="193" t="str">
        <f>"05.0103"</f>
        <v>05.0103</v>
      </c>
      <c r="C284" s="58" t="s">
        <v>1844</v>
      </c>
      <c r="D284" s="79" t="s">
        <v>1845</v>
      </c>
      <c r="E284" s="79"/>
    </row>
    <row r="285" spans="1:5" ht="14.85" customHeight="1" outlineLevel="1" x14ac:dyDescent="0.25">
      <c r="A285" s="101" t="s">
        <v>1502</v>
      </c>
      <c r="B285" s="193" t="str">
        <f>"05.0104"</f>
        <v>05.0104</v>
      </c>
      <c r="C285" s="58" t="s">
        <v>1846</v>
      </c>
      <c r="D285" s="79" t="s">
        <v>1847</v>
      </c>
      <c r="E285" s="79"/>
    </row>
    <row r="286" spans="1:5" ht="14.85" customHeight="1" outlineLevel="1" x14ac:dyDescent="0.25">
      <c r="A286" s="101" t="s">
        <v>1502</v>
      </c>
      <c r="B286" s="193" t="str">
        <f>"05.0105"</f>
        <v>05.0105</v>
      </c>
      <c r="C286" s="58" t="s">
        <v>1848</v>
      </c>
      <c r="D286" s="79" t="s">
        <v>1849</v>
      </c>
      <c r="E286" s="79"/>
    </row>
    <row r="287" spans="1:5" ht="14.85" customHeight="1" outlineLevel="1" x14ac:dyDescent="0.25">
      <c r="A287" s="101" t="s">
        <v>1502</v>
      </c>
      <c r="B287" s="193" t="str">
        <f>"05.0106"</f>
        <v>05.0106</v>
      </c>
      <c r="C287" s="58" t="s">
        <v>1850</v>
      </c>
      <c r="D287" s="79" t="s">
        <v>1851</v>
      </c>
      <c r="E287" s="79"/>
    </row>
    <row r="288" spans="1:5" ht="14.85" customHeight="1" outlineLevel="1" x14ac:dyDescent="0.25">
      <c r="A288" s="101" t="s">
        <v>1502</v>
      </c>
      <c r="B288" s="193" t="str">
        <f>"05.0107"</f>
        <v>05.0107</v>
      </c>
      <c r="C288" s="58" t="s">
        <v>1852</v>
      </c>
      <c r="D288" s="79" t="s">
        <v>1853</v>
      </c>
      <c r="E288" s="79"/>
    </row>
    <row r="289" spans="1:5" ht="14.85" customHeight="1" outlineLevel="1" x14ac:dyDescent="0.25">
      <c r="A289" s="101" t="s">
        <v>1502</v>
      </c>
      <c r="B289" s="193" t="str">
        <f>"05.0108"</f>
        <v>05.0108</v>
      </c>
      <c r="C289" s="58" t="s">
        <v>1854</v>
      </c>
      <c r="D289" s="79" t="s">
        <v>1855</v>
      </c>
      <c r="E289" s="79"/>
    </row>
    <row r="290" spans="1:5" ht="14.85" customHeight="1" outlineLevel="1" x14ac:dyDescent="0.25">
      <c r="A290" s="101" t="s">
        <v>1502</v>
      </c>
      <c r="B290" s="193" t="str">
        <f>"05.0109"</f>
        <v>05.0109</v>
      </c>
      <c r="C290" s="58" t="s">
        <v>1856</v>
      </c>
      <c r="D290" s="79" t="s">
        <v>1857</v>
      </c>
      <c r="E290" s="79"/>
    </row>
    <row r="291" spans="1:5" ht="14.85" customHeight="1" outlineLevel="1" x14ac:dyDescent="0.25">
      <c r="A291" s="101" t="s">
        <v>1502</v>
      </c>
      <c r="B291" s="193" t="str">
        <f>"05.0110"</f>
        <v>05.0110</v>
      </c>
      <c r="C291" s="58" t="s">
        <v>1858</v>
      </c>
      <c r="D291" s="79" t="s">
        <v>1859</v>
      </c>
      <c r="E291" s="79"/>
    </row>
    <row r="292" spans="1:5" ht="14.85" customHeight="1" outlineLevel="1" x14ac:dyDescent="0.25">
      <c r="A292" s="101" t="s">
        <v>1502</v>
      </c>
      <c r="B292" s="193" t="str">
        <f>"05.0111"</f>
        <v>05.0111</v>
      </c>
      <c r="C292" s="58" t="s">
        <v>1860</v>
      </c>
      <c r="D292" s="79" t="s">
        <v>1861</v>
      </c>
      <c r="E292" s="79"/>
    </row>
    <row r="293" spans="1:5" ht="14.85" customHeight="1" outlineLevel="1" x14ac:dyDescent="0.25">
      <c r="A293" s="101" t="s">
        <v>1502</v>
      </c>
      <c r="B293" s="193" t="str">
        <f>"05.0112"</f>
        <v>05.0112</v>
      </c>
      <c r="C293" s="58" t="s">
        <v>1862</v>
      </c>
      <c r="D293" s="79" t="s">
        <v>1863</v>
      </c>
      <c r="E293" s="79"/>
    </row>
    <row r="294" spans="1:5" ht="14.85" customHeight="1" outlineLevel="1" x14ac:dyDescent="0.25">
      <c r="A294" s="101" t="s">
        <v>1502</v>
      </c>
      <c r="B294" s="193" t="str">
        <f>"05.0113"</f>
        <v>05.0113</v>
      </c>
      <c r="C294" s="58" t="s">
        <v>1864</v>
      </c>
      <c r="D294" s="79" t="s">
        <v>1865</v>
      </c>
      <c r="E294" s="79"/>
    </row>
    <row r="295" spans="1:5" ht="14.85" customHeight="1" outlineLevel="1" x14ac:dyDescent="0.25">
      <c r="A295" s="101" t="s">
        <v>1502</v>
      </c>
      <c r="B295" s="193" t="str">
        <f>"05.0114"</f>
        <v>05.0114</v>
      </c>
      <c r="C295" s="58" t="s">
        <v>1866</v>
      </c>
      <c r="D295" s="79" t="s">
        <v>1867</v>
      </c>
      <c r="E295" s="79"/>
    </row>
    <row r="296" spans="1:5" ht="14.85" customHeight="1" outlineLevel="1" x14ac:dyDescent="0.25">
      <c r="A296" s="101" t="s">
        <v>1502</v>
      </c>
      <c r="B296" s="193" t="str">
        <f>"05.0115"</f>
        <v>05.0115</v>
      </c>
      <c r="C296" s="58" t="s">
        <v>1868</v>
      </c>
      <c r="D296" s="79" t="s">
        <v>1869</v>
      </c>
      <c r="E296" s="79"/>
    </row>
    <row r="297" spans="1:5" ht="14.85" customHeight="1" outlineLevel="1" x14ac:dyDescent="0.25">
      <c r="A297" s="101" t="s">
        <v>1502</v>
      </c>
      <c r="B297" s="193" t="str">
        <f>"05.0116"</f>
        <v>05.0116</v>
      </c>
      <c r="C297" s="58" t="s">
        <v>1870</v>
      </c>
      <c r="D297" s="79" t="s">
        <v>1871</v>
      </c>
      <c r="E297" s="79"/>
    </row>
    <row r="298" spans="1:5" ht="14.85" customHeight="1" outlineLevel="1" x14ac:dyDescent="0.25">
      <c r="A298" s="101" t="s">
        <v>1502</v>
      </c>
      <c r="B298" s="193" t="str">
        <f>"05.0117"</f>
        <v>05.0117</v>
      </c>
      <c r="C298" s="58" t="s">
        <v>1872</v>
      </c>
      <c r="D298" s="79" t="s">
        <v>1873</v>
      </c>
      <c r="E298" s="79"/>
    </row>
    <row r="299" spans="1:5" ht="14.85" customHeight="1" outlineLevel="1" x14ac:dyDescent="0.25">
      <c r="A299" s="101" t="s">
        <v>1502</v>
      </c>
      <c r="B299" s="193" t="str">
        <f>"05.0118"</f>
        <v>05.0118</v>
      </c>
      <c r="C299" s="58" t="s">
        <v>1874</v>
      </c>
      <c r="D299" s="79" t="s">
        <v>1875</v>
      </c>
      <c r="E299" s="79"/>
    </row>
    <row r="300" spans="1:5" ht="14.85" customHeight="1" outlineLevel="1" x14ac:dyDescent="0.25">
      <c r="A300" s="101" t="s">
        <v>1502</v>
      </c>
      <c r="B300" s="193" t="str">
        <f>"05.0119"</f>
        <v>05.0119</v>
      </c>
      <c r="C300" s="58" t="s">
        <v>1876</v>
      </c>
      <c r="D300" s="79" t="s">
        <v>1877</v>
      </c>
      <c r="E300" s="79"/>
    </row>
    <row r="301" spans="1:5" ht="14.85" customHeight="1" outlineLevel="1" x14ac:dyDescent="0.25">
      <c r="A301" s="101" t="s">
        <v>1502</v>
      </c>
      <c r="B301" s="193" t="str">
        <f>"05.0120"</f>
        <v>05.0120</v>
      </c>
      <c r="C301" s="58" t="s">
        <v>1878</v>
      </c>
      <c r="D301" s="79" t="s">
        <v>1879</v>
      </c>
      <c r="E301" s="79"/>
    </row>
    <row r="302" spans="1:5" ht="14.85" customHeight="1" outlineLevel="1" x14ac:dyDescent="0.25">
      <c r="A302" s="101" t="s">
        <v>1502</v>
      </c>
      <c r="B302" s="193" t="str">
        <f>"05.0121"</f>
        <v>05.0121</v>
      </c>
      <c r="C302" s="58" t="s">
        <v>1880</v>
      </c>
      <c r="D302" s="79" t="s">
        <v>1881</v>
      </c>
      <c r="E302" s="79"/>
    </row>
    <row r="303" spans="1:5" ht="14.85" customHeight="1" outlineLevel="1" x14ac:dyDescent="0.25">
      <c r="A303" s="101" t="s">
        <v>1502</v>
      </c>
      <c r="B303" s="193" t="str">
        <f>"05.0122"</f>
        <v>05.0122</v>
      </c>
      <c r="C303" s="58" t="s">
        <v>1882</v>
      </c>
      <c r="D303" s="79" t="s">
        <v>1883</v>
      </c>
      <c r="E303" s="79"/>
    </row>
    <row r="304" spans="1:5" s="93" customFormat="1" ht="14.85" customHeight="1" outlineLevel="1" x14ac:dyDescent="0.25">
      <c r="A304" s="101" t="s">
        <v>1502</v>
      </c>
      <c r="B304" s="193" t="str">
        <f>"05.0123"</f>
        <v>05.0123</v>
      </c>
      <c r="C304" s="58" t="s">
        <v>1884</v>
      </c>
      <c r="D304" s="79" t="s">
        <v>1885</v>
      </c>
      <c r="E304" s="79"/>
    </row>
    <row r="305" spans="1:5" s="93" customFormat="1" ht="14.85" customHeight="1" outlineLevel="1" x14ac:dyDescent="0.25">
      <c r="A305" s="101" t="s">
        <v>1502</v>
      </c>
      <c r="B305" s="193" t="str">
        <f>"05.0124"</f>
        <v>05.0124</v>
      </c>
      <c r="C305" s="58" t="s">
        <v>1886</v>
      </c>
      <c r="D305" s="79" t="s">
        <v>1887</v>
      </c>
      <c r="E305" s="79"/>
    </row>
    <row r="306" spans="1:5" ht="14.85" customHeight="1" outlineLevel="1" x14ac:dyDescent="0.25">
      <c r="A306" s="101" t="s">
        <v>1502</v>
      </c>
      <c r="B306" s="193" t="str">
        <f>"05.0125"</f>
        <v>05.0125</v>
      </c>
      <c r="C306" s="58" t="s">
        <v>1888</v>
      </c>
      <c r="D306" s="79" t="s">
        <v>1889</v>
      </c>
      <c r="E306" s="79"/>
    </row>
    <row r="307" spans="1:5" ht="14.85" customHeight="1" outlineLevel="1" x14ac:dyDescent="0.25">
      <c r="A307" s="101" t="s">
        <v>1502</v>
      </c>
      <c r="B307" s="193" t="str">
        <f>"05.0126"</f>
        <v>05.0126</v>
      </c>
      <c r="C307" s="58" t="s">
        <v>1890</v>
      </c>
      <c r="D307" s="79" t="s">
        <v>1891</v>
      </c>
      <c r="E307" s="79"/>
    </row>
    <row r="308" spans="1:5" ht="14.85" customHeight="1" outlineLevel="1" x14ac:dyDescent="0.25">
      <c r="A308" s="101" t="s">
        <v>1502</v>
      </c>
      <c r="B308" s="193" t="str">
        <f>"05.0127"</f>
        <v>05.0127</v>
      </c>
      <c r="C308" s="58" t="s">
        <v>1892</v>
      </c>
      <c r="D308" s="79" t="s">
        <v>1893</v>
      </c>
      <c r="E308" s="79"/>
    </row>
    <row r="309" spans="1:5" ht="14.85" customHeight="1" outlineLevel="1" x14ac:dyDescent="0.25">
      <c r="A309" s="101" t="s">
        <v>1502</v>
      </c>
      <c r="B309" s="193" t="str">
        <f>"05.0128"</f>
        <v>05.0128</v>
      </c>
      <c r="C309" s="58" t="s">
        <v>1894</v>
      </c>
      <c r="D309" s="79" t="s">
        <v>1895</v>
      </c>
      <c r="E309" s="79"/>
    </row>
    <row r="310" spans="1:5" ht="14.85" customHeight="1" outlineLevel="1" x14ac:dyDescent="0.25">
      <c r="A310" s="101" t="s">
        <v>1502</v>
      </c>
      <c r="B310" s="193" t="str">
        <f>"05.0129"</f>
        <v>05.0129</v>
      </c>
      <c r="C310" s="58" t="s">
        <v>1896</v>
      </c>
      <c r="D310" s="79" t="s">
        <v>1897</v>
      </c>
      <c r="E310" s="79"/>
    </row>
    <row r="311" spans="1:5" ht="14.85" customHeight="1" outlineLevel="1" x14ac:dyDescent="0.25">
      <c r="A311" s="101" t="s">
        <v>1502</v>
      </c>
      <c r="B311" s="193" t="str">
        <f>"05.0130"</f>
        <v>05.0130</v>
      </c>
      <c r="C311" s="58" t="s">
        <v>1898</v>
      </c>
      <c r="D311" s="79" t="s">
        <v>1899</v>
      </c>
      <c r="E311" s="79"/>
    </row>
    <row r="312" spans="1:5" ht="14.85" customHeight="1" outlineLevel="1" x14ac:dyDescent="0.25">
      <c r="A312" s="101" t="s">
        <v>1502</v>
      </c>
      <c r="B312" s="193" t="str">
        <f>"05.0131"</f>
        <v>05.0131</v>
      </c>
      <c r="C312" s="58" t="s">
        <v>1900</v>
      </c>
      <c r="D312" s="79" t="s">
        <v>1901</v>
      </c>
      <c r="E312" s="79"/>
    </row>
    <row r="313" spans="1:5" ht="14.85" customHeight="1" outlineLevel="1" x14ac:dyDescent="0.25">
      <c r="A313" s="101" t="s">
        <v>1502</v>
      </c>
      <c r="B313" s="193" t="str">
        <f>"05.0132"</f>
        <v>05.0132</v>
      </c>
      <c r="C313" s="58" t="s">
        <v>1902</v>
      </c>
      <c r="D313" s="79" t="s">
        <v>1903</v>
      </c>
      <c r="E313" s="79"/>
    </row>
    <row r="314" spans="1:5" ht="14.85" customHeight="1" outlineLevel="1" x14ac:dyDescent="0.25">
      <c r="A314" s="101" t="s">
        <v>1502</v>
      </c>
      <c r="B314" s="193" t="str">
        <f>"05.0133"</f>
        <v>05.0133</v>
      </c>
      <c r="C314" s="58" t="s">
        <v>1904</v>
      </c>
      <c r="D314" s="79" t="s">
        <v>1905</v>
      </c>
      <c r="E314" s="79"/>
    </row>
    <row r="315" spans="1:5" ht="14.85" customHeight="1" outlineLevel="1" x14ac:dyDescent="0.25">
      <c r="A315" s="101" t="s">
        <v>1502</v>
      </c>
      <c r="B315" s="193" t="str">
        <f>"05.0134"</f>
        <v>05.0134</v>
      </c>
      <c r="C315" s="58" t="s">
        <v>1906</v>
      </c>
      <c r="D315" s="79" t="s">
        <v>1907</v>
      </c>
      <c r="E315" s="79"/>
    </row>
    <row r="316" spans="1:5" ht="14.85" customHeight="1" outlineLevel="1" x14ac:dyDescent="0.25">
      <c r="A316" s="101" t="s">
        <v>1502</v>
      </c>
      <c r="B316" s="193" t="str">
        <f>"05.0135"</f>
        <v>05.0135</v>
      </c>
      <c r="C316" s="58" t="s">
        <v>1908</v>
      </c>
      <c r="D316" s="79" t="s">
        <v>1909</v>
      </c>
      <c r="E316" s="79"/>
    </row>
    <row r="317" spans="1:5" ht="14.85" customHeight="1" outlineLevel="1" x14ac:dyDescent="0.25">
      <c r="A317" s="101" t="s">
        <v>1502</v>
      </c>
      <c r="B317" s="193" t="str">
        <f>"05.0136"</f>
        <v>05.0136</v>
      </c>
      <c r="C317" s="58" t="s">
        <v>1910</v>
      </c>
      <c r="D317" s="79" t="s">
        <v>1911</v>
      </c>
      <c r="E317" s="79"/>
    </row>
    <row r="318" spans="1:5" ht="14.85" customHeight="1" outlineLevel="1" x14ac:dyDescent="0.25">
      <c r="A318" s="101" t="s">
        <v>1502</v>
      </c>
      <c r="B318" s="193" t="str">
        <f>"05.0199"</f>
        <v>05.0199</v>
      </c>
      <c r="C318" s="58" t="s">
        <v>1912</v>
      </c>
      <c r="D318" s="79" t="s">
        <v>1913</v>
      </c>
      <c r="E318" s="79"/>
    </row>
    <row r="319" spans="1:5" ht="14.85" customHeight="1" outlineLevel="1" x14ac:dyDescent="0.25">
      <c r="A319" s="101" t="s">
        <v>1502</v>
      </c>
      <c r="B319" s="193" t="str">
        <f>"05.02"</f>
        <v>05.02</v>
      </c>
      <c r="C319" s="58" t="s">
        <v>1914</v>
      </c>
      <c r="D319" s="79" t="s">
        <v>1915</v>
      </c>
      <c r="E319" s="79"/>
    </row>
    <row r="320" spans="1:5" ht="14.85" customHeight="1" outlineLevel="1" x14ac:dyDescent="0.25">
      <c r="A320" s="101" t="s">
        <v>1502</v>
      </c>
      <c r="B320" s="193" t="str">
        <f>"05.0200"</f>
        <v>05.0200</v>
      </c>
      <c r="C320" s="58" t="s">
        <v>1916</v>
      </c>
      <c r="D320" s="79" t="s">
        <v>1917</v>
      </c>
      <c r="E320" s="79"/>
    </row>
    <row r="321" spans="1:5" ht="14.85" customHeight="1" outlineLevel="1" x14ac:dyDescent="0.25">
      <c r="A321" s="101" t="s">
        <v>1502</v>
      </c>
      <c r="B321" s="193" t="str">
        <f>"05.0201"</f>
        <v>05.0201</v>
      </c>
      <c r="C321" s="58" t="s">
        <v>1918</v>
      </c>
      <c r="D321" s="79" t="s">
        <v>1919</v>
      </c>
      <c r="E321" s="79"/>
    </row>
    <row r="322" spans="1:5" ht="14.85" customHeight="1" outlineLevel="1" x14ac:dyDescent="0.25">
      <c r="A322" s="101" t="s">
        <v>1502</v>
      </c>
      <c r="B322" s="193" t="str">
        <f>"05.0202"</f>
        <v>05.0202</v>
      </c>
      <c r="C322" s="58" t="s">
        <v>1920</v>
      </c>
      <c r="D322" s="79" t="s">
        <v>1921</v>
      </c>
      <c r="E322" s="79"/>
    </row>
    <row r="323" spans="1:5" ht="14.85" customHeight="1" outlineLevel="1" x14ac:dyDescent="0.25">
      <c r="A323" s="101" t="s">
        <v>1502</v>
      </c>
      <c r="B323" s="193" t="str">
        <f>"05.0203"</f>
        <v>05.0203</v>
      </c>
      <c r="C323" s="58" t="s">
        <v>1922</v>
      </c>
      <c r="D323" s="79" t="s">
        <v>1923</v>
      </c>
      <c r="E323" s="79"/>
    </row>
    <row r="324" spans="1:5" ht="14.85" customHeight="1" outlineLevel="1" x14ac:dyDescent="0.25">
      <c r="A324" s="101" t="s">
        <v>1502</v>
      </c>
      <c r="B324" s="193" t="str">
        <f>"05.0206"</f>
        <v>05.0206</v>
      </c>
      <c r="C324" s="58" t="s">
        <v>1924</v>
      </c>
      <c r="D324" s="79" t="s">
        <v>1925</v>
      </c>
      <c r="E324" s="79"/>
    </row>
    <row r="325" spans="1:5" ht="14.85" customHeight="1" outlineLevel="1" x14ac:dyDescent="0.25">
      <c r="A325" s="101" t="s">
        <v>1502</v>
      </c>
      <c r="B325" s="193" t="str">
        <f>"05.0207"</f>
        <v>05.0207</v>
      </c>
      <c r="C325" s="58" t="s">
        <v>1926</v>
      </c>
      <c r="D325" s="79" t="s">
        <v>1927</v>
      </c>
      <c r="E325" s="79"/>
    </row>
    <row r="326" spans="1:5" ht="14.85" customHeight="1" outlineLevel="1" x14ac:dyDescent="0.25">
      <c r="A326" s="101" t="s">
        <v>1502</v>
      </c>
      <c r="B326" s="193" t="str">
        <f>"05.0208"</f>
        <v>05.0208</v>
      </c>
      <c r="C326" s="58" t="s">
        <v>1928</v>
      </c>
      <c r="D326" s="79" t="s">
        <v>1929</v>
      </c>
      <c r="E326" s="79"/>
    </row>
    <row r="327" spans="1:5" ht="14.85" customHeight="1" outlineLevel="1" x14ac:dyDescent="0.25">
      <c r="A327" s="101" t="s">
        <v>1502</v>
      </c>
      <c r="B327" s="193" t="str">
        <f>"05.0209"</f>
        <v>05.0209</v>
      </c>
      <c r="C327" s="58" t="s">
        <v>1930</v>
      </c>
      <c r="D327" s="79" t="s">
        <v>1931</v>
      </c>
      <c r="E327" s="79"/>
    </row>
    <row r="328" spans="1:5" ht="14.85" customHeight="1" outlineLevel="1" x14ac:dyDescent="0.25">
      <c r="A328" s="101" t="s">
        <v>1502</v>
      </c>
      <c r="B328" s="193" t="str">
        <f>"05.0210"</f>
        <v>05.0210</v>
      </c>
      <c r="C328" s="58" t="s">
        <v>1932</v>
      </c>
      <c r="D328" s="79" t="s">
        <v>1933</v>
      </c>
      <c r="E328" s="79"/>
    </row>
    <row r="329" spans="1:5" ht="14.85" customHeight="1" outlineLevel="1" x14ac:dyDescent="0.25">
      <c r="A329" s="101" t="s">
        <v>1502</v>
      </c>
      <c r="B329" s="193" t="str">
        <f>"05.0211"</f>
        <v>05.0211</v>
      </c>
      <c r="C329" s="58" t="s">
        <v>1934</v>
      </c>
      <c r="D329" s="79" t="s">
        <v>1935</v>
      </c>
      <c r="E329" s="79"/>
    </row>
    <row r="330" spans="1:5" ht="14.85" customHeight="1" outlineLevel="1" x14ac:dyDescent="0.25">
      <c r="A330" s="101" t="s">
        <v>1502</v>
      </c>
      <c r="B330" s="193" t="str">
        <f>"05.0212"</f>
        <v>05.0212</v>
      </c>
      <c r="C330" s="58" t="s">
        <v>1936</v>
      </c>
      <c r="D330" s="79" t="s">
        <v>1937</v>
      </c>
      <c r="E330" s="79"/>
    </row>
    <row r="331" spans="1:5" ht="14.85" customHeight="1" outlineLevel="1" x14ac:dyDescent="0.25">
      <c r="A331" s="101" t="s">
        <v>1502</v>
      </c>
      <c r="B331" s="193" t="str">
        <f>"05.0299"</f>
        <v>05.0299</v>
      </c>
      <c r="C331" s="58" t="s">
        <v>1938</v>
      </c>
      <c r="D331" s="79" t="s">
        <v>1939</v>
      </c>
      <c r="E331" s="79"/>
    </row>
    <row r="332" spans="1:5" ht="14.85" customHeight="1" outlineLevel="1" x14ac:dyDescent="0.25">
      <c r="A332" s="101" t="s">
        <v>1502</v>
      </c>
      <c r="B332" s="193" t="str">
        <f>"05.99"</f>
        <v>05.99</v>
      </c>
      <c r="C332" s="58" t="s">
        <v>1940</v>
      </c>
      <c r="D332" s="79" t="s">
        <v>1941</v>
      </c>
      <c r="E332" s="79"/>
    </row>
    <row r="333" spans="1:5" ht="14.85" customHeight="1" outlineLevel="1" x14ac:dyDescent="0.25">
      <c r="A333" s="101" t="s">
        <v>1502</v>
      </c>
      <c r="B333" s="193" t="str">
        <f>"05.9999"</f>
        <v>05.9999</v>
      </c>
      <c r="C333" s="58" t="s">
        <v>1940</v>
      </c>
      <c r="D333" s="79" t="s">
        <v>1942</v>
      </c>
      <c r="E333" s="79"/>
    </row>
    <row r="334" spans="1:5" ht="14.85" customHeight="1" outlineLevel="1" x14ac:dyDescent="0.25">
      <c r="A334" s="101" t="s">
        <v>1502</v>
      </c>
      <c r="B334" s="193" t="str">
        <f>"09"</f>
        <v>09</v>
      </c>
      <c r="C334" s="58" t="s">
        <v>1943</v>
      </c>
      <c r="D334" s="79" t="s">
        <v>1944</v>
      </c>
      <c r="E334" s="79"/>
    </row>
    <row r="335" spans="1:5" ht="14.85" customHeight="1" outlineLevel="1" x14ac:dyDescent="0.25">
      <c r="A335" s="101" t="s">
        <v>1502</v>
      </c>
      <c r="B335" s="193" t="str">
        <f>"09.01"</f>
        <v>09.01</v>
      </c>
      <c r="C335" s="58" t="s">
        <v>1945</v>
      </c>
      <c r="D335" s="79" t="s">
        <v>1946</v>
      </c>
      <c r="E335" s="79"/>
    </row>
    <row r="336" spans="1:5" ht="14.85" customHeight="1" outlineLevel="1" x14ac:dyDescent="0.25">
      <c r="A336" s="101" t="s">
        <v>1502</v>
      </c>
      <c r="B336" s="193" t="str">
        <f>"09.0100"</f>
        <v>09.0100</v>
      </c>
      <c r="C336" s="58" t="s">
        <v>1947</v>
      </c>
      <c r="D336" s="79" t="s">
        <v>1948</v>
      </c>
      <c r="E336" s="79"/>
    </row>
    <row r="337" spans="1:5" ht="14.85" customHeight="1" outlineLevel="1" x14ac:dyDescent="0.25">
      <c r="A337" s="101" t="s">
        <v>1502</v>
      </c>
      <c r="B337" s="193" t="str">
        <f>"09.0101"</f>
        <v>09.0101</v>
      </c>
      <c r="C337" s="58" t="s">
        <v>1949</v>
      </c>
      <c r="D337" s="79" t="s">
        <v>1950</v>
      </c>
      <c r="E337" s="79"/>
    </row>
    <row r="338" spans="1:5" ht="14.85" customHeight="1" outlineLevel="1" x14ac:dyDescent="0.25">
      <c r="A338" s="101" t="s">
        <v>1502</v>
      </c>
      <c r="B338" s="193" t="str">
        <f>"09.0102"</f>
        <v>09.0102</v>
      </c>
      <c r="C338" s="58" t="s">
        <v>1951</v>
      </c>
      <c r="D338" s="79" t="s">
        <v>1952</v>
      </c>
      <c r="E338" s="79"/>
    </row>
    <row r="339" spans="1:5" ht="14.85" customHeight="1" outlineLevel="1" x14ac:dyDescent="0.25">
      <c r="A339" s="101" t="s">
        <v>1502</v>
      </c>
      <c r="B339" s="193" t="str">
        <f>"09.0199"</f>
        <v>09.0199</v>
      </c>
      <c r="C339" s="58" t="s">
        <v>1953</v>
      </c>
      <c r="D339" s="79" t="s">
        <v>1954</v>
      </c>
      <c r="E339" s="79"/>
    </row>
    <row r="340" spans="1:5" ht="14.85" customHeight="1" outlineLevel="1" x14ac:dyDescent="0.25">
      <c r="A340" s="101" t="s">
        <v>1502</v>
      </c>
      <c r="B340" s="193" t="str">
        <f>"09.04"</f>
        <v>09.04</v>
      </c>
      <c r="C340" s="58" t="s">
        <v>1955</v>
      </c>
      <c r="D340" s="79" t="s">
        <v>1956</v>
      </c>
      <c r="E340" s="79"/>
    </row>
    <row r="341" spans="1:5" ht="14.85" customHeight="1" outlineLevel="1" x14ac:dyDescent="0.25">
      <c r="A341" s="101" t="s">
        <v>1502</v>
      </c>
      <c r="B341" s="193" t="str">
        <f>"09.0401"</f>
        <v>09.0401</v>
      </c>
      <c r="C341" s="58" t="s">
        <v>1955</v>
      </c>
      <c r="D341" s="79" t="s">
        <v>1957</v>
      </c>
      <c r="E341" s="79"/>
    </row>
    <row r="342" spans="1:5" ht="14.85" customHeight="1" outlineLevel="1" x14ac:dyDescent="0.25">
      <c r="A342" s="101" t="s">
        <v>1502</v>
      </c>
      <c r="B342" s="193" t="str">
        <f>"09.0402"</f>
        <v>09.0402</v>
      </c>
      <c r="C342" s="58" t="s">
        <v>1958</v>
      </c>
      <c r="D342" s="79" t="s">
        <v>1959</v>
      </c>
      <c r="E342" s="79"/>
    </row>
    <row r="343" spans="1:5" ht="14.85" customHeight="1" outlineLevel="1" x14ac:dyDescent="0.25">
      <c r="A343" s="101" t="s">
        <v>1502</v>
      </c>
      <c r="B343" s="193" t="str">
        <f>"09.0404"</f>
        <v>09.0404</v>
      </c>
      <c r="C343" s="58" t="s">
        <v>1960</v>
      </c>
      <c r="D343" s="79" t="s">
        <v>1961</v>
      </c>
      <c r="E343" s="79"/>
    </row>
    <row r="344" spans="1:5" ht="14.85" customHeight="1" outlineLevel="1" x14ac:dyDescent="0.25">
      <c r="A344" s="101" t="s">
        <v>1502</v>
      </c>
      <c r="B344" s="193" t="str">
        <f>"09.0405"</f>
        <v>09.0405</v>
      </c>
      <c r="C344" s="58" t="s">
        <v>1962</v>
      </c>
      <c r="D344" s="79" t="s">
        <v>1963</v>
      </c>
      <c r="E344" s="79"/>
    </row>
    <row r="345" spans="1:5" ht="14.85" customHeight="1" outlineLevel="1" x14ac:dyDescent="0.25">
      <c r="A345" s="101" t="s">
        <v>1502</v>
      </c>
      <c r="B345" s="193" t="str">
        <f>"09.0406"</f>
        <v>09.0406</v>
      </c>
      <c r="C345" s="58" t="s">
        <v>1964</v>
      </c>
      <c r="D345" s="79" t="s">
        <v>1965</v>
      </c>
      <c r="E345" s="79"/>
    </row>
    <row r="346" spans="1:5" ht="14.85" customHeight="1" outlineLevel="1" x14ac:dyDescent="0.25">
      <c r="A346" s="101" t="s">
        <v>1502</v>
      </c>
      <c r="B346" s="193" t="str">
        <f>"09.0407"</f>
        <v>09.0407</v>
      </c>
      <c r="C346" s="58" t="s">
        <v>1966</v>
      </c>
      <c r="D346" s="79" t="s">
        <v>1967</v>
      </c>
      <c r="E346" s="79"/>
    </row>
    <row r="347" spans="1:5" ht="14.85" customHeight="1" outlineLevel="1" x14ac:dyDescent="0.25">
      <c r="A347" s="101" t="s">
        <v>1502</v>
      </c>
      <c r="B347" s="193" t="str">
        <f>"09.0499"</f>
        <v>09.0499</v>
      </c>
      <c r="C347" s="58" t="s">
        <v>1968</v>
      </c>
      <c r="D347" s="79" t="s">
        <v>1969</v>
      </c>
      <c r="E347" s="79"/>
    </row>
    <row r="348" spans="1:5" ht="14.85" customHeight="1" outlineLevel="1" x14ac:dyDescent="0.25">
      <c r="A348" s="101" t="s">
        <v>1502</v>
      </c>
      <c r="B348" s="193" t="str">
        <f>"09.07"</f>
        <v>09.07</v>
      </c>
      <c r="C348" s="58" t="s">
        <v>1970</v>
      </c>
      <c r="D348" s="79" t="s">
        <v>1971</v>
      </c>
      <c r="E348" s="79"/>
    </row>
    <row r="349" spans="1:5" ht="14.85" customHeight="1" outlineLevel="1" x14ac:dyDescent="0.25">
      <c r="A349" s="101" t="s">
        <v>1502</v>
      </c>
      <c r="B349" s="193" t="str">
        <f>"09.0701"</f>
        <v>09.0701</v>
      </c>
      <c r="C349" s="58" t="s">
        <v>1972</v>
      </c>
      <c r="D349" s="79" t="s">
        <v>1973</v>
      </c>
      <c r="E349" s="79"/>
    </row>
    <row r="350" spans="1:5" ht="14.85" customHeight="1" outlineLevel="1" x14ac:dyDescent="0.25">
      <c r="A350" s="101" t="s">
        <v>1502</v>
      </c>
      <c r="B350" s="193" t="str">
        <f>"09.0702"</f>
        <v>09.0702</v>
      </c>
      <c r="C350" s="58" t="s">
        <v>1974</v>
      </c>
      <c r="D350" s="79" t="s">
        <v>1975</v>
      </c>
      <c r="E350" s="79"/>
    </row>
    <row r="351" spans="1:5" ht="14.85" customHeight="1" outlineLevel="1" x14ac:dyDescent="0.25">
      <c r="A351" s="101" t="s">
        <v>1502</v>
      </c>
      <c r="B351" s="193" t="str">
        <f>"09.0799"</f>
        <v>09.0799</v>
      </c>
      <c r="C351" s="58" t="s">
        <v>1976</v>
      </c>
      <c r="D351" s="79" t="s">
        <v>1977</v>
      </c>
      <c r="E351" s="79"/>
    </row>
    <row r="352" spans="1:5" ht="14.85" customHeight="1" outlineLevel="1" x14ac:dyDescent="0.25">
      <c r="A352" s="101" t="s">
        <v>1502</v>
      </c>
      <c r="B352" s="193" t="str">
        <f>"09.09"</f>
        <v>09.09</v>
      </c>
      <c r="C352" s="58" t="s">
        <v>1978</v>
      </c>
      <c r="D352" s="79" t="s">
        <v>1979</v>
      </c>
      <c r="E352" s="79"/>
    </row>
    <row r="353" spans="1:5" ht="14.85" customHeight="1" outlineLevel="1" x14ac:dyDescent="0.25">
      <c r="A353" s="101" t="s">
        <v>1502</v>
      </c>
      <c r="B353" s="193" t="str">
        <f>"09.0900"</f>
        <v>09.0900</v>
      </c>
      <c r="C353" s="58" t="s">
        <v>1978</v>
      </c>
      <c r="D353" s="79" t="s">
        <v>1980</v>
      </c>
      <c r="E353" s="79"/>
    </row>
    <row r="354" spans="1:5" ht="14.85" customHeight="1" outlineLevel="1" x14ac:dyDescent="0.25">
      <c r="A354" s="101" t="s">
        <v>1502</v>
      </c>
      <c r="B354" s="193" t="str">
        <f>"09.0901"</f>
        <v>09.0901</v>
      </c>
      <c r="C354" s="58" t="s">
        <v>1981</v>
      </c>
      <c r="D354" s="79" t="s">
        <v>1982</v>
      </c>
      <c r="E354" s="79"/>
    </row>
    <row r="355" spans="1:5" ht="14.85" customHeight="1" outlineLevel="1" x14ac:dyDescent="0.25">
      <c r="A355" s="101" t="s">
        <v>1502</v>
      </c>
      <c r="B355" s="193" t="str">
        <f>"09.0902"</f>
        <v>09.0902</v>
      </c>
      <c r="C355" s="58" t="s">
        <v>1983</v>
      </c>
      <c r="D355" s="79" t="s">
        <v>1984</v>
      </c>
      <c r="E355" s="79"/>
    </row>
    <row r="356" spans="1:5" ht="14.85" customHeight="1" outlineLevel="1" x14ac:dyDescent="0.25">
      <c r="A356" s="101" t="s">
        <v>1502</v>
      </c>
      <c r="B356" s="193" t="str">
        <f>"09.0903"</f>
        <v>09.0903</v>
      </c>
      <c r="C356" s="58" t="s">
        <v>1985</v>
      </c>
      <c r="D356" s="79" t="s">
        <v>1986</v>
      </c>
      <c r="E356" s="79"/>
    </row>
    <row r="357" spans="1:5" ht="14.85" customHeight="1" outlineLevel="1" x14ac:dyDescent="0.25">
      <c r="A357" s="101" t="s">
        <v>1502</v>
      </c>
      <c r="B357" s="193" t="str">
        <f>"09.0904"</f>
        <v>09.0904</v>
      </c>
      <c r="C357" s="58" t="s">
        <v>1987</v>
      </c>
      <c r="D357" s="79" t="s">
        <v>1988</v>
      </c>
      <c r="E357" s="79"/>
    </row>
    <row r="358" spans="1:5" ht="14.85" customHeight="1" outlineLevel="1" x14ac:dyDescent="0.25">
      <c r="A358" s="101" t="s">
        <v>1502</v>
      </c>
      <c r="B358" s="193" t="str">
        <f>"09.0905"</f>
        <v>09.0905</v>
      </c>
      <c r="C358" s="58" t="s">
        <v>1989</v>
      </c>
      <c r="D358" s="79" t="s">
        <v>1990</v>
      </c>
      <c r="E358" s="79"/>
    </row>
    <row r="359" spans="1:5" ht="14.85" customHeight="1" outlineLevel="1" x14ac:dyDescent="0.25">
      <c r="A359" s="101" t="s">
        <v>1502</v>
      </c>
      <c r="B359" s="193" t="str">
        <f>"09.0906"</f>
        <v>09.0906</v>
      </c>
      <c r="C359" s="58" t="s">
        <v>1991</v>
      </c>
      <c r="D359" s="79" t="s">
        <v>1992</v>
      </c>
      <c r="E359" s="79"/>
    </row>
    <row r="360" spans="1:5" ht="14.85" customHeight="1" outlineLevel="1" x14ac:dyDescent="0.25">
      <c r="A360" s="101" t="s">
        <v>1502</v>
      </c>
      <c r="B360" s="193" t="str">
        <f>"09.0907"</f>
        <v>09.0907</v>
      </c>
      <c r="C360" s="58" t="s">
        <v>1993</v>
      </c>
      <c r="D360" s="79" t="s">
        <v>1994</v>
      </c>
      <c r="E360" s="79"/>
    </row>
    <row r="361" spans="1:5" ht="14.85" customHeight="1" outlineLevel="1" x14ac:dyDescent="0.25">
      <c r="A361" s="101" t="s">
        <v>1502</v>
      </c>
      <c r="B361" s="193" t="str">
        <f>"09.0908"</f>
        <v>09.0908</v>
      </c>
      <c r="C361" s="58" t="s">
        <v>1995</v>
      </c>
      <c r="D361" s="79" t="s">
        <v>1996</v>
      </c>
      <c r="E361" s="79"/>
    </row>
    <row r="362" spans="1:5" ht="14.85" customHeight="1" outlineLevel="1" x14ac:dyDescent="0.25">
      <c r="A362" s="101" t="s">
        <v>1502</v>
      </c>
      <c r="B362" s="193" t="str">
        <f>"09.0909"</f>
        <v>09.0909</v>
      </c>
      <c r="C362" s="58" t="s">
        <v>1997</v>
      </c>
      <c r="D362" s="79" t="s">
        <v>1998</v>
      </c>
      <c r="E362" s="79"/>
    </row>
    <row r="363" spans="1:5" ht="14.85" customHeight="1" outlineLevel="1" x14ac:dyDescent="0.25">
      <c r="A363" s="101" t="s">
        <v>1502</v>
      </c>
      <c r="B363" s="193" t="str">
        <f>"09.0999"</f>
        <v>09.0999</v>
      </c>
      <c r="C363" s="58" t="s">
        <v>1999</v>
      </c>
      <c r="D363" s="79" t="s">
        <v>2000</v>
      </c>
      <c r="E363" s="79"/>
    </row>
    <row r="364" spans="1:5" ht="14.85" customHeight="1" outlineLevel="1" x14ac:dyDescent="0.25">
      <c r="A364" s="101" t="s">
        <v>1502</v>
      </c>
      <c r="B364" s="193" t="str">
        <f>"09.10"</f>
        <v>09.10</v>
      </c>
      <c r="C364" s="58" t="s">
        <v>2001</v>
      </c>
      <c r="D364" s="79" t="s">
        <v>2002</v>
      </c>
      <c r="E364" s="79"/>
    </row>
    <row r="365" spans="1:5" ht="14.85" customHeight="1" outlineLevel="1" x14ac:dyDescent="0.25">
      <c r="A365" s="101" t="s">
        <v>1502</v>
      </c>
      <c r="B365" s="193" t="str">
        <f>"09.1001"</f>
        <v>09.1001</v>
      </c>
      <c r="C365" s="58" t="s">
        <v>2001</v>
      </c>
      <c r="D365" s="79" t="s">
        <v>2003</v>
      </c>
      <c r="E365" s="79"/>
    </row>
    <row r="366" spans="1:5" ht="14.85" customHeight="1" outlineLevel="1" x14ac:dyDescent="0.25">
      <c r="A366" s="101" t="s">
        <v>1502</v>
      </c>
      <c r="B366" s="193" t="str">
        <f>"09.99"</f>
        <v>09.99</v>
      </c>
      <c r="C366" s="58" t="s">
        <v>2004</v>
      </c>
      <c r="D366" s="79" t="s">
        <v>2005</v>
      </c>
      <c r="E366" s="79"/>
    </row>
    <row r="367" spans="1:5" ht="14.85" customHeight="1" outlineLevel="1" x14ac:dyDescent="0.25">
      <c r="A367" s="101" t="s">
        <v>1502</v>
      </c>
      <c r="B367" s="193" t="str">
        <f>"09.9999"</f>
        <v>09.9999</v>
      </c>
      <c r="C367" s="58" t="s">
        <v>2004</v>
      </c>
      <c r="D367" s="79" t="s">
        <v>2006</v>
      </c>
      <c r="E367" s="79"/>
    </row>
    <row r="368" spans="1:5" ht="14.85" customHeight="1" outlineLevel="1" x14ac:dyDescent="0.25">
      <c r="A368" s="101" t="s">
        <v>1502</v>
      </c>
      <c r="B368" s="193" t="str">
        <f>"10"</f>
        <v>10</v>
      </c>
      <c r="C368" s="58" t="s">
        <v>2007</v>
      </c>
      <c r="D368" s="79" t="s">
        <v>2008</v>
      </c>
      <c r="E368" s="79"/>
    </row>
    <row r="369" spans="1:5" ht="14.85" customHeight="1" outlineLevel="1" x14ac:dyDescent="0.25">
      <c r="A369" s="101" t="s">
        <v>1502</v>
      </c>
      <c r="B369" s="193" t="str">
        <f>"10.01"</f>
        <v>10.01</v>
      </c>
      <c r="C369" s="58" t="s">
        <v>2009</v>
      </c>
      <c r="D369" s="79" t="s">
        <v>2010</v>
      </c>
      <c r="E369" s="79"/>
    </row>
    <row r="370" spans="1:5" ht="14.85" customHeight="1" outlineLevel="1" x14ac:dyDescent="0.25">
      <c r="A370" s="101" t="s">
        <v>1502</v>
      </c>
      <c r="B370" s="193" t="str">
        <f>"10.0105"</f>
        <v>10.0105</v>
      </c>
      <c r="C370" s="58" t="s">
        <v>2011</v>
      </c>
      <c r="D370" s="79" t="s">
        <v>2012</v>
      </c>
      <c r="E370" s="79"/>
    </row>
    <row r="371" spans="1:5" ht="14.85" customHeight="1" outlineLevel="1" x14ac:dyDescent="0.25">
      <c r="A371" s="101" t="s">
        <v>1502</v>
      </c>
      <c r="B371" s="193" t="str">
        <f>"10.02"</f>
        <v>10.02</v>
      </c>
      <c r="C371" s="58" t="s">
        <v>2013</v>
      </c>
      <c r="D371" s="79" t="s">
        <v>2014</v>
      </c>
      <c r="E371" s="79"/>
    </row>
    <row r="372" spans="1:5" ht="14.85" customHeight="1" outlineLevel="1" x14ac:dyDescent="0.25">
      <c r="A372" s="101" t="s">
        <v>1502</v>
      </c>
      <c r="B372" s="193" t="str">
        <f>"10.0201"</f>
        <v>10.0201</v>
      </c>
      <c r="C372" s="58" t="s">
        <v>2015</v>
      </c>
      <c r="D372" s="79" t="s">
        <v>2016</v>
      </c>
      <c r="E372" s="79"/>
    </row>
    <row r="373" spans="1:5" ht="14.85" customHeight="1" outlineLevel="1" x14ac:dyDescent="0.25">
      <c r="A373" s="101" t="s">
        <v>1502</v>
      </c>
      <c r="B373" s="193" t="str">
        <f>"10.0202"</f>
        <v>10.0202</v>
      </c>
      <c r="C373" s="58" t="s">
        <v>2017</v>
      </c>
      <c r="D373" s="79" t="s">
        <v>2018</v>
      </c>
      <c r="E373" s="79"/>
    </row>
    <row r="374" spans="1:5" ht="14.85" customHeight="1" outlineLevel="1" x14ac:dyDescent="0.25">
      <c r="A374" s="101" t="s">
        <v>1502</v>
      </c>
      <c r="B374" s="193" t="str">
        <f>"10.0203"</f>
        <v>10.0203</v>
      </c>
      <c r="C374" s="58" t="s">
        <v>2019</v>
      </c>
      <c r="D374" s="79" t="s">
        <v>2020</v>
      </c>
      <c r="E374" s="79"/>
    </row>
    <row r="375" spans="1:5" ht="14.85" customHeight="1" outlineLevel="1" x14ac:dyDescent="0.25">
      <c r="A375" s="101" t="s">
        <v>1502</v>
      </c>
      <c r="B375" s="193" t="str">
        <f>"10.0204"</f>
        <v>10.0204</v>
      </c>
      <c r="C375" s="58" t="s">
        <v>2021</v>
      </c>
      <c r="D375" s="79" t="s">
        <v>2022</v>
      </c>
      <c r="E375" s="79"/>
    </row>
    <row r="376" spans="1:5" ht="14.85" customHeight="1" outlineLevel="1" x14ac:dyDescent="0.25">
      <c r="A376" s="101" t="s">
        <v>1502</v>
      </c>
      <c r="B376" s="193" t="str">
        <f>"10.0299"</f>
        <v>10.0299</v>
      </c>
      <c r="C376" s="58" t="s">
        <v>2023</v>
      </c>
      <c r="D376" s="79" t="s">
        <v>2024</v>
      </c>
      <c r="E376" s="79"/>
    </row>
    <row r="377" spans="1:5" ht="14.85" customHeight="1" outlineLevel="1" x14ac:dyDescent="0.25">
      <c r="A377" s="101" t="s">
        <v>1502</v>
      </c>
      <c r="B377" s="193" t="str">
        <f>"10.03"</f>
        <v>10.03</v>
      </c>
      <c r="C377" s="58" t="s">
        <v>2025</v>
      </c>
      <c r="D377" s="79" t="s">
        <v>2026</v>
      </c>
      <c r="E377" s="79"/>
    </row>
    <row r="378" spans="1:5" ht="14.85" customHeight="1" outlineLevel="1" x14ac:dyDescent="0.25">
      <c r="A378" s="101" t="s">
        <v>1502</v>
      </c>
      <c r="B378" s="193" t="str">
        <f>"10.0301"</f>
        <v>10.0301</v>
      </c>
      <c r="C378" s="58" t="s">
        <v>2027</v>
      </c>
      <c r="D378" s="79" t="s">
        <v>2028</v>
      </c>
      <c r="E378" s="79"/>
    </row>
    <row r="379" spans="1:5" ht="14.85" customHeight="1" outlineLevel="1" x14ac:dyDescent="0.25">
      <c r="A379" s="101" t="s">
        <v>1502</v>
      </c>
      <c r="B379" s="193" t="str">
        <f>"10.0302"</f>
        <v>10.0302</v>
      </c>
      <c r="C379" s="58" t="s">
        <v>2029</v>
      </c>
      <c r="D379" s="79" t="s">
        <v>2030</v>
      </c>
      <c r="E379" s="79"/>
    </row>
    <row r="380" spans="1:5" ht="14.85" customHeight="1" outlineLevel="1" x14ac:dyDescent="0.25">
      <c r="A380" s="101" t="s">
        <v>1502</v>
      </c>
      <c r="B380" s="193" t="str">
        <f>"10.0303"</f>
        <v>10.0303</v>
      </c>
      <c r="C380" s="58" t="s">
        <v>2031</v>
      </c>
      <c r="D380" s="79" t="s">
        <v>2032</v>
      </c>
      <c r="E380" s="79"/>
    </row>
    <row r="381" spans="1:5" ht="14.85" customHeight="1" outlineLevel="1" x14ac:dyDescent="0.25">
      <c r="A381" s="101" t="s">
        <v>1502</v>
      </c>
      <c r="B381" s="193" t="str">
        <f>"10.0304"</f>
        <v>10.0304</v>
      </c>
      <c r="C381" s="58" t="s">
        <v>2033</v>
      </c>
      <c r="D381" s="79" t="s">
        <v>2034</v>
      </c>
      <c r="E381" s="79"/>
    </row>
    <row r="382" spans="1:5" ht="14.85" customHeight="1" outlineLevel="1" x14ac:dyDescent="0.25">
      <c r="A382" s="101" t="s">
        <v>1502</v>
      </c>
      <c r="B382" s="193" t="str">
        <f>"10.0305"</f>
        <v>10.0305</v>
      </c>
      <c r="C382" s="58" t="s">
        <v>2035</v>
      </c>
      <c r="D382" s="79" t="s">
        <v>2036</v>
      </c>
      <c r="E382" s="79"/>
    </row>
    <row r="383" spans="1:5" ht="14.85" customHeight="1" outlineLevel="1" x14ac:dyDescent="0.25">
      <c r="A383" s="101" t="s">
        <v>1502</v>
      </c>
      <c r="B383" s="193" t="str">
        <f>"10.0306"</f>
        <v>10.0306</v>
      </c>
      <c r="C383" s="58" t="s">
        <v>2037</v>
      </c>
      <c r="D383" s="79" t="s">
        <v>2038</v>
      </c>
      <c r="E383" s="79"/>
    </row>
    <row r="384" spans="1:5" ht="14.85" customHeight="1" outlineLevel="1" x14ac:dyDescent="0.25">
      <c r="A384" s="101" t="s">
        <v>1502</v>
      </c>
      <c r="B384" s="193" t="str">
        <f>"10.0307"</f>
        <v>10.0307</v>
      </c>
      <c r="C384" s="58" t="s">
        <v>2039</v>
      </c>
      <c r="D384" s="79" t="s">
        <v>2040</v>
      </c>
      <c r="E384" s="79"/>
    </row>
    <row r="385" spans="1:5" ht="14.85" customHeight="1" outlineLevel="1" x14ac:dyDescent="0.25">
      <c r="A385" s="101" t="s">
        <v>1502</v>
      </c>
      <c r="B385" s="193" t="str">
        <f>"10.0308"</f>
        <v>10.0308</v>
      </c>
      <c r="C385" s="58" t="s">
        <v>2041</v>
      </c>
      <c r="D385" s="79" t="s">
        <v>2042</v>
      </c>
      <c r="E385" s="79"/>
    </row>
    <row r="386" spans="1:5" ht="14.85" customHeight="1" outlineLevel="1" x14ac:dyDescent="0.25">
      <c r="A386" s="101" t="s">
        <v>1502</v>
      </c>
      <c r="B386" s="193" t="str">
        <f>"10.0399"</f>
        <v>10.0399</v>
      </c>
      <c r="C386" s="58" t="s">
        <v>2043</v>
      </c>
      <c r="D386" s="79" t="s">
        <v>2044</v>
      </c>
      <c r="E386" s="79"/>
    </row>
    <row r="387" spans="1:5" ht="14.85" customHeight="1" outlineLevel="1" x14ac:dyDescent="0.25">
      <c r="A387" s="101" t="s">
        <v>1502</v>
      </c>
      <c r="B387" s="193" t="str">
        <f>"10.99"</f>
        <v>10.99</v>
      </c>
      <c r="C387" s="58" t="s">
        <v>2045</v>
      </c>
      <c r="D387" s="79" t="s">
        <v>2046</v>
      </c>
      <c r="E387" s="79"/>
    </row>
    <row r="388" spans="1:5" ht="14.85" customHeight="1" outlineLevel="1" x14ac:dyDescent="0.25">
      <c r="A388" s="101" t="s">
        <v>1502</v>
      </c>
      <c r="B388" s="193" t="str">
        <f>"10.9999"</f>
        <v>10.9999</v>
      </c>
      <c r="C388" s="58" t="s">
        <v>2045</v>
      </c>
      <c r="D388" s="79" t="s">
        <v>2047</v>
      </c>
      <c r="E388" s="79"/>
    </row>
    <row r="389" spans="1:5" ht="14.85" customHeight="1" outlineLevel="1" x14ac:dyDescent="0.25">
      <c r="A389" s="101" t="s">
        <v>1502</v>
      </c>
      <c r="B389" s="193" t="str">
        <f>"11"</f>
        <v>11</v>
      </c>
      <c r="C389" s="58" t="s">
        <v>2048</v>
      </c>
      <c r="D389" s="79" t="s">
        <v>2049</v>
      </c>
      <c r="E389" s="79"/>
    </row>
    <row r="390" spans="1:5" ht="14.85" customHeight="1" outlineLevel="1" x14ac:dyDescent="0.25">
      <c r="A390" s="101" t="s">
        <v>1502</v>
      </c>
      <c r="B390" s="193" t="str">
        <f>"11.01"</f>
        <v>11.01</v>
      </c>
      <c r="C390" s="58" t="s">
        <v>2050</v>
      </c>
      <c r="D390" s="79" t="s">
        <v>2051</v>
      </c>
      <c r="E390" s="79"/>
    </row>
    <row r="391" spans="1:5" ht="14.85" customHeight="1" outlineLevel="1" x14ac:dyDescent="0.25">
      <c r="A391" s="101" t="s">
        <v>1502</v>
      </c>
      <c r="B391" s="193" t="str">
        <f>"11.0101"</f>
        <v>11.0101</v>
      </c>
      <c r="C391" s="58" t="s">
        <v>2050</v>
      </c>
      <c r="D391" s="79" t="s">
        <v>2052</v>
      </c>
      <c r="E391" s="79"/>
    </row>
    <row r="392" spans="1:5" ht="14.85" customHeight="1" outlineLevel="1" x14ac:dyDescent="0.25">
      <c r="A392" s="101" t="s">
        <v>1502</v>
      </c>
      <c r="B392" s="193" t="str">
        <f>"11.0102"</f>
        <v>11.0102</v>
      </c>
      <c r="C392" s="58" t="s">
        <v>2053</v>
      </c>
      <c r="D392" s="79" t="s">
        <v>2054</v>
      </c>
      <c r="E392" s="79"/>
    </row>
    <row r="393" spans="1:5" ht="14.85" customHeight="1" outlineLevel="1" x14ac:dyDescent="0.25">
      <c r="A393" s="101" t="s">
        <v>1502</v>
      </c>
      <c r="B393" s="193" t="str">
        <f>"11.0103"</f>
        <v>11.0103</v>
      </c>
      <c r="C393" s="58" t="s">
        <v>2055</v>
      </c>
      <c r="D393" s="79" t="s">
        <v>2056</v>
      </c>
      <c r="E393" s="79"/>
    </row>
    <row r="394" spans="1:5" ht="14.85" customHeight="1" outlineLevel="1" x14ac:dyDescent="0.25">
      <c r="A394" s="101" t="s">
        <v>1502</v>
      </c>
      <c r="B394" s="193" t="str">
        <f>"11.0104"</f>
        <v>11.0104</v>
      </c>
      <c r="C394" s="58" t="s">
        <v>2057</v>
      </c>
      <c r="D394" s="79" t="s">
        <v>2058</v>
      </c>
      <c r="E394" s="79"/>
    </row>
    <row r="395" spans="1:5" ht="14.85" customHeight="1" outlineLevel="1" x14ac:dyDescent="0.25">
      <c r="A395" s="101" t="s">
        <v>1502</v>
      </c>
      <c r="B395" s="193" t="str">
        <f>"11.0105"</f>
        <v>11.0105</v>
      </c>
      <c r="C395" s="58" t="s">
        <v>2059</v>
      </c>
      <c r="D395" s="79" t="s">
        <v>2060</v>
      </c>
      <c r="E395" s="79"/>
    </row>
    <row r="396" spans="1:5" ht="14.85" customHeight="1" outlineLevel="1" x14ac:dyDescent="0.25">
      <c r="A396" s="101" t="s">
        <v>1502</v>
      </c>
      <c r="B396" s="193" t="str">
        <f>"11.0199"</f>
        <v>11.0199</v>
      </c>
      <c r="C396" s="58" t="s">
        <v>2061</v>
      </c>
      <c r="D396" s="79" t="s">
        <v>2062</v>
      </c>
      <c r="E396" s="79"/>
    </row>
    <row r="397" spans="1:5" ht="14.85" customHeight="1" outlineLevel="1" x14ac:dyDescent="0.25">
      <c r="A397" s="101" t="s">
        <v>1502</v>
      </c>
      <c r="B397" s="193" t="str">
        <f>"11.02"</f>
        <v>11.02</v>
      </c>
      <c r="C397" s="58" t="s">
        <v>2063</v>
      </c>
      <c r="D397" s="79" t="s">
        <v>2064</v>
      </c>
      <c r="E397" s="79"/>
    </row>
    <row r="398" spans="1:5" ht="14.85" customHeight="1" outlineLevel="1" x14ac:dyDescent="0.25">
      <c r="A398" s="101" t="s">
        <v>1502</v>
      </c>
      <c r="B398" s="193" t="str">
        <f>"11.0201"</f>
        <v>11.0201</v>
      </c>
      <c r="C398" s="58" t="s">
        <v>2065</v>
      </c>
      <c r="D398" s="79" t="s">
        <v>2066</v>
      </c>
      <c r="E398" s="79"/>
    </row>
    <row r="399" spans="1:5" ht="14.85" customHeight="1" outlineLevel="1" x14ac:dyDescent="0.25">
      <c r="A399" s="101" t="s">
        <v>1502</v>
      </c>
      <c r="B399" s="193" t="str">
        <f>"11.0202"</f>
        <v>11.0202</v>
      </c>
      <c r="C399" s="58" t="s">
        <v>2067</v>
      </c>
      <c r="D399" s="79" t="s">
        <v>2068</v>
      </c>
      <c r="E399" s="79"/>
    </row>
    <row r="400" spans="1:5" ht="14.85" customHeight="1" outlineLevel="1" x14ac:dyDescent="0.25">
      <c r="A400" s="101" t="s">
        <v>1502</v>
      </c>
      <c r="B400" s="193" t="str">
        <f>"11.0203"</f>
        <v>11.0203</v>
      </c>
      <c r="C400" s="58" t="s">
        <v>2069</v>
      </c>
      <c r="D400" s="79" t="s">
        <v>2070</v>
      </c>
      <c r="E400" s="79"/>
    </row>
    <row r="401" spans="1:5" ht="14.85" customHeight="1" outlineLevel="1" x14ac:dyDescent="0.25">
      <c r="A401" s="101" t="s">
        <v>1502</v>
      </c>
      <c r="B401" s="193" t="str">
        <f>"11.0204"</f>
        <v>11.0204</v>
      </c>
      <c r="C401" s="58" t="s">
        <v>2071</v>
      </c>
      <c r="D401" s="79" t="s">
        <v>2072</v>
      </c>
      <c r="E401" s="79"/>
    </row>
    <row r="402" spans="1:5" ht="14.85" customHeight="1" outlineLevel="1" x14ac:dyDescent="0.25">
      <c r="A402" s="101" t="s">
        <v>1502</v>
      </c>
      <c r="B402" s="193" t="str">
        <f>"11.0205"</f>
        <v>11.0205</v>
      </c>
      <c r="C402" s="58" t="s">
        <v>2073</v>
      </c>
      <c r="D402" s="79" t="s">
        <v>2074</v>
      </c>
      <c r="E402" s="79"/>
    </row>
    <row r="403" spans="1:5" ht="14.85" customHeight="1" outlineLevel="1" x14ac:dyDescent="0.25">
      <c r="A403" s="101" t="s">
        <v>1502</v>
      </c>
      <c r="B403" s="193" t="str">
        <f>"11.0299"</f>
        <v>11.0299</v>
      </c>
      <c r="C403" s="58" t="s">
        <v>2075</v>
      </c>
      <c r="D403" s="79" t="s">
        <v>2076</v>
      </c>
      <c r="E403" s="79"/>
    </row>
    <row r="404" spans="1:5" ht="14.85" customHeight="1" outlineLevel="1" x14ac:dyDescent="0.25">
      <c r="A404" s="101" t="s">
        <v>1502</v>
      </c>
      <c r="B404" s="193" t="str">
        <f>"11.03"</f>
        <v>11.03</v>
      </c>
      <c r="C404" s="58" t="s">
        <v>2077</v>
      </c>
      <c r="D404" s="79" t="s">
        <v>2078</v>
      </c>
      <c r="E404" s="79"/>
    </row>
    <row r="405" spans="1:5" ht="14.85" customHeight="1" outlineLevel="1" x14ac:dyDescent="0.25">
      <c r="A405" s="101" t="s">
        <v>1502</v>
      </c>
      <c r="B405" s="193" t="str">
        <f>"11.0301"</f>
        <v>11.0301</v>
      </c>
      <c r="C405" s="58" t="s">
        <v>2079</v>
      </c>
      <c r="D405" s="79" t="s">
        <v>2080</v>
      </c>
      <c r="E405" s="79"/>
    </row>
    <row r="406" spans="1:5" ht="14.85" customHeight="1" outlineLevel="1" x14ac:dyDescent="0.25">
      <c r="A406" s="101" t="s">
        <v>1502</v>
      </c>
      <c r="B406" s="193" t="str">
        <f>"11.04"</f>
        <v>11.04</v>
      </c>
      <c r="C406" s="58" t="s">
        <v>2081</v>
      </c>
      <c r="D406" s="79" t="s">
        <v>2082</v>
      </c>
      <c r="E406" s="79"/>
    </row>
    <row r="407" spans="1:5" ht="14.85" customHeight="1" outlineLevel="1" x14ac:dyDescent="0.25">
      <c r="A407" s="101" t="s">
        <v>1502</v>
      </c>
      <c r="B407" s="193" t="str">
        <f>"11.0401"</f>
        <v>11.0401</v>
      </c>
      <c r="C407" s="58" t="s">
        <v>2081</v>
      </c>
      <c r="D407" s="79" t="s">
        <v>2083</v>
      </c>
      <c r="E407" s="79"/>
    </row>
    <row r="408" spans="1:5" ht="14.85" customHeight="1" outlineLevel="1" x14ac:dyDescent="0.25">
      <c r="A408" s="101" t="s">
        <v>1502</v>
      </c>
      <c r="B408" s="193" t="str">
        <f>"11.05"</f>
        <v>11.05</v>
      </c>
      <c r="C408" s="58" t="s">
        <v>2084</v>
      </c>
      <c r="D408" s="79" t="s">
        <v>2085</v>
      </c>
      <c r="E408" s="79"/>
    </row>
    <row r="409" spans="1:5" ht="14.85" customHeight="1" outlineLevel="1" x14ac:dyDescent="0.25">
      <c r="A409" s="101" t="s">
        <v>1502</v>
      </c>
      <c r="B409" s="193" t="str">
        <f>"11.0501"</f>
        <v>11.0501</v>
      </c>
      <c r="C409" s="58" t="s">
        <v>2086</v>
      </c>
      <c r="D409" s="79" t="s">
        <v>2087</v>
      </c>
      <c r="E409" s="79"/>
    </row>
    <row r="410" spans="1:5" ht="14.85" customHeight="1" outlineLevel="1" x14ac:dyDescent="0.25">
      <c r="A410" s="101" t="s">
        <v>1502</v>
      </c>
      <c r="B410" s="193" t="str">
        <f>"11.06"</f>
        <v>11.06</v>
      </c>
      <c r="C410" s="58" t="s">
        <v>2088</v>
      </c>
      <c r="D410" s="79" t="s">
        <v>2089</v>
      </c>
      <c r="E410" s="79"/>
    </row>
    <row r="411" spans="1:5" ht="14.85" customHeight="1" outlineLevel="1" x14ac:dyDescent="0.25">
      <c r="A411" s="101" t="s">
        <v>1502</v>
      </c>
      <c r="B411" s="193" t="str">
        <f>"11.0601"</f>
        <v>11.0601</v>
      </c>
      <c r="C411" s="58" t="s">
        <v>2090</v>
      </c>
      <c r="D411" s="79" t="s">
        <v>2091</v>
      </c>
      <c r="E411" s="79"/>
    </row>
    <row r="412" spans="1:5" ht="14.85" customHeight="1" outlineLevel="1" x14ac:dyDescent="0.25">
      <c r="A412" s="101" t="s">
        <v>1502</v>
      </c>
      <c r="B412" s="193" t="str">
        <f>"11.0602"</f>
        <v>11.0602</v>
      </c>
      <c r="C412" s="58" t="s">
        <v>2092</v>
      </c>
      <c r="D412" s="79" t="s">
        <v>2093</v>
      </c>
      <c r="E412" s="79"/>
    </row>
    <row r="413" spans="1:5" ht="14.85" customHeight="1" outlineLevel="1" x14ac:dyDescent="0.25">
      <c r="A413" s="101" t="s">
        <v>1502</v>
      </c>
      <c r="B413" s="193" t="str">
        <f>"11.0699"</f>
        <v>11.0699</v>
      </c>
      <c r="C413" s="58" t="s">
        <v>2094</v>
      </c>
      <c r="D413" s="79" t="s">
        <v>2095</v>
      </c>
      <c r="E413" s="79"/>
    </row>
    <row r="414" spans="1:5" ht="14.85" customHeight="1" outlineLevel="1" x14ac:dyDescent="0.25">
      <c r="A414" s="101" t="s">
        <v>1502</v>
      </c>
      <c r="B414" s="193" t="str">
        <f>"11.07"</f>
        <v>11.07</v>
      </c>
      <c r="C414" s="58" t="s">
        <v>2096</v>
      </c>
      <c r="D414" s="79" t="s">
        <v>2097</v>
      </c>
      <c r="E414" s="79"/>
    </row>
    <row r="415" spans="1:5" ht="14.85" customHeight="1" outlineLevel="1" x14ac:dyDescent="0.25">
      <c r="A415" s="101" t="s">
        <v>1502</v>
      </c>
      <c r="B415" s="193" t="str">
        <f>"11.0701"</f>
        <v>11.0701</v>
      </c>
      <c r="C415" s="58" t="s">
        <v>2096</v>
      </c>
      <c r="D415" s="79" t="s">
        <v>2098</v>
      </c>
      <c r="E415" s="79"/>
    </row>
    <row r="416" spans="1:5" ht="14.85" customHeight="1" outlineLevel="1" x14ac:dyDescent="0.25">
      <c r="A416" s="101" t="s">
        <v>1502</v>
      </c>
      <c r="B416" s="193" t="str">
        <f>"11.08"</f>
        <v>11.08</v>
      </c>
      <c r="C416" s="58" t="s">
        <v>2099</v>
      </c>
      <c r="D416" s="79" t="s">
        <v>2100</v>
      </c>
      <c r="E416" s="79"/>
    </row>
    <row r="417" spans="1:5" ht="14.85" customHeight="1" outlineLevel="1" x14ac:dyDescent="0.25">
      <c r="A417" s="101" t="s">
        <v>1502</v>
      </c>
      <c r="B417" s="193" t="str">
        <f>"11.0801"</f>
        <v>11.0801</v>
      </c>
      <c r="C417" s="58" t="s">
        <v>2101</v>
      </c>
      <c r="D417" s="79" t="s">
        <v>2102</v>
      </c>
      <c r="E417" s="79"/>
    </row>
    <row r="418" spans="1:5" ht="14.85" customHeight="1" outlineLevel="1" x14ac:dyDescent="0.25">
      <c r="A418" s="101" t="s">
        <v>1502</v>
      </c>
      <c r="B418" s="193" t="str">
        <f>"11.0802"</f>
        <v>11.0802</v>
      </c>
      <c r="C418" s="58" t="s">
        <v>2103</v>
      </c>
      <c r="D418" s="79" t="s">
        <v>2104</v>
      </c>
      <c r="E418" s="79"/>
    </row>
    <row r="419" spans="1:5" ht="14.85" customHeight="1" outlineLevel="1" x14ac:dyDescent="0.25">
      <c r="A419" s="101" t="s">
        <v>1502</v>
      </c>
      <c r="B419" s="193" t="str">
        <f>"11.0803"</f>
        <v>11.0803</v>
      </c>
      <c r="C419" s="58" t="s">
        <v>2105</v>
      </c>
      <c r="D419" s="79" t="s">
        <v>2106</v>
      </c>
      <c r="E419" s="79"/>
    </row>
    <row r="420" spans="1:5" ht="14.85" customHeight="1" outlineLevel="1" x14ac:dyDescent="0.25">
      <c r="A420" s="101" t="s">
        <v>1502</v>
      </c>
      <c r="B420" s="193" t="str">
        <f>"11.0804"</f>
        <v>11.0804</v>
      </c>
      <c r="C420" s="58" t="s">
        <v>2107</v>
      </c>
      <c r="D420" s="79" t="s">
        <v>2108</v>
      </c>
      <c r="E420" s="79"/>
    </row>
    <row r="421" spans="1:5" ht="14.85" customHeight="1" outlineLevel="1" x14ac:dyDescent="0.25">
      <c r="A421" s="101" t="s">
        <v>1502</v>
      </c>
      <c r="B421" s="193" t="str">
        <f>"11.0899"</f>
        <v>11.0899</v>
      </c>
      <c r="C421" s="58" t="s">
        <v>2109</v>
      </c>
      <c r="D421" s="79" t="s">
        <v>2110</v>
      </c>
      <c r="E421" s="79"/>
    </row>
    <row r="422" spans="1:5" ht="14.85" customHeight="1" outlineLevel="1" x14ac:dyDescent="0.25">
      <c r="A422" s="101" t="s">
        <v>1502</v>
      </c>
      <c r="B422" s="193" t="str">
        <f>"11.09"</f>
        <v>11.09</v>
      </c>
      <c r="C422" s="58" t="s">
        <v>2111</v>
      </c>
      <c r="D422" s="79" t="s">
        <v>2112</v>
      </c>
      <c r="E422" s="79"/>
    </row>
    <row r="423" spans="1:5" ht="14.85" customHeight="1" outlineLevel="1" x14ac:dyDescent="0.25">
      <c r="A423" s="101" t="s">
        <v>1502</v>
      </c>
      <c r="B423" s="193" t="str">
        <f>"11.0901"</f>
        <v>11.0901</v>
      </c>
      <c r="C423" s="58" t="s">
        <v>2111</v>
      </c>
      <c r="D423" s="79" t="s">
        <v>2113</v>
      </c>
      <c r="E423" s="79"/>
    </row>
    <row r="424" spans="1:5" ht="14.85" customHeight="1" outlineLevel="1" x14ac:dyDescent="0.25">
      <c r="A424" s="101" t="s">
        <v>1502</v>
      </c>
      <c r="B424" s="193" t="str">
        <f>"11.0902"</f>
        <v>11.0902</v>
      </c>
      <c r="C424" s="58" t="s">
        <v>2114</v>
      </c>
      <c r="D424" s="79" t="s">
        <v>2115</v>
      </c>
      <c r="E424" s="79"/>
    </row>
    <row r="425" spans="1:5" ht="14.85" customHeight="1" outlineLevel="1" x14ac:dyDescent="0.25">
      <c r="A425" s="101" t="s">
        <v>1502</v>
      </c>
      <c r="B425" s="193" t="str">
        <f>"11.0999"</f>
        <v>11.0999</v>
      </c>
      <c r="C425" s="58" t="s">
        <v>2116</v>
      </c>
      <c r="D425" s="79" t="s">
        <v>2117</v>
      </c>
      <c r="E425" s="79"/>
    </row>
    <row r="426" spans="1:5" ht="14.85" customHeight="1" outlineLevel="1" x14ac:dyDescent="0.25">
      <c r="A426" s="101" t="s">
        <v>1502</v>
      </c>
      <c r="B426" s="193" t="str">
        <f>"11.10"</f>
        <v>11.10</v>
      </c>
      <c r="C426" s="58" t="s">
        <v>2118</v>
      </c>
      <c r="D426" s="79" t="s">
        <v>2119</v>
      </c>
      <c r="E426" s="79"/>
    </row>
    <row r="427" spans="1:5" ht="14.85" customHeight="1" outlineLevel="1" x14ac:dyDescent="0.25">
      <c r="A427" s="101" t="s">
        <v>1502</v>
      </c>
      <c r="B427" s="193" t="str">
        <f>"11.1001"</f>
        <v>11.1001</v>
      </c>
      <c r="C427" s="58" t="s">
        <v>2120</v>
      </c>
      <c r="D427" s="79" t="s">
        <v>2121</v>
      </c>
      <c r="E427" s="79"/>
    </row>
    <row r="428" spans="1:5" ht="14.85" customHeight="1" outlineLevel="1" x14ac:dyDescent="0.25">
      <c r="A428" s="101" t="s">
        <v>1502</v>
      </c>
      <c r="B428" s="193" t="str">
        <f>"11.1002"</f>
        <v>11.1002</v>
      </c>
      <c r="C428" s="58" t="s">
        <v>2122</v>
      </c>
      <c r="D428" s="79" t="s">
        <v>2123</v>
      </c>
      <c r="E428" s="79"/>
    </row>
    <row r="429" spans="1:5" ht="14.85" customHeight="1" outlineLevel="1" x14ac:dyDescent="0.25">
      <c r="A429" s="101" t="s">
        <v>1502</v>
      </c>
      <c r="B429" s="193" t="str">
        <f>"11.1003"</f>
        <v>11.1003</v>
      </c>
      <c r="C429" s="58" t="s">
        <v>2124</v>
      </c>
      <c r="D429" s="79" t="s">
        <v>2125</v>
      </c>
      <c r="E429" s="79"/>
    </row>
    <row r="430" spans="1:5" ht="14.85" customHeight="1" outlineLevel="1" x14ac:dyDescent="0.25">
      <c r="A430" s="101" t="s">
        <v>1502</v>
      </c>
      <c r="B430" s="193" t="str">
        <f>"11.1004"</f>
        <v>11.1004</v>
      </c>
      <c r="C430" s="58" t="s">
        <v>2126</v>
      </c>
      <c r="D430" s="79" t="s">
        <v>2127</v>
      </c>
      <c r="E430" s="79"/>
    </row>
    <row r="431" spans="1:5" ht="14.85" customHeight="1" outlineLevel="1" x14ac:dyDescent="0.25">
      <c r="A431" s="101" t="s">
        <v>1502</v>
      </c>
      <c r="B431" s="193" t="str">
        <f>"11.1005"</f>
        <v>11.1005</v>
      </c>
      <c r="C431" s="58" t="s">
        <v>2128</v>
      </c>
      <c r="D431" s="79" t="s">
        <v>2129</v>
      </c>
      <c r="E431" s="79"/>
    </row>
    <row r="432" spans="1:5" ht="14.85" customHeight="1" outlineLevel="1" x14ac:dyDescent="0.25">
      <c r="A432" s="101" t="s">
        <v>1502</v>
      </c>
      <c r="B432" s="193" t="str">
        <f>"11.1006"</f>
        <v>11.1006</v>
      </c>
      <c r="C432" s="58" t="s">
        <v>2130</v>
      </c>
      <c r="D432" s="79" t="s">
        <v>2131</v>
      </c>
      <c r="E432" s="79"/>
    </row>
    <row r="433" spans="1:5" ht="14.85" customHeight="1" outlineLevel="1" x14ac:dyDescent="0.25">
      <c r="A433" s="101" t="s">
        <v>1502</v>
      </c>
      <c r="B433" s="193" t="str">
        <f>"11.1099"</f>
        <v>11.1099</v>
      </c>
      <c r="C433" s="58" t="s">
        <v>2132</v>
      </c>
      <c r="D433" s="79" t="s">
        <v>2133</v>
      </c>
      <c r="E433" s="79"/>
    </row>
    <row r="434" spans="1:5" ht="14.85" customHeight="1" outlineLevel="1" x14ac:dyDescent="0.25">
      <c r="A434" s="101" t="s">
        <v>1502</v>
      </c>
      <c r="B434" s="193" t="str">
        <f>"11.99"</f>
        <v>11.99</v>
      </c>
      <c r="C434" s="58" t="s">
        <v>2134</v>
      </c>
      <c r="D434" s="79" t="s">
        <v>2135</v>
      </c>
      <c r="E434" s="79"/>
    </row>
    <row r="435" spans="1:5" ht="14.85" customHeight="1" outlineLevel="1" x14ac:dyDescent="0.25">
      <c r="A435" s="101" t="s">
        <v>1502</v>
      </c>
      <c r="B435" s="193" t="str">
        <f>"11.9999"</f>
        <v>11.9999</v>
      </c>
      <c r="C435" s="58" t="s">
        <v>2134</v>
      </c>
      <c r="D435" s="79" t="s">
        <v>2136</v>
      </c>
      <c r="E435" s="79"/>
    </row>
    <row r="436" spans="1:5" ht="14.85" customHeight="1" outlineLevel="1" x14ac:dyDescent="0.25">
      <c r="A436" s="101" t="s">
        <v>1502</v>
      </c>
      <c r="B436" s="193" t="str">
        <f>"12"</f>
        <v>12</v>
      </c>
      <c r="C436" s="58" t="s">
        <v>2137</v>
      </c>
      <c r="D436" s="79" t="s">
        <v>2138</v>
      </c>
      <c r="E436" s="79"/>
    </row>
    <row r="437" spans="1:5" ht="14.85" customHeight="1" outlineLevel="1" x14ac:dyDescent="0.25">
      <c r="A437" s="101" t="s">
        <v>1502</v>
      </c>
      <c r="B437" s="193" t="str">
        <f>"12.03"</f>
        <v>12.03</v>
      </c>
      <c r="C437" s="58" t="s">
        <v>2139</v>
      </c>
      <c r="D437" s="79" t="s">
        <v>2140</v>
      </c>
      <c r="E437" s="79"/>
    </row>
    <row r="438" spans="1:5" ht="14.85" customHeight="1" outlineLevel="1" x14ac:dyDescent="0.25">
      <c r="A438" s="101" t="s">
        <v>1502</v>
      </c>
      <c r="B438" s="193" t="str">
        <f>"12.0301"</f>
        <v>12.0301</v>
      </c>
      <c r="C438" s="58" t="s">
        <v>2141</v>
      </c>
      <c r="D438" s="79" t="s">
        <v>2142</v>
      </c>
      <c r="E438" s="79"/>
    </row>
    <row r="439" spans="1:5" ht="14.85" customHeight="1" outlineLevel="1" x14ac:dyDescent="0.25">
      <c r="A439" s="101" t="s">
        <v>1502</v>
      </c>
      <c r="B439" s="193" t="str">
        <f>"12.0302"</f>
        <v>12.0302</v>
      </c>
      <c r="C439" s="58" t="s">
        <v>2143</v>
      </c>
      <c r="D439" s="79" t="s">
        <v>2144</v>
      </c>
      <c r="E439" s="79"/>
    </row>
    <row r="440" spans="1:5" ht="14.85" customHeight="1" outlineLevel="1" x14ac:dyDescent="0.25">
      <c r="A440" s="101" t="s">
        <v>1502</v>
      </c>
      <c r="B440" s="193" t="str">
        <f>"12.0303"</f>
        <v>12.0303</v>
      </c>
      <c r="C440" s="58" t="s">
        <v>2145</v>
      </c>
      <c r="D440" s="79" t="s">
        <v>2146</v>
      </c>
      <c r="E440" s="79"/>
    </row>
    <row r="441" spans="1:5" s="103" customFormat="1" ht="14.85" customHeight="1" outlineLevel="1" x14ac:dyDescent="0.25">
      <c r="A441" s="101" t="s">
        <v>1502</v>
      </c>
      <c r="B441" s="193" t="str">
        <f>"12.0399"</f>
        <v>12.0399</v>
      </c>
      <c r="C441" s="58" t="s">
        <v>2147</v>
      </c>
      <c r="D441" s="79" t="s">
        <v>2148</v>
      </c>
      <c r="E441" s="79"/>
    </row>
    <row r="442" spans="1:5" ht="14.85" customHeight="1" outlineLevel="1" x14ac:dyDescent="0.25">
      <c r="A442" s="101" t="s">
        <v>1502</v>
      </c>
      <c r="B442" s="193" t="str">
        <f>"12.04"</f>
        <v>12.04</v>
      </c>
      <c r="C442" s="58" t="s">
        <v>2149</v>
      </c>
      <c r="D442" s="79" t="s">
        <v>2150</v>
      </c>
      <c r="E442" s="79"/>
    </row>
    <row r="443" spans="1:5" ht="14.85" customHeight="1" outlineLevel="1" x14ac:dyDescent="0.25">
      <c r="A443" s="101" t="s">
        <v>1502</v>
      </c>
      <c r="B443" s="193" t="str">
        <f>"12.0401"</f>
        <v>12.0401</v>
      </c>
      <c r="C443" s="58" t="s">
        <v>2151</v>
      </c>
      <c r="D443" s="79" t="s">
        <v>2152</v>
      </c>
      <c r="E443" s="79"/>
    </row>
    <row r="444" spans="1:5" ht="14.85" customHeight="1" outlineLevel="1" x14ac:dyDescent="0.25">
      <c r="A444" s="101" t="s">
        <v>1502</v>
      </c>
      <c r="B444" s="193" t="str">
        <f>"12.0402"</f>
        <v>12.0402</v>
      </c>
      <c r="C444" s="58" t="s">
        <v>2153</v>
      </c>
      <c r="D444" s="79" t="s">
        <v>2154</v>
      </c>
      <c r="E444" s="79"/>
    </row>
    <row r="445" spans="1:5" ht="14.85" customHeight="1" outlineLevel="1" x14ac:dyDescent="0.25">
      <c r="A445" s="101" t="s">
        <v>1502</v>
      </c>
      <c r="B445" s="193" t="str">
        <f>"12.0404"</f>
        <v>12.0404</v>
      </c>
      <c r="C445" s="58" t="s">
        <v>2155</v>
      </c>
      <c r="D445" s="79" t="s">
        <v>2156</v>
      </c>
      <c r="E445" s="79"/>
    </row>
    <row r="446" spans="1:5" ht="14.85" customHeight="1" outlineLevel="1" x14ac:dyDescent="0.25">
      <c r="A446" s="101" t="s">
        <v>1502</v>
      </c>
      <c r="B446" s="193" t="str">
        <f>"12.0406"</f>
        <v>12.0406</v>
      </c>
      <c r="C446" s="58" t="s">
        <v>2157</v>
      </c>
      <c r="D446" s="79" t="s">
        <v>2158</v>
      </c>
      <c r="E446" s="79"/>
    </row>
    <row r="447" spans="1:5" ht="14.85" customHeight="1" outlineLevel="1" x14ac:dyDescent="0.25">
      <c r="A447" s="101" t="s">
        <v>1502</v>
      </c>
      <c r="B447" s="193" t="str">
        <f>"12.0407"</f>
        <v>12.0407</v>
      </c>
      <c r="C447" s="58" t="s">
        <v>2159</v>
      </c>
      <c r="D447" s="79" t="s">
        <v>2160</v>
      </c>
      <c r="E447" s="79"/>
    </row>
    <row r="448" spans="1:5" ht="14.85" customHeight="1" outlineLevel="1" x14ac:dyDescent="0.25">
      <c r="A448" s="101" t="s">
        <v>1502</v>
      </c>
      <c r="B448" s="193" t="str">
        <f>"12.0408"</f>
        <v>12.0408</v>
      </c>
      <c r="C448" s="58" t="s">
        <v>2161</v>
      </c>
      <c r="D448" s="79" t="s">
        <v>2162</v>
      </c>
      <c r="E448" s="79"/>
    </row>
    <row r="449" spans="1:5" ht="14.85" customHeight="1" outlineLevel="1" x14ac:dyDescent="0.25">
      <c r="A449" s="101" t="s">
        <v>1502</v>
      </c>
      <c r="B449" s="193" t="str">
        <f>"12.0409"</f>
        <v>12.0409</v>
      </c>
      <c r="C449" s="58" t="s">
        <v>2163</v>
      </c>
      <c r="D449" s="79" t="s">
        <v>2164</v>
      </c>
      <c r="E449" s="79"/>
    </row>
    <row r="450" spans="1:5" ht="14.85" customHeight="1" outlineLevel="1" x14ac:dyDescent="0.25">
      <c r="A450" s="101" t="s">
        <v>1502</v>
      </c>
      <c r="B450" s="193" t="str">
        <f>"12.0410"</f>
        <v>12.0410</v>
      </c>
      <c r="C450" s="58" t="s">
        <v>2165</v>
      </c>
      <c r="D450" s="79" t="s">
        <v>2166</v>
      </c>
      <c r="E450" s="79"/>
    </row>
    <row r="451" spans="1:5" ht="14.85" customHeight="1" outlineLevel="1" x14ac:dyDescent="0.25">
      <c r="A451" s="101" t="s">
        <v>1502</v>
      </c>
      <c r="B451" s="193" t="str">
        <f>"12.0411"</f>
        <v>12.0411</v>
      </c>
      <c r="C451" s="58" t="s">
        <v>2167</v>
      </c>
      <c r="D451" s="79" t="s">
        <v>2168</v>
      </c>
      <c r="E451" s="79"/>
    </row>
    <row r="452" spans="1:5" ht="14.85" customHeight="1" outlineLevel="1" x14ac:dyDescent="0.25">
      <c r="A452" s="101" t="s">
        <v>1502</v>
      </c>
      <c r="B452" s="193" t="str">
        <f>"12.0412"</f>
        <v>12.0412</v>
      </c>
      <c r="C452" s="58" t="s">
        <v>2169</v>
      </c>
      <c r="D452" s="79" t="s">
        <v>2170</v>
      </c>
      <c r="E452" s="79"/>
    </row>
    <row r="453" spans="1:5" ht="14.85" customHeight="1" outlineLevel="1" x14ac:dyDescent="0.25">
      <c r="A453" s="101" t="s">
        <v>1502</v>
      </c>
      <c r="B453" s="193" t="str">
        <f>"12.0413"</f>
        <v>12.0413</v>
      </c>
      <c r="C453" s="58" t="s">
        <v>2171</v>
      </c>
      <c r="D453" s="79" t="s">
        <v>2172</v>
      </c>
      <c r="E453" s="79"/>
    </row>
    <row r="454" spans="1:5" ht="14.85" customHeight="1" outlineLevel="1" x14ac:dyDescent="0.25">
      <c r="A454" s="101" t="s">
        <v>1502</v>
      </c>
      <c r="B454" s="193" t="str">
        <f>"12.0414"</f>
        <v>12.0414</v>
      </c>
      <c r="C454" s="58" t="s">
        <v>2173</v>
      </c>
      <c r="D454" s="79" t="s">
        <v>2174</v>
      </c>
      <c r="E454" s="79"/>
    </row>
    <row r="455" spans="1:5" ht="14.85" customHeight="1" outlineLevel="1" x14ac:dyDescent="0.25">
      <c r="A455" s="101" t="s">
        <v>1502</v>
      </c>
      <c r="B455" s="193" t="str">
        <f>"12.0499"</f>
        <v>12.0499</v>
      </c>
      <c r="C455" s="58" t="s">
        <v>2175</v>
      </c>
      <c r="D455" s="79" t="s">
        <v>2176</v>
      </c>
      <c r="E455" s="79"/>
    </row>
    <row r="456" spans="1:5" ht="14.85" customHeight="1" outlineLevel="1" x14ac:dyDescent="0.25">
      <c r="A456" s="101" t="s">
        <v>1502</v>
      </c>
      <c r="B456" s="193" t="str">
        <f>"12.05"</f>
        <v>12.05</v>
      </c>
      <c r="C456" s="58" t="s">
        <v>2177</v>
      </c>
      <c r="D456" s="79" t="s">
        <v>2178</v>
      </c>
      <c r="E456" s="79"/>
    </row>
    <row r="457" spans="1:5" ht="14.85" customHeight="1" outlineLevel="1" x14ac:dyDescent="0.25">
      <c r="A457" s="101" t="s">
        <v>1502</v>
      </c>
      <c r="B457" s="193" t="str">
        <f>"12.0500"</f>
        <v>12.0500</v>
      </c>
      <c r="C457" s="58" t="s">
        <v>2179</v>
      </c>
      <c r="D457" s="79" t="s">
        <v>2180</v>
      </c>
      <c r="E457" s="79"/>
    </row>
    <row r="458" spans="1:5" ht="14.85" customHeight="1" outlineLevel="1" x14ac:dyDescent="0.25">
      <c r="A458" s="101" t="s">
        <v>1502</v>
      </c>
      <c r="B458" s="193" t="str">
        <f>"12.0501"</f>
        <v>12.0501</v>
      </c>
      <c r="C458" s="58" t="s">
        <v>2181</v>
      </c>
      <c r="D458" s="79" t="s">
        <v>2182</v>
      </c>
      <c r="E458" s="79"/>
    </row>
    <row r="459" spans="1:5" ht="14.85" customHeight="1" outlineLevel="1" x14ac:dyDescent="0.25">
      <c r="A459" s="101" t="s">
        <v>1502</v>
      </c>
      <c r="B459" s="193" t="str">
        <f>"12.0502"</f>
        <v>12.0502</v>
      </c>
      <c r="C459" s="58" t="s">
        <v>2183</v>
      </c>
      <c r="D459" s="79" t="s">
        <v>2184</v>
      </c>
      <c r="E459" s="79"/>
    </row>
    <row r="460" spans="1:5" ht="14.85" customHeight="1" outlineLevel="1" x14ac:dyDescent="0.25">
      <c r="A460" s="101" t="s">
        <v>1502</v>
      </c>
      <c r="B460" s="193" t="str">
        <f>"12.0503"</f>
        <v>12.0503</v>
      </c>
      <c r="C460" s="58" t="s">
        <v>2185</v>
      </c>
      <c r="D460" s="79" t="s">
        <v>2186</v>
      </c>
      <c r="E460" s="79"/>
    </row>
    <row r="461" spans="1:5" ht="14.85" customHeight="1" outlineLevel="1" x14ac:dyDescent="0.25">
      <c r="A461" s="101" t="s">
        <v>1502</v>
      </c>
      <c r="B461" s="193" t="str">
        <f>"12.0504"</f>
        <v>12.0504</v>
      </c>
      <c r="C461" s="58" t="s">
        <v>2187</v>
      </c>
      <c r="D461" s="79" t="s">
        <v>2188</v>
      </c>
      <c r="E461" s="79"/>
    </row>
    <row r="462" spans="1:5" ht="14.85" customHeight="1" outlineLevel="1" x14ac:dyDescent="0.25">
      <c r="A462" s="101" t="s">
        <v>1502</v>
      </c>
      <c r="B462" s="193" t="str">
        <f>"12.0505"</f>
        <v>12.0505</v>
      </c>
      <c r="C462" s="58" t="s">
        <v>2189</v>
      </c>
      <c r="D462" s="79" t="s">
        <v>2190</v>
      </c>
      <c r="E462" s="79"/>
    </row>
    <row r="463" spans="1:5" ht="14.85" customHeight="1" outlineLevel="1" x14ac:dyDescent="0.25">
      <c r="A463" s="101" t="s">
        <v>1502</v>
      </c>
      <c r="B463" s="193" t="str">
        <f>"12.0506"</f>
        <v>12.0506</v>
      </c>
      <c r="C463" s="58" t="s">
        <v>2191</v>
      </c>
      <c r="D463" s="79" t="s">
        <v>2192</v>
      </c>
      <c r="E463" s="79"/>
    </row>
    <row r="464" spans="1:5" ht="14.85" customHeight="1" outlineLevel="1" x14ac:dyDescent="0.25">
      <c r="A464" s="101" t="s">
        <v>1502</v>
      </c>
      <c r="B464" s="193" t="str">
        <f>"12.0507"</f>
        <v>12.0507</v>
      </c>
      <c r="C464" s="58" t="s">
        <v>2193</v>
      </c>
      <c r="D464" s="79" t="s">
        <v>2194</v>
      </c>
      <c r="E464" s="79"/>
    </row>
    <row r="465" spans="1:5" ht="14.85" customHeight="1" outlineLevel="1" x14ac:dyDescent="0.25">
      <c r="A465" s="101" t="s">
        <v>1502</v>
      </c>
      <c r="B465" s="193" t="str">
        <f>"12.0508"</f>
        <v>12.0508</v>
      </c>
      <c r="C465" s="58" t="s">
        <v>2195</v>
      </c>
      <c r="D465" s="79" t="s">
        <v>2196</v>
      </c>
      <c r="E465" s="79"/>
    </row>
    <row r="466" spans="1:5" ht="14.85" customHeight="1" outlineLevel="1" x14ac:dyDescent="0.25">
      <c r="A466" s="101" t="s">
        <v>1502</v>
      </c>
      <c r="B466" s="193" t="str">
        <f>"12.0509"</f>
        <v>12.0509</v>
      </c>
      <c r="C466" s="58" t="s">
        <v>2197</v>
      </c>
      <c r="D466" s="79" t="s">
        <v>2198</v>
      </c>
      <c r="E466" s="79"/>
    </row>
    <row r="467" spans="1:5" ht="14.85" customHeight="1" outlineLevel="1" x14ac:dyDescent="0.25">
      <c r="A467" s="101" t="s">
        <v>1502</v>
      </c>
      <c r="B467" s="193" t="str">
        <f>"12.0510"</f>
        <v>12.0510</v>
      </c>
      <c r="C467" s="58" t="s">
        <v>2199</v>
      </c>
      <c r="D467" s="79" t="s">
        <v>2200</v>
      </c>
      <c r="E467" s="79"/>
    </row>
    <row r="468" spans="1:5" ht="14.85" customHeight="1" outlineLevel="1" x14ac:dyDescent="0.25">
      <c r="A468" s="101" t="s">
        <v>1502</v>
      </c>
      <c r="B468" s="193" t="str">
        <f>"12.0580"</f>
        <v>12.0580</v>
      </c>
      <c r="C468" s="58" t="s">
        <v>1559</v>
      </c>
      <c r="D468" s="79" t="s">
        <v>1560</v>
      </c>
      <c r="E468" s="79"/>
    </row>
    <row r="469" spans="1:5" ht="14.85" customHeight="1" outlineLevel="1" x14ac:dyDescent="0.25">
      <c r="A469" s="101" t="s">
        <v>1502</v>
      </c>
      <c r="B469" s="193" t="str">
        <f>"12.0599"</f>
        <v>12.0599</v>
      </c>
      <c r="C469" s="58" t="s">
        <v>2201</v>
      </c>
      <c r="D469" s="79" t="s">
        <v>2202</v>
      </c>
      <c r="E469" s="79"/>
    </row>
    <row r="470" spans="1:5" ht="14.85" customHeight="1" outlineLevel="1" x14ac:dyDescent="0.25">
      <c r="A470" s="101" t="s">
        <v>1502</v>
      </c>
      <c r="B470" s="193" t="str">
        <f>"12.06"</f>
        <v>12.06</v>
      </c>
      <c r="C470" s="58" t="s">
        <v>2203</v>
      </c>
      <c r="D470" s="79" t="s">
        <v>2204</v>
      </c>
      <c r="E470" s="79"/>
    </row>
    <row r="471" spans="1:5" s="103" customFormat="1" ht="14.85" customHeight="1" outlineLevel="1" x14ac:dyDescent="0.25">
      <c r="A471" s="101" t="s">
        <v>1502</v>
      </c>
      <c r="B471" s="193" t="str">
        <f>"12.0601"</f>
        <v>12.0601</v>
      </c>
      <c r="C471" s="58" t="s">
        <v>2205</v>
      </c>
      <c r="D471" s="79" t="s">
        <v>2206</v>
      </c>
      <c r="E471" s="79"/>
    </row>
    <row r="472" spans="1:5" s="103" customFormat="1" ht="14.85" customHeight="1" outlineLevel="1" x14ac:dyDescent="0.25">
      <c r="A472" s="101" t="s">
        <v>1502</v>
      </c>
      <c r="B472" s="193" t="str">
        <f>"12.0602"</f>
        <v>12.0602</v>
      </c>
      <c r="C472" s="58" t="s">
        <v>2207</v>
      </c>
      <c r="D472" s="79" t="s">
        <v>2208</v>
      </c>
      <c r="E472" s="79"/>
    </row>
    <row r="473" spans="1:5" s="103" customFormat="1" ht="14.85" customHeight="1" outlineLevel="1" x14ac:dyDescent="0.25">
      <c r="A473" s="101" t="s">
        <v>1502</v>
      </c>
      <c r="B473" s="193" t="str">
        <f>"12.0699"</f>
        <v>12.0699</v>
      </c>
      <c r="C473" s="58" t="s">
        <v>2209</v>
      </c>
      <c r="D473" s="79" t="s">
        <v>2210</v>
      </c>
      <c r="E473" s="79"/>
    </row>
    <row r="474" spans="1:5" ht="14.85" customHeight="1" outlineLevel="1" x14ac:dyDescent="0.25">
      <c r="A474" s="101" t="s">
        <v>1502</v>
      </c>
      <c r="B474" s="193" t="str">
        <f>"12.99"</f>
        <v>12.99</v>
      </c>
      <c r="C474" s="58" t="s">
        <v>2211</v>
      </c>
      <c r="D474" s="79" t="s">
        <v>2212</v>
      </c>
      <c r="E474" s="79"/>
    </row>
    <row r="475" spans="1:5" s="103" customFormat="1" ht="14.85" customHeight="1" outlineLevel="1" x14ac:dyDescent="0.25">
      <c r="A475" s="101" t="s">
        <v>1502</v>
      </c>
      <c r="B475" s="193" t="str">
        <f>"12.9999"</f>
        <v>12.9999</v>
      </c>
      <c r="C475" s="58" t="s">
        <v>2211</v>
      </c>
      <c r="D475" s="79" t="s">
        <v>2213</v>
      </c>
      <c r="E475" s="79"/>
    </row>
    <row r="476" spans="1:5" s="103" customFormat="1" ht="14.85" customHeight="1" outlineLevel="1" x14ac:dyDescent="0.25">
      <c r="A476" s="101" t="s">
        <v>1502</v>
      </c>
      <c r="B476" s="193" t="str">
        <f>"13"</f>
        <v>13</v>
      </c>
      <c r="C476" s="58" t="s">
        <v>2214</v>
      </c>
      <c r="D476" s="79" t="s">
        <v>2215</v>
      </c>
      <c r="E476" s="79"/>
    </row>
    <row r="477" spans="1:5" s="103" customFormat="1" ht="14.85" customHeight="1" outlineLevel="1" x14ac:dyDescent="0.25">
      <c r="A477" s="101" t="s">
        <v>1502</v>
      </c>
      <c r="B477" s="193" t="str">
        <f>"13.01"</f>
        <v>13.01</v>
      </c>
      <c r="C477" s="58" t="s">
        <v>2216</v>
      </c>
      <c r="D477" s="79" t="s">
        <v>2217</v>
      </c>
      <c r="E477" s="79"/>
    </row>
    <row r="478" spans="1:5" s="103" customFormat="1" ht="14.85" customHeight="1" outlineLevel="1" x14ac:dyDescent="0.25">
      <c r="A478" s="101" t="s">
        <v>1502</v>
      </c>
      <c r="B478" s="193" t="str">
        <f>"13.0101"</f>
        <v>13.0101</v>
      </c>
      <c r="C478" s="58" t="s">
        <v>2216</v>
      </c>
      <c r="D478" s="79" t="s">
        <v>2218</v>
      </c>
      <c r="E478" s="79"/>
    </row>
    <row r="479" spans="1:5" s="103" customFormat="1" ht="14.85" customHeight="1" outlineLevel="1" x14ac:dyDescent="0.25">
      <c r="A479" s="101" t="s">
        <v>1502</v>
      </c>
      <c r="B479" s="193" t="str">
        <f>"13.02"</f>
        <v>13.02</v>
      </c>
      <c r="C479" s="58" t="s">
        <v>2219</v>
      </c>
      <c r="D479" s="79" t="s">
        <v>2220</v>
      </c>
      <c r="E479" s="79"/>
    </row>
    <row r="480" spans="1:5" s="103" customFormat="1" ht="14.85" customHeight="1" outlineLevel="1" x14ac:dyDescent="0.25">
      <c r="A480" s="101" t="s">
        <v>1502</v>
      </c>
      <c r="B480" s="193" t="str">
        <f>"13.0201"</f>
        <v>13.0201</v>
      </c>
      <c r="C480" s="58" t="s">
        <v>2221</v>
      </c>
      <c r="D480" s="79" t="s">
        <v>2222</v>
      </c>
      <c r="E480" s="79"/>
    </row>
    <row r="481" spans="1:5" s="103" customFormat="1" ht="14.85" customHeight="1" outlineLevel="1" x14ac:dyDescent="0.25">
      <c r="A481" s="101" t="s">
        <v>1502</v>
      </c>
      <c r="B481" s="193" t="str">
        <f>"13.0202"</f>
        <v>13.0202</v>
      </c>
      <c r="C481" s="58" t="s">
        <v>2223</v>
      </c>
      <c r="D481" s="79" t="s">
        <v>2224</v>
      </c>
      <c r="E481" s="79"/>
    </row>
    <row r="482" spans="1:5" s="103" customFormat="1" ht="14.85" customHeight="1" outlineLevel="1" x14ac:dyDescent="0.25">
      <c r="A482" s="101" t="s">
        <v>1502</v>
      </c>
      <c r="B482" s="193" t="str">
        <f>"13.0203"</f>
        <v>13.0203</v>
      </c>
      <c r="C482" s="58" t="s">
        <v>2225</v>
      </c>
      <c r="D482" s="79" t="s">
        <v>2226</v>
      </c>
      <c r="E482" s="79"/>
    </row>
    <row r="483" spans="1:5" s="103" customFormat="1" ht="14.85" customHeight="1" outlineLevel="1" x14ac:dyDescent="0.25">
      <c r="A483" s="101" t="s">
        <v>1502</v>
      </c>
      <c r="B483" s="193" t="str">
        <f>"13.0299"</f>
        <v>13.0299</v>
      </c>
      <c r="C483" s="58" t="s">
        <v>2227</v>
      </c>
      <c r="D483" s="79" t="s">
        <v>2228</v>
      </c>
      <c r="E483" s="79"/>
    </row>
    <row r="484" spans="1:5" s="103" customFormat="1" ht="14.85" customHeight="1" outlineLevel="1" x14ac:dyDescent="0.25">
      <c r="A484" s="101" t="s">
        <v>1502</v>
      </c>
      <c r="B484" s="193" t="str">
        <f>"13.03"</f>
        <v>13.03</v>
      </c>
      <c r="C484" s="58" t="s">
        <v>2229</v>
      </c>
      <c r="D484" s="79" t="s">
        <v>2230</v>
      </c>
      <c r="E484" s="79"/>
    </row>
    <row r="485" spans="1:5" s="103" customFormat="1" ht="14.85" customHeight="1" outlineLevel="1" x14ac:dyDescent="0.25">
      <c r="A485" s="101" t="s">
        <v>1502</v>
      </c>
      <c r="B485" s="193" t="str">
        <f>"13.0301"</f>
        <v>13.0301</v>
      </c>
      <c r="C485" s="58" t="s">
        <v>2229</v>
      </c>
      <c r="D485" s="79" t="s">
        <v>2231</v>
      </c>
      <c r="E485" s="79"/>
    </row>
    <row r="486" spans="1:5" s="103" customFormat="1" ht="14.85" customHeight="1" outlineLevel="1" x14ac:dyDescent="0.25">
      <c r="A486" s="101" t="s">
        <v>1502</v>
      </c>
      <c r="B486" s="193" t="str">
        <f>"13.04"</f>
        <v>13.04</v>
      </c>
      <c r="C486" s="58" t="s">
        <v>2232</v>
      </c>
      <c r="D486" s="79" t="s">
        <v>2233</v>
      </c>
      <c r="E486" s="79"/>
    </row>
    <row r="487" spans="1:5" s="103" customFormat="1" ht="14.85" customHeight="1" outlineLevel="1" x14ac:dyDescent="0.25">
      <c r="A487" s="101" t="s">
        <v>1502</v>
      </c>
      <c r="B487" s="193" t="str">
        <f>"13.0401"</f>
        <v>13.0401</v>
      </c>
      <c r="C487" s="58" t="s">
        <v>2234</v>
      </c>
      <c r="D487" s="79" t="s">
        <v>2235</v>
      </c>
      <c r="E487" s="79"/>
    </row>
    <row r="488" spans="1:5" s="103" customFormat="1" ht="14.85" customHeight="1" outlineLevel="1" x14ac:dyDescent="0.25">
      <c r="A488" s="101" t="s">
        <v>1502</v>
      </c>
      <c r="B488" s="193" t="str">
        <f>"13.0402"</f>
        <v>13.0402</v>
      </c>
      <c r="C488" s="58" t="s">
        <v>2236</v>
      </c>
      <c r="D488" s="79" t="s">
        <v>2237</v>
      </c>
      <c r="E488" s="79"/>
    </row>
    <row r="489" spans="1:5" s="103" customFormat="1" ht="14.85" customHeight="1" outlineLevel="1" x14ac:dyDescent="0.25">
      <c r="A489" s="101" t="s">
        <v>1502</v>
      </c>
      <c r="B489" s="193" t="str">
        <f>"13.0403"</f>
        <v>13.0403</v>
      </c>
      <c r="C489" s="58" t="s">
        <v>2238</v>
      </c>
      <c r="D489" s="79" t="s">
        <v>2239</v>
      </c>
      <c r="E489" s="79"/>
    </row>
    <row r="490" spans="1:5" s="103" customFormat="1" ht="14.85" customHeight="1" outlineLevel="1" x14ac:dyDescent="0.25">
      <c r="A490" s="101" t="s">
        <v>1502</v>
      </c>
      <c r="B490" s="193" t="str">
        <f>"13.0404"</f>
        <v>13.0404</v>
      </c>
      <c r="C490" s="58" t="s">
        <v>2240</v>
      </c>
      <c r="D490" s="79" t="s">
        <v>2241</v>
      </c>
      <c r="E490" s="79"/>
    </row>
    <row r="491" spans="1:5" s="103" customFormat="1" ht="14.85" customHeight="1" outlineLevel="1" x14ac:dyDescent="0.25">
      <c r="A491" s="101" t="s">
        <v>1502</v>
      </c>
      <c r="B491" s="193" t="str">
        <f>"13.0406"</f>
        <v>13.0406</v>
      </c>
      <c r="C491" s="58" t="s">
        <v>2242</v>
      </c>
      <c r="D491" s="79" t="s">
        <v>2243</v>
      </c>
      <c r="E491" s="79"/>
    </row>
    <row r="492" spans="1:5" s="103" customFormat="1" ht="14.85" customHeight="1" outlineLevel="1" x14ac:dyDescent="0.25">
      <c r="A492" s="101" t="s">
        <v>1502</v>
      </c>
      <c r="B492" s="193" t="str">
        <f>"13.0407"</f>
        <v>13.0407</v>
      </c>
      <c r="C492" s="58" t="s">
        <v>2244</v>
      </c>
      <c r="D492" s="79" t="s">
        <v>2245</v>
      </c>
      <c r="E492" s="79"/>
    </row>
    <row r="493" spans="1:5" s="103" customFormat="1" ht="14.85" customHeight="1" outlineLevel="1" x14ac:dyDescent="0.25">
      <c r="A493" s="101" t="s">
        <v>1502</v>
      </c>
      <c r="B493" s="193" t="str">
        <f>"13.0408"</f>
        <v>13.0408</v>
      </c>
      <c r="C493" s="58" t="s">
        <v>2246</v>
      </c>
      <c r="D493" s="79" t="s">
        <v>2247</v>
      </c>
      <c r="E493" s="79"/>
    </row>
    <row r="494" spans="1:5" s="103" customFormat="1" ht="14.85" customHeight="1" outlineLevel="1" x14ac:dyDescent="0.25">
      <c r="A494" s="101" t="s">
        <v>1502</v>
      </c>
      <c r="B494" s="193" t="str">
        <f>"13.0409"</f>
        <v>13.0409</v>
      </c>
      <c r="C494" s="58" t="s">
        <v>2248</v>
      </c>
      <c r="D494" s="79" t="s">
        <v>2249</v>
      </c>
      <c r="E494" s="79"/>
    </row>
    <row r="495" spans="1:5" s="103" customFormat="1" ht="14.85" customHeight="1" outlineLevel="1" x14ac:dyDescent="0.25">
      <c r="A495" s="101" t="s">
        <v>1502</v>
      </c>
      <c r="B495" s="193" t="str">
        <f>"13.0410"</f>
        <v>13.0410</v>
      </c>
      <c r="C495" s="58" t="s">
        <v>2250</v>
      </c>
      <c r="D495" s="79" t="s">
        <v>2251</v>
      </c>
      <c r="E495" s="79"/>
    </row>
    <row r="496" spans="1:5" s="103" customFormat="1" ht="14.85" customHeight="1" outlineLevel="1" x14ac:dyDescent="0.25">
      <c r="A496" s="101" t="s">
        <v>1502</v>
      </c>
      <c r="B496" s="193" t="str">
        <f>"13.0411"</f>
        <v>13.0411</v>
      </c>
      <c r="C496" s="58" t="s">
        <v>2252</v>
      </c>
      <c r="D496" s="79" t="s">
        <v>2253</v>
      </c>
      <c r="E496" s="79"/>
    </row>
    <row r="497" spans="1:5" s="103" customFormat="1" ht="14.85" customHeight="1" outlineLevel="1" x14ac:dyDescent="0.25">
      <c r="A497" s="101" t="s">
        <v>1502</v>
      </c>
      <c r="B497" s="193" t="str">
        <f>"13.0412"</f>
        <v>13.0412</v>
      </c>
      <c r="C497" s="58" t="s">
        <v>2254</v>
      </c>
      <c r="D497" s="79" t="s">
        <v>2255</v>
      </c>
      <c r="E497" s="79"/>
    </row>
    <row r="498" spans="1:5" s="103" customFormat="1" ht="14.85" customHeight="1" outlineLevel="1" x14ac:dyDescent="0.25">
      <c r="A498" s="101" t="s">
        <v>1502</v>
      </c>
      <c r="B498" s="193" t="str">
        <f>"13.0413"</f>
        <v>13.0413</v>
      </c>
      <c r="C498" s="58" t="s">
        <v>2256</v>
      </c>
      <c r="D498" s="79" t="s">
        <v>2257</v>
      </c>
      <c r="E498" s="79"/>
    </row>
    <row r="499" spans="1:5" s="103" customFormat="1" ht="14.85" customHeight="1" outlineLevel="1" x14ac:dyDescent="0.25">
      <c r="A499" s="101" t="s">
        <v>1502</v>
      </c>
      <c r="B499" s="193" t="str">
        <f>"13.0414"</f>
        <v>13.0414</v>
      </c>
      <c r="C499" s="58" t="s">
        <v>2258</v>
      </c>
      <c r="D499" s="79" t="s">
        <v>2259</v>
      </c>
      <c r="E499" s="79"/>
    </row>
    <row r="500" spans="1:5" s="103" customFormat="1" ht="14.85" customHeight="1" outlineLevel="1" x14ac:dyDescent="0.25">
      <c r="A500" s="101" t="s">
        <v>1502</v>
      </c>
      <c r="B500" s="193" t="str">
        <f>"13.0499"</f>
        <v>13.0499</v>
      </c>
      <c r="C500" s="58" t="s">
        <v>2260</v>
      </c>
      <c r="D500" s="79" t="s">
        <v>2261</v>
      </c>
      <c r="E500" s="79"/>
    </row>
    <row r="501" spans="1:5" s="103" customFormat="1" ht="14.85" customHeight="1" outlineLevel="1" x14ac:dyDescent="0.25">
      <c r="A501" s="101" t="s">
        <v>1502</v>
      </c>
      <c r="B501" s="193" t="str">
        <f>"13.05"</f>
        <v>13.05</v>
      </c>
      <c r="C501" s="58" t="s">
        <v>2262</v>
      </c>
      <c r="D501" s="79" t="s">
        <v>2263</v>
      </c>
      <c r="E501" s="79"/>
    </row>
    <row r="502" spans="1:5" s="103" customFormat="1" ht="14.85" customHeight="1" outlineLevel="1" x14ac:dyDescent="0.25">
      <c r="A502" s="101" t="s">
        <v>1502</v>
      </c>
      <c r="B502" s="193" t="str">
        <f>"13.0501"</f>
        <v>13.0501</v>
      </c>
      <c r="C502" s="58" t="s">
        <v>2264</v>
      </c>
      <c r="D502" s="79" t="s">
        <v>2265</v>
      </c>
      <c r="E502" s="79"/>
    </row>
    <row r="503" spans="1:5" s="103" customFormat="1" ht="14.85" customHeight="1" outlineLevel="1" x14ac:dyDescent="0.25">
      <c r="A503" s="101" t="s">
        <v>1502</v>
      </c>
      <c r="B503" s="193" t="str">
        <f>"13.06"</f>
        <v>13.06</v>
      </c>
      <c r="C503" s="58" t="s">
        <v>2266</v>
      </c>
      <c r="D503" s="79" t="s">
        <v>2267</v>
      </c>
      <c r="E503" s="79"/>
    </row>
    <row r="504" spans="1:5" s="103" customFormat="1" ht="14.85" customHeight="1" outlineLevel="1" x14ac:dyDescent="0.25">
      <c r="A504" s="101" t="s">
        <v>1502</v>
      </c>
      <c r="B504" s="193" t="str">
        <f>"13.0601"</f>
        <v>13.0601</v>
      </c>
      <c r="C504" s="58" t="s">
        <v>2268</v>
      </c>
      <c r="D504" s="79" t="s">
        <v>2269</v>
      </c>
      <c r="E504" s="79"/>
    </row>
    <row r="505" spans="1:5" s="103" customFormat="1" ht="14.85" customHeight="1" outlineLevel="1" x14ac:dyDescent="0.25">
      <c r="A505" s="101" t="s">
        <v>1502</v>
      </c>
      <c r="B505" s="193" t="str">
        <f>"13.0603"</f>
        <v>13.0603</v>
      </c>
      <c r="C505" s="58" t="s">
        <v>2270</v>
      </c>
      <c r="D505" s="79" t="s">
        <v>2271</v>
      </c>
      <c r="E505" s="79"/>
    </row>
    <row r="506" spans="1:5" s="103" customFormat="1" ht="14.85" customHeight="1" outlineLevel="1" x14ac:dyDescent="0.25">
      <c r="A506" s="101" t="s">
        <v>1502</v>
      </c>
      <c r="B506" s="193" t="str">
        <f>"13.0604"</f>
        <v>13.0604</v>
      </c>
      <c r="C506" s="58" t="s">
        <v>2272</v>
      </c>
      <c r="D506" s="79" t="s">
        <v>2273</v>
      </c>
      <c r="E506" s="79"/>
    </row>
    <row r="507" spans="1:5" s="103" customFormat="1" ht="14.85" customHeight="1" outlineLevel="1" x14ac:dyDescent="0.25">
      <c r="A507" s="101" t="s">
        <v>1502</v>
      </c>
      <c r="B507" s="193" t="str">
        <f>"13.0607"</f>
        <v>13.0607</v>
      </c>
      <c r="C507" s="58" t="s">
        <v>2274</v>
      </c>
      <c r="D507" s="79" t="s">
        <v>2275</v>
      </c>
      <c r="E507" s="79"/>
    </row>
    <row r="508" spans="1:5" s="103" customFormat="1" ht="14.85" customHeight="1" outlineLevel="1" x14ac:dyDescent="0.25">
      <c r="A508" s="101" t="s">
        <v>1502</v>
      </c>
      <c r="B508" s="193" t="str">
        <f>"13.0608"</f>
        <v>13.0608</v>
      </c>
      <c r="C508" s="58" t="s">
        <v>2276</v>
      </c>
      <c r="D508" s="79" t="s">
        <v>2277</v>
      </c>
      <c r="E508" s="79"/>
    </row>
    <row r="509" spans="1:5" s="103" customFormat="1" ht="14.85" customHeight="1" outlineLevel="1" x14ac:dyDescent="0.25">
      <c r="A509" s="101" t="s">
        <v>1502</v>
      </c>
      <c r="B509" s="193" t="str">
        <f>"13.0699"</f>
        <v>13.0699</v>
      </c>
      <c r="C509" s="58" t="s">
        <v>2278</v>
      </c>
      <c r="D509" s="79" t="s">
        <v>2279</v>
      </c>
      <c r="E509" s="79"/>
    </row>
    <row r="510" spans="1:5" s="103" customFormat="1" ht="14.85" customHeight="1" outlineLevel="1" x14ac:dyDescent="0.25">
      <c r="A510" s="101" t="s">
        <v>1502</v>
      </c>
      <c r="B510" s="193" t="str">
        <f>"13.07"</f>
        <v>13.07</v>
      </c>
      <c r="C510" s="58" t="s">
        <v>2280</v>
      </c>
      <c r="D510" s="79" t="s">
        <v>2281</v>
      </c>
      <c r="E510" s="79"/>
    </row>
    <row r="511" spans="1:5" s="103" customFormat="1" ht="14.85" customHeight="1" outlineLevel="1" x14ac:dyDescent="0.25">
      <c r="A511" s="101" t="s">
        <v>1502</v>
      </c>
      <c r="B511" s="193" t="str">
        <f>"13.0701"</f>
        <v>13.0701</v>
      </c>
      <c r="C511" s="58" t="s">
        <v>2280</v>
      </c>
      <c r="D511" s="79" t="s">
        <v>2282</v>
      </c>
      <c r="E511" s="79"/>
    </row>
    <row r="512" spans="1:5" s="103" customFormat="1" ht="14.85" customHeight="1" outlineLevel="1" x14ac:dyDescent="0.25">
      <c r="A512" s="101" t="s">
        <v>1502</v>
      </c>
      <c r="B512" s="193" t="str">
        <f>"13.09"</f>
        <v>13.09</v>
      </c>
      <c r="C512" s="58" t="s">
        <v>2283</v>
      </c>
      <c r="D512" s="79" t="s">
        <v>2284</v>
      </c>
      <c r="E512" s="79"/>
    </row>
    <row r="513" spans="1:5" s="103" customFormat="1" ht="14.85" customHeight="1" outlineLevel="1" x14ac:dyDescent="0.25">
      <c r="A513" s="101" t="s">
        <v>1502</v>
      </c>
      <c r="B513" s="193" t="str">
        <f>"13.0901"</f>
        <v>13.0901</v>
      </c>
      <c r="C513" s="58" t="s">
        <v>2283</v>
      </c>
      <c r="D513" s="79" t="s">
        <v>2285</v>
      </c>
      <c r="E513" s="79"/>
    </row>
    <row r="514" spans="1:5" s="103" customFormat="1" ht="14.85" customHeight="1" outlineLevel="1" x14ac:dyDescent="0.25">
      <c r="A514" s="101" t="s">
        <v>1502</v>
      </c>
      <c r="B514" s="193" t="str">
        <f>"13.10"</f>
        <v>13.10</v>
      </c>
      <c r="C514" s="58" t="s">
        <v>2286</v>
      </c>
      <c r="D514" s="79" t="s">
        <v>2287</v>
      </c>
      <c r="E514" s="79"/>
    </row>
    <row r="515" spans="1:5" s="103" customFormat="1" ht="14.85" customHeight="1" outlineLevel="1" x14ac:dyDescent="0.25">
      <c r="A515" s="101" t="s">
        <v>1502</v>
      </c>
      <c r="B515" s="193" t="str">
        <f>"13.1001"</f>
        <v>13.1001</v>
      </c>
      <c r="C515" s="58" t="s">
        <v>2288</v>
      </c>
      <c r="D515" s="79" t="s">
        <v>2289</v>
      </c>
      <c r="E515" s="79"/>
    </row>
    <row r="516" spans="1:5" s="103" customFormat="1" ht="14.85" customHeight="1" outlineLevel="1" x14ac:dyDescent="0.25">
      <c r="A516" s="101" t="s">
        <v>1502</v>
      </c>
      <c r="B516" s="193" t="str">
        <f>"13.1003"</f>
        <v>13.1003</v>
      </c>
      <c r="C516" s="58" t="s">
        <v>2290</v>
      </c>
      <c r="D516" s="79" t="s">
        <v>2291</v>
      </c>
      <c r="E516" s="79"/>
    </row>
    <row r="517" spans="1:5" s="103" customFormat="1" ht="14.85" customHeight="1" outlineLevel="1" x14ac:dyDescent="0.25">
      <c r="A517" s="101" t="s">
        <v>1502</v>
      </c>
      <c r="B517" s="193" t="str">
        <f>"13.1004"</f>
        <v>13.1004</v>
      </c>
      <c r="C517" s="58" t="s">
        <v>2292</v>
      </c>
      <c r="D517" s="79" t="s">
        <v>2293</v>
      </c>
      <c r="E517" s="79"/>
    </row>
    <row r="518" spans="1:5" s="103" customFormat="1" ht="14.85" customHeight="1" outlineLevel="1" x14ac:dyDescent="0.25">
      <c r="A518" s="101" t="s">
        <v>1502</v>
      </c>
      <c r="B518" s="193" t="str">
        <f>"13.1005"</f>
        <v>13.1005</v>
      </c>
      <c r="C518" s="58" t="s">
        <v>2294</v>
      </c>
      <c r="D518" s="79" t="s">
        <v>2295</v>
      </c>
      <c r="E518" s="79"/>
    </row>
    <row r="519" spans="1:5" s="103" customFormat="1" ht="14.85" customHeight="1" outlineLevel="1" x14ac:dyDescent="0.25">
      <c r="A519" s="101" t="s">
        <v>1502</v>
      </c>
      <c r="B519" s="193" t="str">
        <f>"13.1006"</f>
        <v>13.1006</v>
      </c>
      <c r="C519" s="58" t="s">
        <v>2296</v>
      </c>
      <c r="D519" s="79" t="s">
        <v>2297</v>
      </c>
      <c r="E519" s="79"/>
    </row>
    <row r="520" spans="1:5" s="103" customFormat="1" ht="14.85" customHeight="1" outlineLevel="1" x14ac:dyDescent="0.25">
      <c r="A520" s="101" t="s">
        <v>1502</v>
      </c>
      <c r="B520" s="193" t="str">
        <f>"13.1007"</f>
        <v>13.1007</v>
      </c>
      <c r="C520" s="58" t="s">
        <v>2298</v>
      </c>
      <c r="D520" s="79" t="s">
        <v>2299</v>
      </c>
      <c r="E520" s="79"/>
    </row>
    <row r="521" spans="1:5" s="104" customFormat="1" ht="14.85" customHeight="1" outlineLevel="1" x14ac:dyDescent="0.25">
      <c r="A521" s="101" t="s">
        <v>1502</v>
      </c>
      <c r="B521" s="193" t="str">
        <f>"13.1008"</f>
        <v>13.1008</v>
      </c>
      <c r="C521" s="58" t="s">
        <v>2300</v>
      </c>
      <c r="D521" s="79" t="s">
        <v>2301</v>
      </c>
      <c r="E521" s="79"/>
    </row>
    <row r="522" spans="1:5" s="104" customFormat="1" ht="14.85" customHeight="1" outlineLevel="1" x14ac:dyDescent="0.25">
      <c r="A522" s="101" t="s">
        <v>1502</v>
      </c>
      <c r="B522" s="193" t="str">
        <f>"13.1009"</f>
        <v>13.1009</v>
      </c>
      <c r="C522" s="58" t="s">
        <v>2302</v>
      </c>
      <c r="D522" s="79" t="s">
        <v>2303</v>
      </c>
      <c r="E522" s="79"/>
    </row>
    <row r="523" spans="1:5" s="104" customFormat="1" ht="14.85" customHeight="1" outlineLevel="1" x14ac:dyDescent="0.25">
      <c r="A523" s="101" t="s">
        <v>1502</v>
      </c>
      <c r="B523" s="193" t="str">
        <f>"13.1011"</f>
        <v>13.1011</v>
      </c>
      <c r="C523" s="58" t="s">
        <v>2304</v>
      </c>
      <c r="D523" s="79" t="s">
        <v>2305</v>
      </c>
      <c r="E523" s="79"/>
    </row>
    <row r="524" spans="1:5" s="104" customFormat="1" ht="14.85" customHeight="1" outlineLevel="1" x14ac:dyDescent="0.25">
      <c r="A524" s="101" t="s">
        <v>1502</v>
      </c>
      <c r="B524" s="193" t="str">
        <f>"13.1012"</f>
        <v>13.1012</v>
      </c>
      <c r="C524" s="58" t="s">
        <v>2306</v>
      </c>
      <c r="D524" s="79" t="s">
        <v>2307</v>
      </c>
      <c r="E524" s="79"/>
    </row>
    <row r="525" spans="1:5" s="104" customFormat="1" ht="14.85" customHeight="1" outlineLevel="1" x14ac:dyDescent="0.25">
      <c r="A525" s="101" t="s">
        <v>1502</v>
      </c>
      <c r="B525" s="193" t="str">
        <f>"13.1013"</f>
        <v>13.1013</v>
      </c>
      <c r="C525" s="58" t="s">
        <v>2308</v>
      </c>
      <c r="D525" s="79" t="s">
        <v>2309</v>
      </c>
      <c r="E525" s="79"/>
    </row>
    <row r="526" spans="1:5" s="104" customFormat="1" ht="14.85" customHeight="1" outlineLevel="1" x14ac:dyDescent="0.25">
      <c r="A526" s="101" t="s">
        <v>1502</v>
      </c>
      <c r="B526" s="193" t="str">
        <f>"13.1014"</f>
        <v>13.1014</v>
      </c>
      <c r="C526" s="58" t="s">
        <v>2310</v>
      </c>
      <c r="D526" s="79" t="s">
        <v>2311</v>
      </c>
      <c r="E526" s="79"/>
    </row>
    <row r="527" spans="1:5" s="104" customFormat="1" ht="14.85" customHeight="1" outlineLevel="1" x14ac:dyDescent="0.25">
      <c r="A527" s="101" t="s">
        <v>1502</v>
      </c>
      <c r="B527" s="193" t="str">
        <f>"13.1015"</f>
        <v>13.1015</v>
      </c>
      <c r="C527" s="58" t="s">
        <v>2312</v>
      </c>
      <c r="D527" s="79" t="s">
        <v>2313</v>
      </c>
      <c r="E527" s="79"/>
    </row>
    <row r="528" spans="1:5" s="104" customFormat="1" ht="14.85" customHeight="1" outlineLevel="1" x14ac:dyDescent="0.25">
      <c r="A528" s="101" t="s">
        <v>1502</v>
      </c>
      <c r="B528" s="193" t="str">
        <f>"13.1016"</f>
        <v>13.1016</v>
      </c>
      <c r="C528" s="58" t="s">
        <v>2314</v>
      </c>
      <c r="D528" s="79" t="s">
        <v>2315</v>
      </c>
      <c r="E528" s="79"/>
    </row>
    <row r="529" spans="1:5" s="104" customFormat="1" ht="14.85" customHeight="1" outlineLevel="1" x14ac:dyDescent="0.25">
      <c r="A529" s="101" t="s">
        <v>1502</v>
      </c>
      <c r="B529" s="193" t="str">
        <f>"13.1017"</f>
        <v>13.1017</v>
      </c>
      <c r="C529" s="58" t="s">
        <v>2316</v>
      </c>
      <c r="D529" s="79" t="s">
        <v>2317</v>
      </c>
      <c r="E529" s="79"/>
    </row>
    <row r="530" spans="1:5" ht="14.85" customHeight="1" outlineLevel="1" x14ac:dyDescent="0.25">
      <c r="A530" s="101" t="s">
        <v>1502</v>
      </c>
      <c r="B530" s="193" t="str">
        <f>"13.1018"</f>
        <v>13.1018</v>
      </c>
      <c r="C530" s="58" t="s">
        <v>2318</v>
      </c>
      <c r="D530" s="79" t="s">
        <v>2319</v>
      </c>
      <c r="E530" s="79"/>
    </row>
    <row r="531" spans="1:5" ht="14.85" customHeight="1" outlineLevel="1" x14ac:dyDescent="0.25">
      <c r="A531" s="101" t="s">
        <v>1502</v>
      </c>
      <c r="B531" s="193" t="str">
        <f>"13.1019"</f>
        <v>13.1019</v>
      </c>
      <c r="C531" s="58" t="s">
        <v>2320</v>
      </c>
      <c r="D531" s="79" t="s">
        <v>2321</v>
      </c>
      <c r="E531" s="79"/>
    </row>
    <row r="532" spans="1:5" ht="14.85" customHeight="1" outlineLevel="1" x14ac:dyDescent="0.25">
      <c r="A532" s="101" t="s">
        <v>1502</v>
      </c>
      <c r="B532" s="193" t="str">
        <f>"13.1099"</f>
        <v>13.1099</v>
      </c>
      <c r="C532" s="58" t="s">
        <v>2322</v>
      </c>
      <c r="D532" s="79" t="s">
        <v>2323</v>
      </c>
      <c r="E532" s="79"/>
    </row>
    <row r="533" spans="1:5" ht="14.85" customHeight="1" outlineLevel="1" x14ac:dyDescent="0.25">
      <c r="A533" s="101" t="s">
        <v>1502</v>
      </c>
      <c r="B533" s="193" t="str">
        <f>"13.11"</f>
        <v>13.11</v>
      </c>
      <c r="C533" s="58" t="s">
        <v>2324</v>
      </c>
      <c r="D533" s="79" t="s">
        <v>2325</v>
      </c>
      <c r="E533" s="79"/>
    </row>
    <row r="534" spans="1:5" ht="14.85" customHeight="1" outlineLevel="1" x14ac:dyDescent="0.25">
      <c r="A534" s="101" t="s">
        <v>1502</v>
      </c>
      <c r="B534" s="193" t="str">
        <f>"13.1101"</f>
        <v>13.1101</v>
      </c>
      <c r="C534" s="58" t="s">
        <v>2326</v>
      </c>
      <c r="D534" s="79" t="s">
        <v>2327</v>
      </c>
      <c r="E534" s="79"/>
    </row>
    <row r="535" spans="1:5" ht="14.85" customHeight="1" outlineLevel="1" x14ac:dyDescent="0.25">
      <c r="A535" s="101" t="s">
        <v>1502</v>
      </c>
      <c r="B535" s="193" t="str">
        <f>"13.1102"</f>
        <v>13.1102</v>
      </c>
      <c r="C535" s="58" t="s">
        <v>2328</v>
      </c>
      <c r="D535" s="79" t="s">
        <v>2329</v>
      </c>
      <c r="E535" s="79"/>
    </row>
    <row r="536" spans="1:5" ht="14.85" customHeight="1" outlineLevel="1" x14ac:dyDescent="0.25">
      <c r="A536" s="101" t="s">
        <v>1502</v>
      </c>
      <c r="B536" s="193" t="str">
        <f>"13.1199"</f>
        <v>13.1199</v>
      </c>
      <c r="C536" s="58" t="s">
        <v>2330</v>
      </c>
      <c r="D536" s="79" t="s">
        <v>2331</v>
      </c>
      <c r="E536" s="79"/>
    </row>
    <row r="537" spans="1:5" ht="14.85" customHeight="1" outlineLevel="1" x14ac:dyDescent="0.25">
      <c r="A537" s="101" t="s">
        <v>1502</v>
      </c>
      <c r="B537" s="193" t="str">
        <f>"13.12"</f>
        <v>13.12</v>
      </c>
      <c r="C537" s="58" t="s">
        <v>2332</v>
      </c>
      <c r="D537" s="79" t="s">
        <v>2333</v>
      </c>
      <c r="E537" s="79"/>
    </row>
    <row r="538" spans="1:5" ht="14.85" customHeight="1" outlineLevel="1" x14ac:dyDescent="0.25">
      <c r="A538" s="101" t="s">
        <v>1502</v>
      </c>
      <c r="B538" s="193" t="str">
        <f>"13.1201"</f>
        <v>13.1201</v>
      </c>
      <c r="C538" s="58" t="s">
        <v>2334</v>
      </c>
      <c r="D538" s="79" t="s">
        <v>2335</v>
      </c>
      <c r="E538" s="79"/>
    </row>
    <row r="539" spans="1:5" ht="14.85" customHeight="1" outlineLevel="1" x14ac:dyDescent="0.25">
      <c r="A539" s="101" t="s">
        <v>1502</v>
      </c>
      <c r="B539" s="193" t="str">
        <f>"13.1202"</f>
        <v>13.1202</v>
      </c>
      <c r="C539" s="58" t="s">
        <v>2336</v>
      </c>
      <c r="D539" s="79" t="s">
        <v>2337</v>
      </c>
      <c r="E539" s="79"/>
    </row>
    <row r="540" spans="1:5" ht="14.85" customHeight="1" outlineLevel="1" x14ac:dyDescent="0.25">
      <c r="A540" s="101" t="s">
        <v>1502</v>
      </c>
      <c r="B540" s="193" t="str">
        <f>"13.1203"</f>
        <v>13.1203</v>
      </c>
      <c r="C540" s="58" t="s">
        <v>2338</v>
      </c>
      <c r="D540" s="79" t="s">
        <v>2339</v>
      </c>
      <c r="E540" s="79"/>
    </row>
    <row r="541" spans="1:5" ht="14.85" customHeight="1" outlineLevel="1" x14ac:dyDescent="0.25">
      <c r="A541" s="101" t="s">
        <v>1502</v>
      </c>
      <c r="B541" s="193" t="str">
        <f>"13.1205"</f>
        <v>13.1205</v>
      </c>
      <c r="C541" s="58" t="s">
        <v>2340</v>
      </c>
      <c r="D541" s="79" t="s">
        <v>2341</v>
      </c>
      <c r="E541" s="79"/>
    </row>
    <row r="542" spans="1:5" ht="14.85" customHeight="1" outlineLevel="1" x14ac:dyDescent="0.25">
      <c r="A542" s="101" t="s">
        <v>1502</v>
      </c>
      <c r="B542" s="193" t="str">
        <f>"13.1206"</f>
        <v>13.1206</v>
      </c>
      <c r="C542" s="58" t="s">
        <v>2342</v>
      </c>
      <c r="D542" s="79" t="s">
        <v>2343</v>
      </c>
      <c r="E542" s="79"/>
    </row>
    <row r="543" spans="1:5" ht="14.85" customHeight="1" outlineLevel="1" x14ac:dyDescent="0.25">
      <c r="A543" s="101" t="s">
        <v>1502</v>
      </c>
      <c r="B543" s="193" t="str">
        <f>"13.1207"</f>
        <v>13.1207</v>
      </c>
      <c r="C543" s="58" t="s">
        <v>2344</v>
      </c>
      <c r="D543" s="79" t="s">
        <v>2345</v>
      </c>
      <c r="E543" s="79"/>
    </row>
    <row r="544" spans="1:5" ht="14.85" customHeight="1" outlineLevel="1" x14ac:dyDescent="0.25">
      <c r="A544" s="101" t="s">
        <v>1502</v>
      </c>
      <c r="B544" s="193" t="str">
        <f>"13.1208"</f>
        <v>13.1208</v>
      </c>
      <c r="C544" s="58" t="s">
        <v>2346</v>
      </c>
      <c r="D544" s="79" t="s">
        <v>2347</v>
      </c>
      <c r="E544" s="79"/>
    </row>
    <row r="545" spans="1:5" ht="14.85" customHeight="1" outlineLevel="1" x14ac:dyDescent="0.25">
      <c r="A545" s="101" t="s">
        <v>1502</v>
      </c>
      <c r="B545" s="193" t="str">
        <f>"13.1209"</f>
        <v>13.1209</v>
      </c>
      <c r="C545" s="58" t="s">
        <v>2348</v>
      </c>
      <c r="D545" s="79" t="s">
        <v>2349</v>
      </c>
      <c r="E545" s="79"/>
    </row>
    <row r="546" spans="1:5" ht="14.85" customHeight="1" outlineLevel="1" x14ac:dyDescent="0.25">
      <c r="A546" s="101" t="s">
        <v>1502</v>
      </c>
      <c r="B546" s="193" t="str">
        <f>"13.1210"</f>
        <v>13.1210</v>
      </c>
      <c r="C546" s="58" t="s">
        <v>2350</v>
      </c>
      <c r="D546" s="79" t="s">
        <v>2351</v>
      </c>
      <c r="E546" s="79"/>
    </row>
    <row r="547" spans="1:5" ht="14.85" customHeight="1" outlineLevel="1" x14ac:dyDescent="0.25">
      <c r="A547" s="101" t="s">
        <v>1502</v>
      </c>
      <c r="B547" s="193" t="str">
        <f>"13.1211"</f>
        <v>13.1211</v>
      </c>
      <c r="C547" s="58" t="s">
        <v>2352</v>
      </c>
      <c r="D547" s="79" t="s">
        <v>2353</v>
      </c>
      <c r="E547" s="79"/>
    </row>
    <row r="548" spans="1:5" ht="14.85" customHeight="1" outlineLevel="1" x14ac:dyDescent="0.25">
      <c r="A548" s="101" t="s">
        <v>1502</v>
      </c>
      <c r="B548" s="193" t="str">
        <f>"13.1212"</f>
        <v>13.1212</v>
      </c>
      <c r="C548" s="58" t="s">
        <v>2354</v>
      </c>
      <c r="D548" s="79" t="s">
        <v>2355</v>
      </c>
      <c r="E548" s="79"/>
    </row>
    <row r="549" spans="1:5" ht="14.85" customHeight="1" outlineLevel="1" x14ac:dyDescent="0.25">
      <c r="A549" s="101" t="s">
        <v>1502</v>
      </c>
      <c r="B549" s="193" t="str">
        <f>"13.1213"</f>
        <v>13.1213</v>
      </c>
      <c r="C549" s="58" t="s">
        <v>2356</v>
      </c>
      <c r="D549" s="79" t="s">
        <v>2357</v>
      </c>
      <c r="E549" s="79"/>
    </row>
    <row r="550" spans="1:5" ht="14.85" customHeight="1" outlineLevel="1" x14ac:dyDescent="0.25">
      <c r="A550" s="101" t="s">
        <v>1502</v>
      </c>
      <c r="B550" s="193" t="str">
        <f>"13.1214"</f>
        <v>13.1214</v>
      </c>
      <c r="C550" s="58" t="s">
        <v>2358</v>
      </c>
      <c r="D550" s="79" t="s">
        <v>2359</v>
      </c>
      <c r="E550" s="79"/>
    </row>
    <row r="551" spans="1:5" ht="14.85" customHeight="1" outlineLevel="1" x14ac:dyDescent="0.25">
      <c r="A551" s="101" t="s">
        <v>1502</v>
      </c>
      <c r="B551" s="193" t="str">
        <f>"13.1299"</f>
        <v>13.1299</v>
      </c>
      <c r="C551" s="58" t="s">
        <v>2360</v>
      </c>
      <c r="D551" s="79" t="s">
        <v>2361</v>
      </c>
      <c r="E551" s="79"/>
    </row>
    <row r="552" spans="1:5" ht="14.85" customHeight="1" outlineLevel="1" x14ac:dyDescent="0.25">
      <c r="A552" s="101" t="s">
        <v>1502</v>
      </c>
      <c r="B552" s="193" t="str">
        <f>"13.13"</f>
        <v>13.13</v>
      </c>
      <c r="C552" s="58" t="s">
        <v>2362</v>
      </c>
      <c r="D552" s="79" t="s">
        <v>2363</v>
      </c>
      <c r="E552" s="79"/>
    </row>
    <row r="553" spans="1:5" ht="14.85" customHeight="1" outlineLevel="1" x14ac:dyDescent="0.25">
      <c r="A553" s="101" t="s">
        <v>1502</v>
      </c>
      <c r="B553" s="193" t="str">
        <f>"13.1301"</f>
        <v>13.1301</v>
      </c>
      <c r="C553" s="58" t="s">
        <v>2364</v>
      </c>
      <c r="D553" s="79" t="s">
        <v>2365</v>
      </c>
      <c r="E553" s="79"/>
    </row>
    <row r="554" spans="1:5" ht="14.85" customHeight="1" outlineLevel="1" x14ac:dyDescent="0.25">
      <c r="A554" s="101" t="s">
        <v>1502</v>
      </c>
      <c r="B554" s="193" t="str">
        <f>"13.1302"</f>
        <v>13.1302</v>
      </c>
      <c r="C554" s="58" t="s">
        <v>2366</v>
      </c>
      <c r="D554" s="79" t="s">
        <v>2367</v>
      </c>
      <c r="E554" s="79"/>
    </row>
    <row r="555" spans="1:5" ht="14.85" customHeight="1" outlineLevel="1" x14ac:dyDescent="0.25">
      <c r="A555" s="101" t="s">
        <v>1502</v>
      </c>
      <c r="B555" s="193" t="str">
        <f>"13.1303"</f>
        <v>13.1303</v>
      </c>
      <c r="C555" s="58" t="s">
        <v>2368</v>
      </c>
      <c r="D555" s="79" t="s">
        <v>2369</v>
      </c>
      <c r="E555" s="79"/>
    </row>
    <row r="556" spans="1:5" ht="14.85" customHeight="1" outlineLevel="1" x14ac:dyDescent="0.25">
      <c r="A556" s="101" t="s">
        <v>1502</v>
      </c>
      <c r="B556" s="193" t="str">
        <f>"13.1304"</f>
        <v>13.1304</v>
      </c>
      <c r="C556" s="58" t="s">
        <v>2370</v>
      </c>
      <c r="D556" s="79" t="s">
        <v>2371</v>
      </c>
      <c r="E556" s="79"/>
    </row>
    <row r="557" spans="1:5" ht="14.85" customHeight="1" outlineLevel="1" x14ac:dyDescent="0.25">
      <c r="A557" s="101" t="s">
        <v>1502</v>
      </c>
      <c r="B557" s="193" t="str">
        <f>"13.1305"</f>
        <v>13.1305</v>
      </c>
      <c r="C557" s="58" t="s">
        <v>2372</v>
      </c>
      <c r="D557" s="79" t="s">
        <v>2373</v>
      </c>
      <c r="E557" s="79"/>
    </row>
    <row r="558" spans="1:5" ht="14.85" customHeight="1" outlineLevel="1" x14ac:dyDescent="0.25">
      <c r="A558" s="101" t="s">
        <v>1502</v>
      </c>
      <c r="B558" s="193" t="str">
        <f>"13.1306"</f>
        <v>13.1306</v>
      </c>
      <c r="C558" s="58" t="s">
        <v>2374</v>
      </c>
      <c r="D558" s="79" t="s">
        <v>2375</v>
      </c>
      <c r="E558" s="79"/>
    </row>
    <row r="559" spans="1:5" ht="14.85" customHeight="1" outlineLevel="1" x14ac:dyDescent="0.25">
      <c r="A559" s="101" t="s">
        <v>1502</v>
      </c>
      <c r="B559" s="193" t="str">
        <f>"13.1307"</f>
        <v>13.1307</v>
      </c>
      <c r="C559" s="58" t="s">
        <v>2376</v>
      </c>
      <c r="D559" s="79" t="s">
        <v>2377</v>
      </c>
      <c r="E559" s="79"/>
    </row>
    <row r="560" spans="1:5" ht="14.85" customHeight="1" outlineLevel="1" x14ac:dyDescent="0.25">
      <c r="A560" s="101" t="s">
        <v>1502</v>
      </c>
      <c r="B560" s="193" t="str">
        <f>"13.1308"</f>
        <v>13.1308</v>
      </c>
      <c r="C560" s="58" t="s">
        <v>2378</v>
      </c>
      <c r="D560" s="79" t="s">
        <v>2379</v>
      </c>
      <c r="E560" s="79"/>
    </row>
    <row r="561" spans="1:5" ht="14.85" customHeight="1" outlineLevel="1" x14ac:dyDescent="0.25">
      <c r="A561" s="101" t="s">
        <v>1502</v>
      </c>
      <c r="B561" s="193" t="str">
        <f>"13.1309"</f>
        <v>13.1309</v>
      </c>
      <c r="C561" s="58" t="s">
        <v>2380</v>
      </c>
      <c r="D561" s="79" t="s">
        <v>2381</v>
      </c>
      <c r="E561" s="79"/>
    </row>
    <row r="562" spans="1:5" ht="14.85" customHeight="1" outlineLevel="1" x14ac:dyDescent="0.25">
      <c r="A562" s="101" t="s">
        <v>1502</v>
      </c>
      <c r="B562" s="193" t="str">
        <f>"13.1310"</f>
        <v>13.1310</v>
      </c>
      <c r="C562" s="58" t="s">
        <v>2382</v>
      </c>
      <c r="D562" s="79" t="s">
        <v>2383</v>
      </c>
      <c r="E562" s="79"/>
    </row>
    <row r="563" spans="1:5" ht="14.85" customHeight="1" outlineLevel="1" x14ac:dyDescent="0.25">
      <c r="A563" s="101" t="s">
        <v>1502</v>
      </c>
      <c r="B563" s="193" t="str">
        <f>"13.1311"</f>
        <v>13.1311</v>
      </c>
      <c r="C563" s="58" t="s">
        <v>2384</v>
      </c>
      <c r="D563" s="79" t="s">
        <v>2385</v>
      </c>
      <c r="E563" s="79"/>
    </row>
    <row r="564" spans="1:5" ht="14.85" customHeight="1" outlineLevel="1" x14ac:dyDescent="0.25">
      <c r="A564" s="101" t="s">
        <v>1502</v>
      </c>
      <c r="B564" s="193" t="str">
        <f>"13.1312"</f>
        <v>13.1312</v>
      </c>
      <c r="C564" s="58" t="s">
        <v>2386</v>
      </c>
      <c r="D564" s="79" t="s">
        <v>2387</v>
      </c>
      <c r="E564" s="79"/>
    </row>
    <row r="565" spans="1:5" ht="14.85" customHeight="1" outlineLevel="1" x14ac:dyDescent="0.25">
      <c r="A565" s="101" t="s">
        <v>1502</v>
      </c>
      <c r="B565" s="193" t="str">
        <f>"13.1314"</f>
        <v>13.1314</v>
      </c>
      <c r="C565" s="58" t="s">
        <v>2388</v>
      </c>
      <c r="D565" s="79" t="s">
        <v>2389</v>
      </c>
      <c r="E565" s="79"/>
    </row>
    <row r="566" spans="1:5" ht="14.85" customHeight="1" outlineLevel="1" x14ac:dyDescent="0.25">
      <c r="A566" s="101" t="s">
        <v>1502</v>
      </c>
      <c r="B566" s="193" t="str">
        <f>"13.1315"</f>
        <v>13.1315</v>
      </c>
      <c r="C566" s="58" t="s">
        <v>2390</v>
      </c>
      <c r="D566" s="79" t="s">
        <v>2391</v>
      </c>
      <c r="E566" s="79"/>
    </row>
    <row r="567" spans="1:5" ht="14.85" customHeight="1" outlineLevel="1" x14ac:dyDescent="0.25">
      <c r="A567" s="101" t="s">
        <v>1502</v>
      </c>
      <c r="B567" s="193" t="str">
        <f>"13.1316"</f>
        <v>13.1316</v>
      </c>
      <c r="C567" s="58" t="s">
        <v>2392</v>
      </c>
      <c r="D567" s="79" t="s">
        <v>2393</v>
      </c>
      <c r="E567" s="79"/>
    </row>
    <row r="568" spans="1:5" ht="14.85" customHeight="1" outlineLevel="1" x14ac:dyDescent="0.25">
      <c r="A568" s="101" t="s">
        <v>1502</v>
      </c>
      <c r="B568" s="193" t="str">
        <f>"13.1317"</f>
        <v>13.1317</v>
      </c>
      <c r="C568" s="58" t="s">
        <v>2394</v>
      </c>
      <c r="D568" s="79" t="s">
        <v>2395</v>
      </c>
      <c r="E568" s="79"/>
    </row>
    <row r="569" spans="1:5" ht="14.85" customHeight="1" outlineLevel="1" x14ac:dyDescent="0.25">
      <c r="A569" s="101" t="s">
        <v>1502</v>
      </c>
      <c r="B569" s="193" t="str">
        <f>"13.1318"</f>
        <v>13.1318</v>
      </c>
      <c r="C569" s="58" t="s">
        <v>2396</v>
      </c>
      <c r="D569" s="79" t="s">
        <v>2397</v>
      </c>
      <c r="E569" s="79"/>
    </row>
    <row r="570" spans="1:5" ht="14.85" customHeight="1" outlineLevel="1" x14ac:dyDescent="0.25">
      <c r="A570" s="101" t="s">
        <v>1502</v>
      </c>
      <c r="B570" s="193" t="str">
        <f>"13.1319"</f>
        <v>13.1319</v>
      </c>
      <c r="C570" s="58" t="s">
        <v>2398</v>
      </c>
      <c r="D570" s="79" t="s">
        <v>2399</v>
      </c>
      <c r="E570" s="79"/>
    </row>
    <row r="571" spans="1:5" ht="14.85" customHeight="1" outlineLevel="1" x14ac:dyDescent="0.25">
      <c r="A571" s="101" t="s">
        <v>1502</v>
      </c>
      <c r="B571" s="193" t="str">
        <f>"13.1320"</f>
        <v>13.1320</v>
      </c>
      <c r="C571" s="58" t="s">
        <v>2400</v>
      </c>
      <c r="D571" s="79" t="s">
        <v>2401</v>
      </c>
      <c r="E571" s="79"/>
    </row>
    <row r="572" spans="1:5" ht="14.85" customHeight="1" outlineLevel="1" x14ac:dyDescent="0.25">
      <c r="A572" s="101" t="s">
        <v>1502</v>
      </c>
      <c r="B572" s="193" t="str">
        <f>"13.1321"</f>
        <v>13.1321</v>
      </c>
      <c r="C572" s="58" t="s">
        <v>2402</v>
      </c>
      <c r="D572" s="79" t="s">
        <v>2403</v>
      </c>
      <c r="E572" s="79"/>
    </row>
    <row r="573" spans="1:5" ht="14.85" customHeight="1" outlineLevel="1" x14ac:dyDescent="0.25">
      <c r="A573" s="101" t="s">
        <v>1502</v>
      </c>
      <c r="B573" s="193" t="str">
        <f>"13.1322"</f>
        <v>13.1322</v>
      </c>
      <c r="C573" s="58" t="s">
        <v>2404</v>
      </c>
      <c r="D573" s="79" t="s">
        <v>2405</v>
      </c>
      <c r="E573" s="79"/>
    </row>
    <row r="574" spans="1:5" ht="14.85" customHeight="1" outlineLevel="1" x14ac:dyDescent="0.25">
      <c r="A574" s="101" t="s">
        <v>1502</v>
      </c>
      <c r="B574" s="193" t="str">
        <f>"13.1323"</f>
        <v>13.1323</v>
      </c>
      <c r="C574" s="58" t="s">
        <v>2406</v>
      </c>
      <c r="D574" s="79" t="s">
        <v>2407</v>
      </c>
      <c r="E574" s="79"/>
    </row>
    <row r="575" spans="1:5" ht="14.85" customHeight="1" outlineLevel="1" x14ac:dyDescent="0.25">
      <c r="A575" s="101" t="s">
        <v>1502</v>
      </c>
      <c r="B575" s="193" t="str">
        <f>"13.1324"</f>
        <v>13.1324</v>
      </c>
      <c r="C575" s="58" t="s">
        <v>2408</v>
      </c>
      <c r="D575" s="79" t="s">
        <v>2409</v>
      </c>
      <c r="E575" s="79"/>
    </row>
    <row r="576" spans="1:5" ht="14.85" customHeight="1" outlineLevel="1" x14ac:dyDescent="0.25">
      <c r="A576" s="101" t="s">
        <v>1502</v>
      </c>
      <c r="B576" s="193" t="str">
        <f>"13.1325"</f>
        <v>13.1325</v>
      </c>
      <c r="C576" s="58" t="s">
        <v>2410</v>
      </c>
      <c r="D576" s="79" t="s">
        <v>2411</v>
      </c>
      <c r="E576" s="79"/>
    </row>
    <row r="577" spans="1:5" ht="14.85" customHeight="1" outlineLevel="1" x14ac:dyDescent="0.25">
      <c r="A577" s="101" t="s">
        <v>1502</v>
      </c>
      <c r="B577" s="193" t="str">
        <f>"13.1326"</f>
        <v>13.1326</v>
      </c>
      <c r="C577" s="58" t="s">
        <v>2412</v>
      </c>
      <c r="D577" s="79" t="s">
        <v>2413</v>
      </c>
      <c r="E577" s="79"/>
    </row>
    <row r="578" spans="1:5" ht="14.85" customHeight="1" outlineLevel="1" x14ac:dyDescent="0.25">
      <c r="A578" s="101" t="s">
        <v>1502</v>
      </c>
      <c r="B578" s="193" t="str">
        <f>"13.1327"</f>
        <v>13.1327</v>
      </c>
      <c r="C578" s="58" t="s">
        <v>2414</v>
      </c>
      <c r="D578" s="79" t="s">
        <v>2415</v>
      </c>
      <c r="E578" s="79"/>
    </row>
    <row r="579" spans="1:5" ht="14.85" customHeight="1" outlineLevel="1" x14ac:dyDescent="0.25">
      <c r="A579" s="101" t="s">
        <v>1502</v>
      </c>
      <c r="B579" s="193" t="str">
        <f>"13.1328"</f>
        <v>13.1328</v>
      </c>
      <c r="C579" s="58" t="s">
        <v>2416</v>
      </c>
      <c r="D579" s="79" t="s">
        <v>2417</v>
      </c>
      <c r="E579" s="79"/>
    </row>
    <row r="580" spans="1:5" ht="14.85" customHeight="1" outlineLevel="1" x14ac:dyDescent="0.25">
      <c r="A580" s="101" t="s">
        <v>1502</v>
      </c>
      <c r="B580" s="193" t="str">
        <f>"13.1329"</f>
        <v>13.1329</v>
      </c>
      <c r="C580" s="58" t="s">
        <v>2418</v>
      </c>
      <c r="D580" s="79" t="s">
        <v>2419</v>
      </c>
      <c r="E580" s="79"/>
    </row>
    <row r="581" spans="1:5" ht="14.85" customHeight="1" outlineLevel="1" x14ac:dyDescent="0.25">
      <c r="A581" s="101" t="s">
        <v>1502</v>
      </c>
      <c r="B581" s="193" t="str">
        <f>"13.1330"</f>
        <v>13.1330</v>
      </c>
      <c r="C581" s="58" t="s">
        <v>2420</v>
      </c>
      <c r="D581" s="79" t="s">
        <v>2421</v>
      </c>
      <c r="E581" s="79"/>
    </row>
    <row r="582" spans="1:5" ht="14.85" customHeight="1" outlineLevel="1" x14ac:dyDescent="0.25">
      <c r="A582" s="101" t="s">
        <v>1502</v>
      </c>
      <c r="B582" s="193" t="str">
        <f>"13.1331"</f>
        <v>13.1331</v>
      </c>
      <c r="C582" s="58" t="s">
        <v>2422</v>
      </c>
      <c r="D582" s="79" t="s">
        <v>2423</v>
      </c>
      <c r="E582" s="79"/>
    </row>
    <row r="583" spans="1:5" ht="14.85" customHeight="1" outlineLevel="1" x14ac:dyDescent="0.25">
      <c r="A583" s="101" t="s">
        <v>1502</v>
      </c>
      <c r="B583" s="193" t="str">
        <f>"13.1332"</f>
        <v>13.1332</v>
      </c>
      <c r="C583" s="58" t="s">
        <v>2424</v>
      </c>
      <c r="D583" s="79" t="s">
        <v>2425</v>
      </c>
      <c r="E583" s="79"/>
    </row>
    <row r="584" spans="1:5" ht="14.85" customHeight="1" outlineLevel="1" x14ac:dyDescent="0.25">
      <c r="A584" s="101" t="s">
        <v>1502</v>
      </c>
      <c r="B584" s="193" t="str">
        <f>"13.1333"</f>
        <v>13.1333</v>
      </c>
      <c r="C584" s="58" t="s">
        <v>2426</v>
      </c>
      <c r="D584" s="79" t="s">
        <v>2427</v>
      </c>
      <c r="E584" s="79"/>
    </row>
    <row r="585" spans="1:5" ht="14.85" customHeight="1" outlineLevel="1" x14ac:dyDescent="0.25">
      <c r="A585" s="101" t="s">
        <v>1502</v>
      </c>
      <c r="B585" s="193" t="str">
        <f>"13.1334"</f>
        <v>13.1334</v>
      </c>
      <c r="C585" s="58" t="s">
        <v>2428</v>
      </c>
      <c r="D585" s="79" t="s">
        <v>2429</v>
      </c>
      <c r="E585" s="79"/>
    </row>
    <row r="586" spans="1:5" ht="14.85" customHeight="1" outlineLevel="1" x14ac:dyDescent="0.25">
      <c r="A586" s="101" t="s">
        <v>1502</v>
      </c>
      <c r="B586" s="193" t="str">
        <f>"13.1335"</f>
        <v>13.1335</v>
      </c>
      <c r="C586" s="58" t="s">
        <v>2430</v>
      </c>
      <c r="D586" s="79" t="s">
        <v>2431</v>
      </c>
      <c r="E586" s="79"/>
    </row>
    <row r="587" spans="1:5" ht="14.85" customHeight="1" outlineLevel="1" x14ac:dyDescent="0.25">
      <c r="A587" s="101" t="s">
        <v>1502</v>
      </c>
      <c r="B587" s="193" t="str">
        <f>"13.1337"</f>
        <v>13.1337</v>
      </c>
      <c r="C587" s="58" t="s">
        <v>2432</v>
      </c>
      <c r="D587" s="79" t="s">
        <v>2433</v>
      </c>
      <c r="E587" s="79"/>
    </row>
    <row r="588" spans="1:5" ht="14.85" customHeight="1" outlineLevel="1" x14ac:dyDescent="0.25">
      <c r="A588" s="101" t="s">
        <v>1502</v>
      </c>
      <c r="B588" s="193" t="str">
        <f>"13.1338"</f>
        <v>13.1338</v>
      </c>
      <c r="C588" s="58" t="s">
        <v>2434</v>
      </c>
      <c r="D588" s="79" t="s">
        <v>2435</v>
      </c>
      <c r="E588" s="79"/>
    </row>
    <row r="589" spans="1:5" ht="14.85" customHeight="1" outlineLevel="1" x14ac:dyDescent="0.25">
      <c r="A589" s="101" t="s">
        <v>1502</v>
      </c>
      <c r="B589" s="193" t="str">
        <f>"13.1339"</f>
        <v>13.1339</v>
      </c>
      <c r="C589" s="58" t="s">
        <v>2436</v>
      </c>
      <c r="D589" s="79" t="s">
        <v>2437</v>
      </c>
      <c r="E589" s="79"/>
    </row>
    <row r="590" spans="1:5" ht="14.85" customHeight="1" outlineLevel="1" x14ac:dyDescent="0.25">
      <c r="A590" s="101" t="s">
        <v>1502</v>
      </c>
      <c r="B590" s="193" t="str">
        <f>"13.1399"</f>
        <v>13.1399</v>
      </c>
      <c r="C590" s="58" t="s">
        <v>2438</v>
      </c>
      <c r="D590" s="79" t="s">
        <v>2439</v>
      </c>
      <c r="E590" s="79"/>
    </row>
    <row r="591" spans="1:5" ht="14.85" customHeight="1" outlineLevel="1" x14ac:dyDescent="0.25">
      <c r="A591" s="101" t="s">
        <v>1502</v>
      </c>
      <c r="B591" s="193" t="str">
        <f>"13.14"</f>
        <v>13.14</v>
      </c>
      <c r="C591" s="58" t="s">
        <v>2440</v>
      </c>
      <c r="D591" s="79" t="s">
        <v>2441</v>
      </c>
      <c r="E591" s="79"/>
    </row>
    <row r="592" spans="1:5" ht="14.85" customHeight="1" outlineLevel="1" x14ac:dyDescent="0.25">
      <c r="A592" s="101" t="s">
        <v>1502</v>
      </c>
      <c r="B592" s="193" t="str">
        <f>"13.1401"</f>
        <v>13.1401</v>
      </c>
      <c r="C592" s="58" t="s">
        <v>2442</v>
      </c>
      <c r="D592" s="79" t="s">
        <v>2443</v>
      </c>
      <c r="E592" s="79"/>
    </row>
    <row r="593" spans="1:5" ht="14.85" customHeight="1" outlineLevel="1" x14ac:dyDescent="0.25">
      <c r="A593" s="101" t="s">
        <v>1502</v>
      </c>
      <c r="B593" s="193" t="str">
        <f>"13.1402"</f>
        <v>13.1402</v>
      </c>
      <c r="C593" s="58" t="s">
        <v>2444</v>
      </c>
      <c r="D593" s="79" t="s">
        <v>2445</v>
      </c>
      <c r="E593" s="79"/>
    </row>
    <row r="594" spans="1:5" ht="14.85" customHeight="1" outlineLevel="1" x14ac:dyDescent="0.25">
      <c r="A594" s="101" t="s">
        <v>1502</v>
      </c>
      <c r="B594" s="193" t="str">
        <f>"13.1499"</f>
        <v>13.1499</v>
      </c>
      <c r="C594" s="58" t="s">
        <v>2446</v>
      </c>
      <c r="D594" s="79" t="s">
        <v>2447</v>
      </c>
      <c r="E594" s="79"/>
    </row>
    <row r="595" spans="1:5" ht="14.85" customHeight="1" outlineLevel="1" x14ac:dyDescent="0.25">
      <c r="A595" s="101" t="s">
        <v>1502</v>
      </c>
      <c r="B595" s="193" t="str">
        <f>"13.15"</f>
        <v>13.15</v>
      </c>
      <c r="C595" s="58" t="s">
        <v>2448</v>
      </c>
      <c r="D595" s="79" t="s">
        <v>2449</v>
      </c>
      <c r="E595" s="79"/>
    </row>
    <row r="596" spans="1:5" ht="14.85" customHeight="1" outlineLevel="1" x14ac:dyDescent="0.25">
      <c r="A596" s="101" t="s">
        <v>1502</v>
      </c>
      <c r="B596" s="193" t="str">
        <f>"13.1501"</f>
        <v>13.1501</v>
      </c>
      <c r="C596" s="58" t="s">
        <v>2450</v>
      </c>
      <c r="D596" s="79" t="s">
        <v>2451</v>
      </c>
      <c r="E596" s="79"/>
    </row>
    <row r="597" spans="1:5" ht="14.85" customHeight="1" outlineLevel="1" x14ac:dyDescent="0.25">
      <c r="A597" s="101" t="s">
        <v>1502</v>
      </c>
      <c r="B597" s="193" t="str">
        <f>"13.1502"</f>
        <v>13.1502</v>
      </c>
      <c r="C597" s="58" t="s">
        <v>2452</v>
      </c>
      <c r="D597" s="79" t="s">
        <v>2453</v>
      </c>
      <c r="E597" s="79"/>
    </row>
    <row r="598" spans="1:5" ht="14.85" customHeight="1" outlineLevel="1" x14ac:dyDescent="0.25">
      <c r="A598" s="101" t="s">
        <v>1502</v>
      </c>
      <c r="B598" s="193" t="str">
        <f>"13.1599"</f>
        <v>13.1599</v>
      </c>
      <c r="C598" s="58" t="s">
        <v>2454</v>
      </c>
      <c r="D598" s="79" t="s">
        <v>2455</v>
      </c>
      <c r="E598" s="79"/>
    </row>
    <row r="599" spans="1:5" ht="14.85" customHeight="1" outlineLevel="1" x14ac:dyDescent="0.25">
      <c r="A599" s="101" t="s">
        <v>1502</v>
      </c>
      <c r="B599" s="193" t="str">
        <f>"13.99"</f>
        <v>13.99</v>
      </c>
      <c r="C599" s="58" t="s">
        <v>2456</v>
      </c>
      <c r="D599" s="79" t="s">
        <v>2457</v>
      </c>
      <c r="E599" s="79"/>
    </row>
    <row r="600" spans="1:5" ht="14.85" customHeight="1" outlineLevel="1" x14ac:dyDescent="0.25">
      <c r="A600" s="101" t="s">
        <v>1502</v>
      </c>
      <c r="B600" s="193" t="str">
        <f>"13.9999"</f>
        <v>13.9999</v>
      </c>
      <c r="C600" s="58" t="s">
        <v>2456</v>
      </c>
      <c r="D600" s="79" t="s">
        <v>2458</v>
      </c>
      <c r="E600" s="79"/>
    </row>
    <row r="601" spans="1:5" ht="14.85" customHeight="1" outlineLevel="1" x14ac:dyDescent="0.25">
      <c r="A601" s="101" t="s">
        <v>1502</v>
      </c>
      <c r="B601" s="193" t="str">
        <f>"14"</f>
        <v>14</v>
      </c>
      <c r="C601" s="58" t="s">
        <v>2459</v>
      </c>
      <c r="D601" s="79" t="s">
        <v>2460</v>
      </c>
      <c r="E601" s="79"/>
    </row>
    <row r="602" spans="1:5" ht="14.85" customHeight="1" outlineLevel="1" x14ac:dyDescent="0.25">
      <c r="A602" s="101" t="s">
        <v>1502</v>
      </c>
      <c r="B602" s="193" t="str">
        <f>"14.01"</f>
        <v>14.01</v>
      </c>
      <c r="C602" s="58" t="s">
        <v>2461</v>
      </c>
      <c r="D602" s="79" t="s">
        <v>2462</v>
      </c>
      <c r="E602" s="79"/>
    </row>
    <row r="603" spans="1:5" ht="14.85" customHeight="1" outlineLevel="1" x14ac:dyDescent="0.25">
      <c r="A603" s="101" t="s">
        <v>1502</v>
      </c>
      <c r="B603" s="193" t="str">
        <f>"14.0101"</f>
        <v>14.0101</v>
      </c>
      <c r="C603" s="58" t="s">
        <v>2461</v>
      </c>
      <c r="D603" s="79" t="s">
        <v>2463</v>
      </c>
      <c r="E603" s="79"/>
    </row>
    <row r="604" spans="1:5" ht="14.85" customHeight="1" outlineLevel="1" x14ac:dyDescent="0.25">
      <c r="A604" s="101" t="s">
        <v>1502</v>
      </c>
      <c r="B604" s="193" t="str">
        <f>"14.0102"</f>
        <v>14.0102</v>
      </c>
      <c r="C604" s="58" t="s">
        <v>2464</v>
      </c>
      <c r="D604" s="79" t="s">
        <v>2465</v>
      </c>
      <c r="E604" s="79"/>
    </row>
    <row r="605" spans="1:5" ht="14.85" customHeight="1" outlineLevel="1" x14ac:dyDescent="0.25">
      <c r="A605" s="101" t="s">
        <v>1502</v>
      </c>
      <c r="B605" s="193" t="str">
        <f>"14.0103"</f>
        <v>14.0103</v>
      </c>
      <c r="C605" s="58" t="s">
        <v>2466</v>
      </c>
      <c r="D605" s="79" t="s">
        <v>2467</v>
      </c>
      <c r="E605" s="79"/>
    </row>
    <row r="606" spans="1:5" ht="14.85" customHeight="1" outlineLevel="1" x14ac:dyDescent="0.25">
      <c r="A606" s="101" t="s">
        <v>1502</v>
      </c>
      <c r="B606" s="193" t="str">
        <f>"14.02"</f>
        <v>14.02</v>
      </c>
      <c r="C606" s="58" t="s">
        <v>2468</v>
      </c>
      <c r="D606" s="79" t="s">
        <v>2469</v>
      </c>
      <c r="E606" s="79"/>
    </row>
    <row r="607" spans="1:5" ht="14.85" customHeight="1" outlineLevel="1" x14ac:dyDescent="0.25">
      <c r="A607" s="101" t="s">
        <v>1502</v>
      </c>
      <c r="B607" s="193" t="str">
        <f>"14.0201"</f>
        <v>14.0201</v>
      </c>
      <c r="C607" s="58" t="s">
        <v>2470</v>
      </c>
      <c r="D607" s="79" t="s">
        <v>2471</v>
      </c>
      <c r="E607" s="79"/>
    </row>
    <row r="608" spans="1:5" ht="14.85" customHeight="1" outlineLevel="1" x14ac:dyDescent="0.25">
      <c r="A608" s="101" t="s">
        <v>1502</v>
      </c>
      <c r="B608" s="193" t="str">
        <f>"14.0202"</f>
        <v>14.0202</v>
      </c>
      <c r="C608" s="58" t="s">
        <v>2472</v>
      </c>
      <c r="D608" s="79" t="s">
        <v>2473</v>
      </c>
      <c r="E608" s="79"/>
    </row>
    <row r="609" spans="1:5" ht="14.85" customHeight="1" outlineLevel="1" x14ac:dyDescent="0.25">
      <c r="A609" s="101" t="s">
        <v>1502</v>
      </c>
      <c r="B609" s="193" t="str">
        <f>"14.0299"</f>
        <v>14.0299</v>
      </c>
      <c r="C609" s="58" t="s">
        <v>2474</v>
      </c>
      <c r="D609" s="79" t="s">
        <v>2475</v>
      </c>
      <c r="E609" s="79"/>
    </row>
    <row r="610" spans="1:5" ht="14.85" customHeight="1" outlineLevel="1" x14ac:dyDescent="0.25">
      <c r="A610" s="101" t="s">
        <v>1502</v>
      </c>
      <c r="B610" s="193" t="str">
        <f>"14.03"</f>
        <v>14.03</v>
      </c>
      <c r="C610" s="58" t="s">
        <v>2476</v>
      </c>
      <c r="D610" s="79" t="s">
        <v>2477</v>
      </c>
      <c r="E610" s="79"/>
    </row>
    <row r="611" spans="1:5" ht="14.85" customHeight="1" outlineLevel="1" x14ac:dyDescent="0.25">
      <c r="A611" s="101" t="s">
        <v>1502</v>
      </c>
      <c r="B611" s="193" t="str">
        <f>"14.0301"</f>
        <v>14.0301</v>
      </c>
      <c r="C611" s="58" t="s">
        <v>2476</v>
      </c>
      <c r="D611" s="79" t="s">
        <v>2478</v>
      </c>
      <c r="E611" s="79"/>
    </row>
    <row r="612" spans="1:5" ht="14.85" customHeight="1" outlineLevel="1" x14ac:dyDescent="0.25">
      <c r="A612" s="101" t="s">
        <v>1502</v>
      </c>
      <c r="B612" s="193" t="str">
        <f>"14.04"</f>
        <v>14.04</v>
      </c>
      <c r="C612" s="58" t="s">
        <v>2479</v>
      </c>
      <c r="D612" s="79" t="s">
        <v>2480</v>
      </c>
      <c r="E612" s="79"/>
    </row>
    <row r="613" spans="1:5" ht="14.85" customHeight="1" outlineLevel="1" x14ac:dyDescent="0.25">
      <c r="A613" s="101" t="s">
        <v>1502</v>
      </c>
      <c r="B613" s="193" t="str">
        <f>"14.0401"</f>
        <v>14.0401</v>
      </c>
      <c r="C613" s="58" t="s">
        <v>2479</v>
      </c>
      <c r="D613" s="79" t="s">
        <v>2481</v>
      </c>
      <c r="E613" s="79"/>
    </row>
    <row r="614" spans="1:5" ht="14.85" customHeight="1" outlineLevel="1" x14ac:dyDescent="0.25">
      <c r="A614" s="101" t="s">
        <v>1502</v>
      </c>
      <c r="B614" s="193" t="str">
        <f>"14.05"</f>
        <v>14.05</v>
      </c>
      <c r="C614" s="58" t="s">
        <v>2482</v>
      </c>
      <c r="D614" s="79" t="s">
        <v>2483</v>
      </c>
      <c r="E614" s="79"/>
    </row>
    <row r="615" spans="1:5" ht="14.85" customHeight="1" outlineLevel="1" x14ac:dyDescent="0.25">
      <c r="A615" s="101" t="s">
        <v>1502</v>
      </c>
      <c r="B615" s="193" t="str">
        <f>"14.0501"</f>
        <v>14.0501</v>
      </c>
      <c r="C615" s="58" t="s">
        <v>2484</v>
      </c>
      <c r="D615" s="79" t="s">
        <v>2485</v>
      </c>
      <c r="E615" s="79"/>
    </row>
    <row r="616" spans="1:5" ht="14.85" customHeight="1" outlineLevel="1" x14ac:dyDescent="0.25">
      <c r="A616" s="101" t="s">
        <v>1502</v>
      </c>
      <c r="B616" s="193" t="str">
        <f>"14.06"</f>
        <v>14.06</v>
      </c>
      <c r="C616" s="58" t="s">
        <v>2486</v>
      </c>
      <c r="D616" s="79" t="s">
        <v>2487</v>
      </c>
      <c r="E616" s="79"/>
    </row>
    <row r="617" spans="1:5" ht="14.85" customHeight="1" outlineLevel="1" x14ac:dyDescent="0.25">
      <c r="A617" s="101" t="s">
        <v>1502</v>
      </c>
      <c r="B617" s="193" t="str">
        <f>"14.0601"</f>
        <v>14.0601</v>
      </c>
      <c r="C617" s="58" t="s">
        <v>2486</v>
      </c>
      <c r="D617" s="79" t="s">
        <v>2488</v>
      </c>
      <c r="E617" s="79"/>
    </row>
    <row r="618" spans="1:5" ht="14.85" customHeight="1" outlineLevel="1" x14ac:dyDescent="0.25">
      <c r="A618" s="101" t="s">
        <v>1502</v>
      </c>
      <c r="B618" s="193" t="str">
        <f>"14.07"</f>
        <v>14.07</v>
      </c>
      <c r="C618" s="58" t="s">
        <v>2489</v>
      </c>
      <c r="D618" s="79" t="s">
        <v>2490</v>
      </c>
      <c r="E618" s="79"/>
    </row>
    <row r="619" spans="1:5" ht="14.85" customHeight="1" outlineLevel="1" x14ac:dyDescent="0.25">
      <c r="A619" s="101" t="s">
        <v>1502</v>
      </c>
      <c r="B619" s="193" t="str">
        <f>"14.0701"</f>
        <v>14.0701</v>
      </c>
      <c r="C619" s="58" t="s">
        <v>2489</v>
      </c>
      <c r="D619" s="79" t="s">
        <v>2491</v>
      </c>
      <c r="E619" s="79"/>
    </row>
    <row r="620" spans="1:5" ht="14.85" customHeight="1" outlineLevel="1" x14ac:dyDescent="0.25">
      <c r="A620" s="101" t="s">
        <v>1502</v>
      </c>
      <c r="B620" s="193" t="str">
        <f>"14.0702"</f>
        <v>14.0702</v>
      </c>
      <c r="C620" s="58" t="s">
        <v>2492</v>
      </c>
      <c r="D620" s="79" t="s">
        <v>2493</v>
      </c>
      <c r="E620" s="79"/>
    </row>
    <row r="621" spans="1:5" ht="14.85" customHeight="1" outlineLevel="1" x14ac:dyDescent="0.25">
      <c r="A621" s="101" t="s">
        <v>1502</v>
      </c>
      <c r="B621" s="193" t="str">
        <f>"14.0799"</f>
        <v>14.0799</v>
      </c>
      <c r="C621" s="58" t="s">
        <v>2494</v>
      </c>
      <c r="D621" s="79" t="s">
        <v>2495</v>
      </c>
      <c r="E621" s="79"/>
    </row>
    <row r="622" spans="1:5" ht="14.85" customHeight="1" outlineLevel="1" x14ac:dyDescent="0.25">
      <c r="A622" s="101" t="s">
        <v>1502</v>
      </c>
      <c r="B622" s="193" t="str">
        <f>"14.08"</f>
        <v>14.08</v>
      </c>
      <c r="C622" s="58" t="s">
        <v>2496</v>
      </c>
      <c r="D622" s="79" t="s">
        <v>2497</v>
      </c>
      <c r="E622" s="79"/>
    </row>
    <row r="623" spans="1:5" ht="14.85" customHeight="1" outlineLevel="1" x14ac:dyDescent="0.25">
      <c r="A623" s="101" t="s">
        <v>1502</v>
      </c>
      <c r="B623" s="193" t="str">
        <f>"14.0801"</f>
        <v>14.0801</v>
      </c>
      <c r="C623" s="58" t="s">
        <v>2498</v>
      </c>
      <c r="D623" s="79" t="s">
        <v>2499</v>
      </c>
      <c r="E623" s="79"/>
    </row>
    <row r="624" spans="1:5" ht="14.85" customHeight="1" outlineLevel="1" x14ac:dyDescent="0.25">
      <c r="A624" s="101" t="s">
        <v>1502</v>
      </c>
      <c r="B624" s="193" t="str">
        <f>"14.0802"</f>
        <v>14.0802</v>
      </c>
      <c r="C624" s="58" t="s">
        <v>2500</v>
      </c>
      <c r="D624" s="79" t="s">
        <v>2501</v>
      </c>
      <c r="E624" s="79"/>
    </row>
    <row r="625" spans="1:5" ht="14.85" customHeight="1" outlineLevel="1" x14ac:dyDescent="0.25">
      <c r="A625" s="101" t="s">
        <v>1502</v>
      </c>
      <c r="B625" s="193" t="str">
        <f>"14.0803"</f>
        <v>14.0803</v>
      </c>
      <c r="C625" s="58" t="s">
        <v>2502</v>
      </c>
      <c r="D625" s="79" t="s">
        <v>2503</v>
      </c>
      <c r="E625" s="79"/>
    </row>
    <row r="626" spans="1:5" ht="14.85" customHeight="1" outlineLevel="1" x14ac:dyDescent="0.25">
      <c r="A626" s="101" t="s">
        <v>1502</v>
      </c>
      <c r="B626" s="193" t="str">
        <f>"14.0804"</f>
        <v>14.0804</v>
      </c>
      <c r="C626" s="58" t="s">
        <v>2504</v>
      </c>
      <c r="D626" s="79" t="s">
        <v>2505</v>
      </c>
      <c r="E626" s="79"/>
    </row>
    <row r="627" spans="1:5" ht="14.85" customHeight="1" outlineLevel="1" x14ac:dyDescent="0.25">
      <c r="A627" s="101" t="s">
        <v>1502</v>
      </c>
      <c r="B627" s="193" t="str">
        <f>"14.0805"</f>
        <v>14.0805</v>
      </c>
      <c r="C627" s="58" t="s">
        <v>2506</v>
      </c>
      <c r="D627" s="79" t="s">
        <v>2507</v>
      </c>
      <c r="E627" s="79"/>
    </row>
    <row r="628" spans="1:5" ht="14.85" customHeight="1" outlineLevel="1" x14ac:dyDescent="0.25">
      <c r="A628" s="101" t="s">
        <v>1502</v>
      </c>
      <c r="B628" s="193" t="str">
        <f>"14.0899"</f>
        <v>14.0899</v>
      </c>
      <c r="C628" s="58" t="s">
        <v>2508</v>
      </c>
      <c r="D628" s="79" t="s">
        <v>2509</v>
      </c>
      <c r="E628" s="79"/>
    </row>
    <row r="629" spans="1:5" ht="14.85" customHeight="1" outlineLevel="1" x14ac:dyDescent="0.25">
      <c r="A629" s="101" t="s">
        <v>1502</v>
      </c>
      <c r="B629" s="193" t="str">
        <f>"14.09"</f>
        <v>14.09</v>
      </c>
      <c r="C629" s="58" t="s">
        <v>2510</v>
      </c>
      <c r="D629" s="79" t="s">
        <v>2511</v>
      </c>
      <c r="E629" s="79"/>
    </row>
    <row r="630" spans="1:5" ht="14.85" customHeight="1" outlineLevel="1" x14ac:dyDescent="0.25">
      <c r="A630" s="101" t="s">
        <v>1502</v>
      </c>
      <c r="B630" s="193" t="str">
        <f>"14.0901"</f>
        <v>14.0901</v>
      </c>
      <c r="C630" s="58" t="s">
        <v>2512</v>
      </c>
      <c r="D630" s="79" t="s">
        <v>2513</v>
      </c>
      <c r="E630" s="79"/>
    </row>
    <row r="631" spans="1:5" ht="14.85" customHeight="1" outlineLevel="1" x14ac:dyDescent="0.25">
      <c r="A631" s="101" t="s">
        <v>1502</v>
      </c>
      <c r="B631" s="193" t="str">
        <f>"14.0902"</f>
        <v>14.0902</v>
      </c>
      <c r="C631" s="58" t="s">
        <v>2514</v>
      </c>
      <c r="D631" s="79" t="s">
        <v>2515</v>
      </c>
      <c r="E631" s="79"/>
    </row>
    <row r="632" spans="1:5" ht="14.85" customHeight="1" outlineLevel="1" x14ac:dyDescent="0.25">
      <c r="A632" s="101" t="s">
        <v>1502</v>
      </c>
      <c r="B632" s="193" t="str">
        <f>"14.0903"</f>
        <v>14.0903</v>
      </c>
      <c r="C632" s="58" t="s">
        <v>2516</v>
      </c>
      <c r="D632" s="79" t="s">
        <v>2517</v>
      </c>
      <c r="E632" s="79"/>
    </row>
    <row r="633" spans="1:5" ht="14.85" customHeight="1" outlineLevel="1" x14ac:dyDescent="0.25">
      <c r="A633" s="101" t="s">
        <v>1502</v>
      </c>
      <c r="B633" s="193" t="str">
        <f>"14.0999"</f>
        <v>14.0999</v>
      </c>
      <c r="C633" s="58" t="s">
        <v>2518</v>
      </c>
      <c r="D633" s="79" t="s">
        <v>2519</v>
      </c>
      <c r="E633" s="79"/>
    </row>
    <row r="634" spans="1:5" ht="14.85" customHeight="1" outlineLevel="1" x14ac:dyDescent="0.25">
      <c r="A634" s="101" t="s">
        <v>1502</v>
      </c>
      <c r="B634" s="193" t="str">
        <f>"14.10"</f>
        <v>14.10</v>
      </c>
      <c r="C634" s="58" t="s">
        <v>2520</v>
      </c>
      <c r="D634" s="79" t="s">
        <v>2521</v>
      </c>
      <c r="E634" s="79"/>
    </row>
    <row r="635" spans="1:5" ht="14.85" customHeight="1" outlineLevel="1" x14ac:dyDescent="0.25">
      <c r="A635" s="101" t="s">
        <v>1502</v>
      </c>
      <c r="B635" s="193" t="str">
        <f>"14.1001"</f>
        <v>14.1001</v>
      </c>
      <c r="C635" s="58" t="s">
        <v>2522</v>
      </c>
      <c r="D635" s="79" t="s">
        <v>2523</v>
      </c>
      <c r="E635" s="79"/>
    </row>
    <row r="636" spans="1:5" ht="14.85" customHeight="1" outlineLevel="1" x14ac:dyDescent="0.25">
      <c r="A636" s="101" t="s">
        <v>1502</v>
      </c>
      <c r="B636" s="193" t="str">
        <f>"14.1003"</f>
        <v>14.1003</v>
      </c>
      <c r="C636" s="58" t="s">
        <v>2524</v>
      </c>
      <c r="D636" s="79" t="s">
        <v>2525</v>
      </c>
      <c r="E636" s="79"/>
    </row>
    <row r="637" spans="1:5" ht="14.85" customHeight="1" outlineLevel="1" x14ac:dyDescent="0.25">
      <c r="A637" s="101" t="s">
        <v>1502</v>
      </c>
      <c r="B637" s="193" t="str">
        <f>"14.1004"</f>
        <v>14.1004</v>
      </c>
      <c r="C637" s="58" t="s">
        <v>2526</v>
      </c>
      <c r="D637" s="79" t="s">
        <v>2527</v>
      </c>
      <c r="E637" s="79"/>
    </row>
    <row r="638" spans="1:5" ht="14.85" customHeight="1" outlineLevel="1" x14ac:dyDescent="0.25">
      <c r="A638" s="101" t="s">
        <v>1502</v>
      </c>
      <c r="B638" s="193" t="str">
        <f>"14.1099"</f>
        <v>14.1099</v>
      </c>
      <c r="C638" s="58" t="s">
        <v>2528</v>
      </c>
      <c r="D638" s="79" t="s">
        <v>2529</v>
      </c>
      <c r="E638" s="79"/>
    </row>
    <row r="639" spans="1:5" ht="14.85" customHeight="1" outlineLevel="1" x14ac:dyDescent="0.25">
      <c r="A639" s="101" t="s">
        <v>1502</v>
      </c>
      <c r="B639" s="193" t="str">
        <f>"14.11"</f>
        <v>14.11</v>
      </c>
      <c r="C639" s="58" t="s">
        <v>2530</v>
      </c>
      <c r="D639" s="79" t="s">
        <v>2531</v>
      </c>
      <c r="E639" s="79"/>
    </row>
    <row r="640" spans="1:5" ht="14.85" customHeight="1" outlineLevel="1" x14ac:dyDescent="0.25">
      <c r="A640" s="101" t="s">
        <v>1502</v>
      </c>
      <c r="B640" s="193" t="str">
        <f>"14.1101"</f>
        <v>14.1101</v>
      </c>
      <c r="C640" s="58" t="s">
        <v>2530</v>
      </c>
      <c r="D640" s="79" t="s">
        <v>2532</v>
      </c>
      <c r="E640" s="79"/>
    </row>
    <row r="641" spans="1:5" ht="14.85" customHeight="1" outlineLevel="1" x14ac:dyDescent="0.25">
      <c r="A641" s="101" t="s">
        <v>1502</v>
      </c>
      <c r="B641" s="193" t="str">
        <f>"14.12"</f>
        <v>14.12</v>
      </c>
      <c r="C641" s="58" t="s">
        <v>2533</v>
      </c>
      <c r="D641" s="79" t="s">
        <v>2534</v>
      </c>
      <c r="E641" s="79"/>
    </row>
    <row r="642" spans="1:5" ht="14.85" customHeight="1" outlineLevel="1" x14ac:dyDescent="0.25">
      <c r="A642" s="101" t="s">
        <v>1502</v>
      </c>
      <c r="B642" s="193" t="str">
        <f>"14.1201"</f>
        <v>14.1201</v>
      </c>
      <c r="C642" s="58" t="s">
        <v>2535</v>
      </c>
      <c r="D642" s="79" t="s">
        <v>2536</v>
      </c>
      <c r="E642" s="79"/>
    </row>
    <row r="643" spans="1:5" ht="14.85" customHeight="1" outlineLevel="1" x14ac:dyDescent="0.25">
      <c r="A643" s="101" t="s">
        <v>1502</v>
      </c>
      <c r="B643" s="193" t="str">
        <f>"14.13"</f>
        <v>14.13</v>
      </c>
      <c r="C643" s="58" t="s">
        <v>2537</v>
      </c>
      <c r="D643" s="79" t="s">
        <v>2538</v>
      </c>
      <c r="E643" s="79"/>
    </row>
    <row r="644" spans="1:5" ht="14.85" customHeight="1" outlineLevel="1" x14ac:dyDescent="0.25">
      <c r="A644" s="101" t="s">
        <v>1502</v>
      </c>
      <c r="B644" s="193" t="str">
        <f>"14.1301"</f>
        <v>14.1301</v>
      </c>
      <c r="C644" s="58" t="s">
        <v>2537</v>
      </c>
      <c r="D644" s="79" t="s">
        <v>2539</v>
      </c>
      <c r="E644" s="79"/>
    </row>
    <row r="645" spans="1:5" ht="14.85" customHeight="1" outlineLevel="1" x14ac:dyDescent="0.25">
      <c r="A645" s="101" t="s">
        <v>1502</v>
      </c>
      <c r="B645" s="193" t="str">
        <f>"14.14"</f>
        <v>14.14</v>
      </c>
      <c r="C645" s="58" t="s">
        <v>2540</v>
      </c>
      <c r="D645" s="79" t="s">
        <v>2541</v>
      </c>
      <c r="E645" s="79"/>
    </row>
    <row r="646" spans="1:5" ht="14.85" customHeight="1" outlineLevel="1" x14ac:dyDescent="0.25">
      <c r="A646" s="101" t="s">
        <v>1502</v>
      </c>
      <c r="B646" s="193" t="str">
        <f>"14.1401"</f>
        <v>14.1401</v>
      </c>
      <c r="C646" s="58" t="s">
        <v>2540</v>
      </c>
      <c r="D646" s="79" t="s">
        <v>2542</v>
      </c>
      <c r="E646" s="79"/>
    </row>
    <row r="647" spans="1:5" ht="14.85" customHeight="1" outlineLevel="1" x14ac:dyDescent="0.25">
      <c r="A647" s="101" t="s">
        <v>1502</v>
      </c>
      <c r="B647" s="193" t="str">
        <f>"14.18"</f>
        <v>14.18</v>
      </c>
      <c r="C647" s="58" t="s">
        <v>2543</v>
      </c>
      <c r="D647" s="79" t="s">
        <v>2544</v>
      </c>
      <c r="E647" s="79"/>
    </row>
    <row r="648" spans="1:5" ht="14.85" customHeight="1" outlineLevel="1" x14ac:dyDescent="0.25">
      <c r="A648" s="101" t="s">
        <v>1502</v>
      </c>
      <c r="B648" s="193" t="str">
        <f>"14.1801"</f>
        <v>14.1801</v>
      </c>
      <c r="C648" s="58" t="s">
        <v>2543</v>
      </c>
      <c r="D648" s="79" t="s">
        <v>2545</v>
      </c>
      <c r="E648" s="79"/>
    </row>
    <row r="649" spans="1:5" ht="14.85" customHeight="1" outlineLevel="1" x14ac:dyDescent="0.25">
      <c r="A649" s="101" t="s">
        <v>1502</v>
      </c>
      <c r="B649" s="193" t="str">
        <f>"14.19"</f>
        <v>14.19</v>
      </c>
      <c r="C649" s="58" t="s">
        <v>2546</v>
      </c>
      <c r="D649" s="79" t="s">
        <v>2547</v>
      </c>
      <c r="E649" s="79"/>
    </row>
    <row r="650" spans="1:5" ht="14.85" customHeight="1" outlineLevel="1" x14ac:dyDescent="0.25">
      <c r="A650" s="101" t="s">
        <v>1502</v>
      </c>
      <c r="B650" s="193" t="str">
        <f>"14.1901"</f>
        <v>14.1901</v>
      </c>
      <c r="C650" s="58" t="s">
        <v>2546</v>
      </c>
      <c r="D650" s="79" t="s">
        <v>2548</v>
      </c>
      <c r="E650" s="79"/>
    </row>
    <row r="651" spans="1:5" ht="14.85" customHeight="1" outlineLevel="1" x14ac:dyDescent="0.25">
      <c r="A651" s="101" t="s">
        <v>1502</v>
      </c>
      <c r="B651" s="193" t="str">
        <f>"14.20"</f>
        <v>14.20</v>
      </c>
      <c r="C651" s="58" t="s">
        <v>2549</v>
      </c>
      <c r="D651" s="79" t="s">
        <v>2550</v>
      </c>
      <c r="E651" s="79"/>
    </row>
    <row r="652" spans="1:5" ht="14.85" customHeight="1" outlineLevel="1" x14ac:dyDescent="0.25">
      <c r="A652" s="101" t="s">
        <v>1502</v>
      </c>
      <c r="B652" s="193" t="str">
        <f>"14.2001"</f>
        <v>14.2001</v>
      </c>
      <c r="C652" s="58" t="s">
        <v>2549</v>
      </c>
      <c r="D652" s="79" t="s">
        <v>2551</v>
      </c>
      <c r="E652" s="79"/>
    </row>
    <row r="653" spans="1:5" ht="14.85" customHeight="1" outlineLevel="1" x14ac:dyDescent="0.25">
      <c r="A653" s="101" t="s">
        <v>1502</v>
      </c>
      <c r="B653" s="193" t="str">
        <f>"14.21"</f>
        <v>14.21</v>
      </c>
      <c r="C653" s="58" t="s">
        <v>2552</v>
      </c>
      <c r="D653" s="79" t="s">
        <v>2553</v>
      </c>
      <c r="E653" s="79"/>
    </row>
    <row r="654" spans="1:5" ht="14.85" customHeight="1" outlineLevel="1" x14ac:dyDescent="0.25">
      <c r="A654" s="101" t="s">
        <v>1502</v>
      </c>
      <c r="B654" s="193" t="str">
        <f>"14.2101"</f>
        <v>14.2101</v>
      </c>
      <c r="C654" s="58" t="s">
        <v>2552</v>
      </c>
      <c r="D654" s="79" t="s">
        <v>2554</v>
      </c>
      <c r="E654" s="79"/>
    </row>
    <row r="655" spans="1:5" ht="14.85" customHeight="1" outlineLevel="1" x14ac:dyDescent="0.25">
      <c r="A655" s="101" t="s">
        <v>1502</v>
      </c>
      <c r="B655" s="193" t="str">
        <f>"14.22"</f>
        <v>14.22</v>
      </c>
      <c r="C655" s="58" t="s">
        <v>2555</v>
      </c>
      <c r="D655" s="79" t="s">
        <v>2556</v>
      </c>
      <c r="E655" s="79"/>
    </row>
    <row r="656" spans="1:5" ht="14.85" customHeight="1" outlineLevel="1" x14ac:dyDescent="0.25">
      <c r="A656" s="101" t="s">
        <v>1502</v>
      </c>
      <c r="B656" s="193" t="str">
        <f>"14.2201"</f>
        <v>14.2201</v>
      </c>
      <c r="C656" s="58" t="s">
        <v>2555</v>
      </c>
      <c r="D656" s="79" t="s">
        <v>2557</v>
      </c>
      <c r="E656" s="79"/>
    </row>
    <row r="657" spans="1:5" ht="14.85" customHeight="1" outlineLevel="1" x14ac:dyDescent="0.25">
      <c r="A657" s="101" t="s">
        <v>1502</v>
      </c>
      <c r="B657" s="193" t="str">
        <f>"14.23"</f>
        <v>14.23</v>
      </c>
      <c r="C657" s="58" t="s">
        <v>2558</v>
      </c>
      <c r="D657" s="79" t="s">
        <v>2559</v>
      </c>
      <c r="E657" s="79"/>
    </row>
    <row r="658" spans="1:5" ht="14.85" customHeight="1" outlineLevel="1" x14ac:dyDescent="0.25">
      <c r="A658" s="101" t="s">
        <v>1502</v>
      </c>
      <c r="B658" s="193" t="str">
        <f>"14.2301"</f>
        <v>14.2301</v>
      </c>
      <c r="C658" s="58" t="s">
        <v>2558</v>
      </c>
      <c r="D658" s="79" t="s">
        <v>2560</v>
      </c>
      <c r="E658" s="79"/>
    </row>
    <row r="659" spans="1:5" ht="14.85" customHeight="1" outlineLevel="1" x14ac:dyDescent="0.25">
      <c r="A659" s="101" t="s">
        <v>1502</v>
      </c>
      <c r="B659" s="193" t="str">
        <f>"14.24"</f>
        <v>14.24</v>
      </c>
      <c r="C659" s="58" t="s">
        <v>2561</v>
      </c>
      <c r="D659" s="79" t="s">
        <v>2562</v>
      </c>
      <c r="E659" s="79"/>
    </row>
    <row r="660" spans="1:5" ht="14.85" customHeight="1" outlineLevel="1" x14ac:dyDescent="0.25">
      <c r="A660" s="101" t="s">
        <v>1502</v>
      </c>
      <c r="B660" s="193" t="str">
        <f>"14.2401"</f>
        <v>14.2401</v>
      </c>
      <c r="C660" s="58" t="s">
        <v>2561</v>
      </c>
      <c r="D660" s="79" t="s">
        <v>2563</v>
      </c>
      <c r="E660" s="79"/>
    </row>
    <row r="661" spans="1:5" ht="14.85" customHeight="1" outlineLevel="1" x14ac:dyDescent="0.25">
      <c r="A661" s="101" t="s">
        <v>1502</v>
      </c>
      <c r="B661" s="193" t="str">
        <f>"14.25"</f>
        <v>14.25</v>
      </c>
      <c r="C661" s="58" t="s">
        <v>2564</v>
      </c>
      <c r="D661" s="79" t="s">
        <v>2565</v>
      </c>
      <c r="E661" s="79"/>
    </row>
    <row r="662" spans="1:5" ht="14.85" customHeight="1" outlineLevel="1" x14ac:dyDescent="0.25">
      <c r="A662" s="101" t="s">
        <v>1502</v>
      </c>
      <c r="B662" s="193" t="str">
        <f>"14.2501"</f>
        <v>14.2501</v>
      </c>
      <c r="C662" s="58" t="s">
        <v>2564</v>
      </c>
      <c r="D662" s="79" t="s">
        <v>2566</v>
      </c>
      <c r="E662" s="79"/>
    </row>
    <row r="663" spans="1:5" ht="14.85" customHeight="1" outlineLevel="1" x14ac:dyDescent="0.25">
      <c r="A663" s="101" t="s">
        <v>1502</v>
      </c>
      <c r="B663" s="193" t="str">
        <f>"14.27"</f>
        <v>14.27</v>
      </c>
      <c r="C663" s="58" t="s">
        <v>2567</v>
      </c>
      <c r="D663" s="79" t="s">
        <v>2568</v>
      </c>
      <c r="E663" s="79"/>
    </row>
    <row r="664" spans="1:5" ht="14.85" customHeight="1" outlineLevel="1" x14ac:dyDescent="0.25">
      <c r="A664" s="101" t="s">
        <v>1502</v>
      </c>
      <c r="B664" s="193" t="str">
        <f>"14.2701"</f>
        <v>14.2701</v>
      </c>
      <c r="C664" s="58" t="s">
        <v>2567</v>
      </c>
      <c r="D664" s="79" t="s">
        <v>2569</v>
      </c>
      <c r="E664" s="79"/>
    </row>
    <row r="665" spans="1:5" ht="14.85" customHeight="1" outlineLevel="1" x14ac:dyDescent="0.25">
      <c r="A665" s="101" t="s">
        <v>1502</v>
      </c>
      <c r="B665" s="193" t="str">
        <f>"14.28"</f>
        <v>14.28</v>
      </c>
      <c r="C665" s="58" t="s">
        <v>2570</v>
      </c>
      <c r="D665" s="79" t="s">
        <v>2571</v>
      </c>
      <c r="E665" s="79"/>
    </row>
    <row r="666" spans="1:5" ht="14.85" customHeight="1" outlineLevel="1" x14ac:dyDescent="0.25">
      <c r="A666" s="101" t="s">
        <v>1502</v>
      </c>
      <c r="B666" s="193" t="str">
        <f>"14.2801"</f>
        <v>14.2801</v>
      </c>
      <c r="C666" s="58" t="s">
        <v>2570</v>
      </c>
      <c r="D666" s="79" t="s">
        <v>2572</v>
      </c>
      <c r="E666" s="79"/>
    </row>
    <row r="667" spans="1:5" ht="14.85" customHeight="1" outlineLevel="1" x14ac:dyDescent="0.25">
      <c r="A667" s="101" t="s">
        <v>1502</v>
      </c>
      <c r="B667" s="193" t="str">
        <f>"14.32"</f>
        <v>14.32</v>
      </c>
      <c r="C667" s="58" t="s">
        <v>2573</v>
      </c>
      <c r="D667" s="79" t="s">
        <v>2574</v>
      </c>
      <c r="E667" s="79"/>
    </row>
    <row r="668" spans="1:5" ht="14.85" customHeight="1" outlineLevel="1" x14ac:dyDescent="0.25">
      <c r="A668" s="101" t="s">
        <v>1502</v>
      </c>
      <c r="B668" s="193" t="str">
        <f>"14.3201"</f>
        <v>14.3201</v>
      </c>
      <c r="C668" s="58" t="s">
        <v>2573</v>
      </c>
      <c r="D668" s="79" t="s">
        <v>2575</v>
      </c>
      <c r="E668" s="79"/>
    </row>
    <row r="669" spans="1:5" ht="14.85" customHeight="1" outlineLevel="1" x14ac:dyDescent="0.25">
      <c r="A669" s="101" t="s">
        <v>1502</v>
      </c>
      <c r="B669" s="193" t="str">
        <f>"14.33"</f>
        <v>14.33</v>
      </c>
      <c r="C669" s="58" t="s">
        <v>2576</v>
      </c>
      <c r="D669" s="79" t="s">
        <v>2577</v>
      </c>
      <c r="E669" s="79"/>
    </row>
    <row r="670" spans="1:5" ht="14.85" customHeight="1" outlineLevel="1" x14ac:dyDescent="0.25">
      <c r="A670" s="101" t="s">
        <v>1502</v>
      </c>
      <c r="B670" s="193" t="str">
        <f>"14.3301"</f>
        <v>14.3301</v>
      </c>
      <c r="C670" s="58" t="s">
        <v>2576</v>
      </c>
      <c r="D670" s="79" t="s">
        <v>2578</v>
      </c>
      <c r="E670" s="79"/>
    </row>
    <row r="671" spans="1:5" ht="14.85" customHeight="1" outlineLevel="1" x14ac:dyDescent="0.25">
      <c r="A671" s="101" t="s">
        <v>1502</v>
      </c>
      <c r="B671" s="193" t="str">
        <f>"14.34"</f>
        <v>14.34</v>
      </c>
      <c r="C671" s="58" t="s">
        <v>2579</v>
      </c>
      <c r="D671" s="79" t="s">
        <v>2580</v>
      </c>
      <c r="E671" s="79"/>
    </row>
    <row r="672" spans="1:5" ht="14.85" customHeight="1" outlineLevel="1" x14ac:dyDescent="0.25">
      <c r="A672" s="101" t="s">
        <v>1502</v>
      </c>
      <c r="B672" s="193" t="str">
        <f>"14.3401"</f>
        <v>14.3401</v>
      </c>
      <c r="C672" s="58" t="s">
        <v>2579</v>
      </c>
      <c r="D672" s="79" t="s">
        <v>2581</v>
      </c>
      <c r="E672" s="79"/>
    </row>
    <row r="673" spans="1:5" ht="14.85" customHeight="1" outlineLevel="1" x14ac:dyDescent="0.25">
      <c r="A673" s="101" t="s">
        <v>1502</v>
      </c>
      <c r="B673" s="193" t="str">
        <f>"14.35"</f>
        <v>14.35</v>
      </c>
      <c r="C673" s="58" t="s">
        <v>2582</v>
      </c>
      <c r="D673" s="79" t="s">
        <v>2583</v>
      </c>
      <c r="E673" s="79"/>
    </row>
    <row r="674" spans="1:5" ht="14.85" customHeight="1" outlineLevel="1" x14ac:dyDescent="0.25">
      <c r="A674" s="101" t="s">
        <v>1502</v>
      </c>
      <c r="B674" s="193" t="str">
        <f>"14.3501"</f>
        <v>14.3501</v>
      </c>
      <c r="C674" s="58" t="s">
        <v>2582</v>
      </c>
      <c r="D674" s="79" t="s">
        <v>2584</v>
      </c>
      <c r="E674" s="79"/>
    </row>
    <row r="675" spans="1:5" ht="14.85" customHeight="1" outlineLevel="1" x14ac:dyDescent="0.25">
      <c r="A675" s="101" t="s">
        <v>1502</v>
      </c>
      <c r="B675" s="193" t="str">
        <f>"14.36"</f>
        <v>14.36</v>
      </c>
      <c r="C675" s="58" t="s">
        <v>2585</v>
      </c>
      <c r="D675" s="79" t="s">
        <v>2586</v>
      </c>
      <c r="E675" s="79"/>
    </row>
    <row r="676" spans="1:5" ht="14.85" customHeight="1" outlineLevel="1" x14ac:dyDescent="0.25">
      <c r="A676" s="101" t="s">
        <v>1502</v>
      </c>
      <c r="B676" s="193" t="str">
        <f>"14.3601"</f>
        <v>14.3601</v>
      </c>
      <c r="C676" s="58" t="s">
        <v>2585</v>
      </c>
      <c r="D676" s="79" t="s">
        <v>2587</v>
      </c>
      <c r="E676" s="79"/>
    </row>
    <row r="677" spans="1:5" ht="14.85" customHeight="1" outlineLevel="1" x14ac:dyDescent="0.25">
      <c r="A677" s="101" t="s">
        <v>1502</v>
      </c>
      <c r="B677" s="193" t="str">
        <f>"14.37"</f>
        <v>14.37</v>
      </c>
      <c r="C677" s="58" t="s">
        <v>2588</v>
      </c>
      <c r="D677" s="79" t="s">
        <v>2589</v>
      </c>
      <c r="E677" s="79"/>
    </row>
    <row r="678" spans="1:5" ht="14.85" customHeight="1" outlineLevel="1" x14ac:dyDescent="0.25">
      <c r="A678" s="101" t="s">
        <v>1502</v>
      </c>
      <c r="B678" s="193" t="str">
        <f>"14.3701"</f>
        <v>14.3701</v>
      </c>
      <c r="C678" s="58" t="s">
        <v>2588</v>
      </c>
      <c r="D678" s="79" t="s">
        <v>2590</v>
      </c>
      <c r="E678" s="79"/>
    </row>
    <row r="679" spans="1:5" ht="14.85" customHeight="1" outlineLevel="1" x14ac:dyDescent="0.25">
      <c r="A679" s="101" t="s">
        <v>1502</v>
      </c>
      <c r="B679" s="193" t="str">
        <f>"14.38"</f>
        <v>14.38</v>
      </c>
      <c r="C679" s="58" t="s">
        <v>2591</v>
      </c>
      <c r="D679" s="79" t="s">
        <v>2592</v>
      </c>
      <c r="E679" s="79"/>
    </row>
    <row r="680" spans="1:5" ht="14.85" customHeight="1" outlineLevel="1" x14ac:dyDescent="0.25">
      <c r="A680" s="101" t="s">
        <v>1502</v>
      </c>
      <c r="B680" s="193" t="str">
        <f>"14.3801"</f>
        <v>14.3801</v>
      </c>
      <c r="C680" s="58" t="s">
        <v>2591</v>
      </c>
      <c r="D680" s="79" t="s">
        <v>2593</v>
      </c>
      <c r="E680" s="79"/>
    </row>
    <row r="681" spans="1:5" ht="14.85" customHeight="1" outlineLevel="1" x14ac:dyDescent="0.25">
      <c r="A681" s="101" t="s">
        <v>1502</v>
      </c>
      <c r="B681" s="193" t="str">
        <f>"14.39"</f>
        <v>14.39</v>
      </c>
      <c r="C681" s="58" t="s">
        <v>2594</v>
      </c>
      <c r="D681" s="79" t="s">
        <v>2595</v>
      </c>
      <c r="E681" s="79"/>
    </row>
    <row r="682" spans="1:5" ht="14.85" customHeight="1" outlineLevel="1" x14ac:dyDescent="0.25">
      <c r="A682" s="101" t="s">
        <v>1502</v>
      </c>
      <c r="B682" s="193" t="str">
        <f>"14.3901"</f>
        <v>14.3901</v>
      </c>
      <c r="C682" s="58" t="s">
        <v>2594</v>
      </c>
      <c r="D682" s="79" t="s">
        <v>2596</v>
      </c>
      <c r="E682" s="79"/>
    </row>
    <row r="683" spans="1:5" ht="14.85" customHeight="1" outlineLevel="1" x14ac:dyDescent="0.25">
      <c r="A683" s="101" t="s">
        <v>1502</v>
      </c>
      <c r="B683" s="193" t="str">
        <f>"14.40"</f>
        <v>14.40</v>
      </c>
      <c r="C683" s="58" t="s">
        <v>2597</v>
      </c>
      <c r="D683" s="79" t="s">
        <v>2598</v>
      </c>
      <c r="E683" s="79"/>
    </row>
    <row r="684" spans="1:5" ht="14.85" customHeight="1" outlineLevel="1" x14ac:dyDescent="0.25">
      <c r="A684" s="101" t="s">
        <v>1502</v>
      </c>
      <c r="B684" s="193" t="str">
        <f>"14.4001"</f>
        <v>14.4001</v>
      </c>
      <c r="C684" s="58" t="s">
        <v>2597</v>
      </c>
      <c r="D684" s="79" t="s">
        <v>2599</v>
      </c>
      <c r="E684" s="79"/>
    </row>
    <row r="685" spans="1:5" ht="14.85" customHeight="1" outlineLevel="1" x14ac:dyDescent="0.25">
      <c r="A685" s="101" t="s">
        <v>1502</v>
      </c>
      <c r="B685" s="193" t="str">
        <f>"14.41"</f>
        <v>14.41</v>
      </c>
      <c r="C685" s="58" t="s">
        <v>2600</v>
      </c>
      <c r="D685" s="79" t="s">
        <v>2601</v>
      </c>
      <c r="E685" s="79"/>
    </row>
    <row r="686" spans="1:5" ht="14.85" customHeight="1" outlineLevel="1" x14ac:dyDescent="0.25">
      <c r="A686" s="101" t="s">
        <v>1502</v>
      </c>
      <c r="B686" s="193" t="str">
        <f>"14.4101"</f>
        <v>14.4101</v>
      </c>
      <c r="C686" s="58" t="s">
        <v>2600</v>
      </c>
      <c r="D686" s="79" t="s">
        <v>2602</v>
      </c>
      <c r="E686" s="79"/>
    </row>
    <row r="687" spans="1:5" ht="14.85" customHeight="1" outlineLevel="1" x14ac:dyDescent="0.25">
      <c r="A687" s="101" t="s">
        <v>1502</v>
      </c>
      <c r="B687" s="193" t="str">
        <f>"14.42"</f>
        <v>14.42</v>
      </c>
      <c r="C687" s="58" t="s">
        <v>2603</v>
      </c>
      <c r="D687" s="79" t="s">
        <v>2604</v>
      </c>
      <c r="E687" s="79"/>
    </row>
    <row r="688" spans="1:5" ht="14.85" customHeight="1" outlineLevel="1" x14ac:dyDescent="0.25">
      <c r="A688" s="101" t="s">
        <v>1502</v>
      </c>
      <c r="B688" s="193" t="str">
        <f>"14.4201"</f>
        <v>14.4201</v>
      </c>
      <c r="C688" s="58" t="s">
        <v>2603</v>
      </c>
      <c r="D688" s="79" t="s">
        <v>2605</v>
      </c>
      <c r="E688" s="79"/>
    </row>
    <row r="689" spans="1:5" ht="14.85" customHeight="1" outlineLevel="1" x14ac:dyDescent="0.25">
      <c r="A689" s="101" t="s">
        <v>1502</v>
      </c>
      <c r="B689" s="193" t="str">
        <f>"14.43"</f>
        <v>14.43</v>
      </c>
      <c r="C689" s="58" t="s">
        <v>2606</v>
      </c>
      <c r="D689" s="79" t="s">
        <v>2607</v>
      </c>
      <c r="E689" s="79"/>
    </row>
    <row r="690" spans="1:5" ht="14.85" customHeight="1" outlineLevel="1" x14ac:dyDescent="0.25">
      <c r="A690" s="101" t="s">
        <v>1502</v>
      </c>
      <c r="B690" s="193" t="str">
        <f>"14.4301"</f>
        <v>14.4301</v>
      </c>
      <c r="C690" s="58" t="s">
        <v>2606</v>
      </c>
      <c r="D690" s="79" t="s">
        <v>2608</v>
      </c>
      <c r="E690" s="79"/>
    </row>
    <row r="691" spans="1:5" ht="14.85" customHeight="1" outlineLevel="1" x14ac:dyDescent="0.25">
      <c r="A691" s="101" t="s">
        <v>1502</v>
      </c>
      <c r="B691" s="193" t="str">
        <f>"14.44"</f>
        <v>14.44</v>
      </c>
      <c r="C691" s="58" t="s">
        <v>2609</v>
      </c>
      <c r="D691" s="79" t="s">
        <v>2610</v>
      </c>
      <c r="E691" s="79"/>
    </row>
    <row r="692" spans="1:5" ht="14.85" customHeight="1" outlineLevel="1" x14ac:dyDescent="0.25">
      <c r="A692" s="101" t="s">
        <v>1502</v>
      </c>
      <c r="B692" s="193" t="str">
        <f>"14.4401"</f>
        <v>14.4401</v>
      </c>
      <c r="C692" s="58" t="s">
        <v>2609</v>
      </c>
      <c r="D692" s="79" t="s">
        <v>2611</v>
      </c>
      <c r="E692" s="79"/>
    </row>
    <row r="693" spans="1:5" ht="14.85" customHeight="1" outlineLevel="1" x14ac:dyDescent="0.25">
      <c r="A693" s="101" t="s">
        <v>1502</v>
      </c>
      <c r="B693" s="193" t="str">
        <f>"14.45"</f>
        <v>14.45</v>
      </c>
      <c r="C693" s="58" t="s">
        <v>2612</v>
      </c>
      <c r="D693" s="79" t="s">
        <v>2613</v>
      </c>
      <c r="E693" s="79"/>
    </row>
    <row r="694" spans="1:5" ht="14.85" customHeight="1" outlineLevel="1" x14ac:dyDescent="0.25">
      <c r="A694" s="101" t="s">
        <v>1502</v>
      </c>
      <c r="B694" s="193" t="str">
        <f>"14.4501"</f>
        <v>14.4501</v>
      </c>
      <c r="C694" s="58" t="s">
        <v>2612</v>
      </c>
      <c r="D694" s="79" t="s">
        <v>2614</v>
      </c>
      <c r="E694" s="79"/>
    </row>
    <row r="695" spans="1:5" ht="14.85" customHeight="1" outlineLevel="1" x14ac:dyDescent="0.25">
      <c r="A695" s="101" t="s">
        <v>1502</v>
      </c>
      <c r="B695" s="193" t="str">
        <f>"14.47"</f>
        <v>14.47</v>
      </c>
      <c r="C695" s="58" t="s">
        <v>2615</v>
      </c>
      <c r="D695" s="79" t="s">
        <v>2616</v>
      </c>
      <c r="E695" s="79"/>
    </row>
    <row r="696" spans="1:5" ht="14.85" customHeight="1" outlineLevel="1" x14ac:dyDescent="0.25">
      <c r="A696" s="101" t="s">
        <v>1502</v>
      </c>
      <c r="B696" s="193" t="str">
        <f>"14.4701"</f>
        <v>14.4701</v>
      </c>
      <c r="C696" s="58" t="s">
        <v>2615</v>
      </c>
      <c r="D696" s="79" t="s">
        <v>2617</v>
      </c>
      <c r="E696" s="79"/>
    </row>
    <row r="697" spans="1:5" ht="14.85" customHeight="1" outlineLevel="1" x14ac:dyDescent="0.25">
      <c r="A697" s="101" t="s">
        <v>1502</v>
      </c>
      <c r="B697" s="193" t="str">
        <f>"14.48"</f>
        <v>14.48</v>
      </c>
      <c r="C697" s="58" t="s">
        <v>2618</v>
      </c>
      <c r="D697" s="79" t="s">
        <v>2619</v>
      </c>
      <c r="E697" s="79"/>
    </row>
    <row r="698" spans="1:5" ht="14.85" customHeight="1" outlineLevel="1" x14ac:dyDescent="0.25">
      <c r="A698" s="101" t="s">
        <v>1502</v>
      </c>
      <c r="B698" s="193" t="str">
        <f>"14.4801"</f>
        <v>14.4801</v>
      </c>
      <c r="C698" s="58" t="s">
        <v>2620</v>
      </c>
      <c r="D698" s="79" t="s">
        <v>2621</v>
      </c>
      <c r="E698" s="79"/>
    </row>
    <row r="699" spans="1:5" ht="14.85" customHeight="1" outlineLevel="1" x14ac:dyDescent="0.25">
      <c r="A699" s="101" t="s">
        <v>1502</v>
      </c>
      <c r="B699" s="193" t="str">
        <f>"14.4802"</f>
        <v>14.4802</v>
      </c>
      <c r="C699" s="58" t="s">
        <v>2622</v>
      </c>
      <c r="D699" s="79" t="s">
        <v>2623</v>
      </c>
      <c r="E699" s="79"/>
    </row>
    <row r="700" spans="1:5" ht="14.85" customHeight="1" outlineLevel="1" x14ac:dyDescent="0.25">
      <c r="A700" s="101" t="s">
        <v>1502</v>
      </c>
      <c r="B700" s="193" t="str">
        <f>"14.4899"</f>
        <v>14.4899</v>
      </c>
      <c r="C700" s="58" t="s">
        <v>2624</v>
      </c>
      <c r="D700" s="79" t="s">
        <v>2625</v>
      </c>
      <c r="E700" s="79"/>
    </row>
    <row r="701" spans="1:5" ht="14.85" customHeight="1" outlineLevel="1" x14ac:dyDescent="0.25">
      <c r="A701" s="101" t="s">
        <v>1502</v>
      </c>
      <c r="B701" s="193" t="str">
        <f>"14.99"</f>
        <v>14.99</v>
      </c>
      <c r="C701" s="58" t="s">
        <v>2626</v>
      </c>
      <c r="D701" s="79" t="s">
        <v>2627</v>
      </c>
      <c r="E701" s="79"/>
    </row>
    <row r="702" spans="1:5" ht="14.85" customHeight="1" outlineLevel="1" x14ac:dyDescent="0.25">
      <c r="A702" s="101" t="s">
        <v>1502</v>
      </c>
      <c r="B702" s="193" t="str">
        <f>"14.9999"</f>
        <v>14.9999</v>
      </c>
      <c r="C702" s="58" t="s">
        <v>2626</v>
      </c>
      <c r="D702" s="79" t="s">
        <v>2628</v>
      </c>
      <c r="E702" s="79"/>
    </row>
    <row r="703" spans="1:5" ht="14.85" customHeight="1" outlineLevel="1" x14ac:dyDescent="0.25">
      <c r="A703" s="101" t="s">
        <v>1502</v>
      </c>
      <c r="B703" s="193" t="str">
        <f>"15"</f>
        <v>15</v>
      </c>
      <c r="C703" s="58" t="s">
        <v>2629</v>
      </c>
      <c r="D703" s="79" t="s">
        <v>2630</v>
      </c>
      <c r="E703" s="79"/>
    </row>
    <row r="704" spans="1:5" ht="14.85" customHeight="1" outlineLevel="1" x14ac:dyDescent="0.25">
      <c r="A704" s="101" t="s">
        <v>1502</v>
      </c>
      <c r="B704" s="193" t="str">
        <f>"15.00"</f>
        <v>15.00</v>
      </c>
      <c r="C704" s="58" t="s">
        <v>2631</v>
      </c>
      <c r="D704" s="79" t="s">
        <v>2632</v>
      </c>
      <c r="E704" s="79"/>
    </row>
    <row r="705" spans="1:5" ht="14.85" customHeight="1" outlineLevel="1" x14ac:dyDescent="0.25">
      <c r="A705" s="101" t="s">
        <v>1502</v>
      </c>
      <c r="B705" s="193" t="str">
        <f>"15.0000"</f>
        <v>15.0000</v>
      </c>
      <c r="C705" s="58" t="s">
        <v>2631</v>
      </c>
      <c r="D705" s="79" t="s">
        <v>2633</v>
      </c>
      <c r="E705" s="79"/>
    </row>
    <row r="706" spans="1:5" ht="14.85" customHeight="1" outlineLevel="1" x14ac:dyDescent="0.25">
      <c r="A706" s="101" t="s">
        <v>1502</v>
      </c>
      <c r="B706" s="193" t="str">
        <f>"15.0001"</f>
        <v>15.0001</v>
      </c>
      <c r="C706" s="58" t="s">
        <v>2634</v>
      </c>
      <c r="D706" s="79" t="s">
        <v>2635</v>
      </c>
      <c r="E706" s="79"/>
    </row>
    <row r="707" spans="1:5" ht="14.85" customHeight="1" outlineLevel="1" x14ac:dyDescent="0.25">
      <c r="A707" s="101" t="s">
        <v>1502</v>
      </c>
      <c r="B707" s="193" t="str">
        <f>"15.01"</f>
        <v>15.01</v>
      </c>
      <c r="C707" s="58" t="s">
        <v>2636</v>
      </c>
      <c r="D707" s="79" t="s">
        <v>2637</v>
      </c>
      <c r="E707" s="79"/>
    </row>
    <row r="708" spans="1:5" ht="14.85" customHeight="1" outlineLevel="1" x14ac:dyDescent="0.25">
      <c r="A708" s="101" t="s">
        <v>1502</v>
      </c>
      <c r="B708" s="193" t="str">
        <f>"15.0101"</f>
        <v>15.0101</v>
      </c>
      <c r="C708" s="58" t="s">
        <v>2636</v>
      </c>
      <c r="D708" s="79" t="s">
        <v>2638</v>
      </c>
      <c r="E708" s="79"/>
    </row>
    <row r="709" spans="1:5" ht="14.85" customHeight="1" outlineLevel="1" x14ac:dyDescent="0.25">
      <c r="A709" s="101" t="s">
        <v>1502</v>
      </c>
      <c r="B709" s="193" t="str">
        <f>"15.02"</f>
        <v>15.02</v>
      </c>
      <c r="C709" s="58" t="s">
        <v>2639</v>
      </c>
      <c r="D709" s="79" t="s">
        <v>2640</v>
      </c>
      <c r="E709" s="79"/>
    </row>
    <row r="710" spans="1:5" ht="14.85" customHeight="1" outlineLevel="1" x14ac:dyDescent="0.25">
      <c r="A710" s="101" t="s">
        <v>1502</v>
      </c>
      <c r="B710" s="193" t="str">
        <f>"15.0201"</f>
        <v>15.0201</v>
      </c>
      <c r="C710" s="58" t="s">
        <v>2639</v>
      </c>
      <c r="D710" s="79" t="s">
        <v>2641</v>
      </c>
      <c r="E710" s="79"/>
    </row>
    <row r="711" spans="1:5" ht="14.85" customHeight="1" outlineLevel="1" x14ac:dyDescent="0.25">
      <c r="A711" s="101" t="s">
        <v>1502</v>
      </c>
      <c r="B711" s="193" t="str">
        <f>"15.03"</f>
        <v>15.03</v>
      </c>
      <c r="C711" s="58" t="s">
        <v>2642</v>
      </c>
      <c r="D711" s="79" t="s">
        <v>2643</v>
      </c>
      <c r="E711" s="79"/>
    </row>
    <row r="712" spans="1:5" ht="14.85" customHeight="1" outlineLevel="1" x14ac:dyDescent="0.25">
      <c r="A712" s="101" t="s">
        <v>1502</v>
      </c>
      <c r="B712" s="193" t="str">
        <f>"15.0303"</f>
        <v>15.0303</v>
      </c>
      <c r="C712" s="58" t="s">
        <v>2644</v>
      </c>
      <c r="D712" s="79" t="s">
        <v>2645</v>
      </c>
      <c r="E712" s="79"/>
    </row>
    <row r="713" spans="1:5" ht="14.85" customHeight="1" outlineLevel="1" x14ac:dyDescent="0.25">
      <c r="A713" s="101" t="s">
        <v>1502</v>
      </c>
      <c r="B713" s="193" t="str">
        <f>"15.0304"</f>
        <v>15.0304</v>
      </c>
      <c r="C713" s="58" t="s">
        <v>2646</v>
      </c>
      <c r="D713" s="79" t="s">
        <v>2647</v>
      </c>
      <c r="E713" s="79"/>
    </row>
    <row r="714" spans="1:5" ht="14.85" customHeight="1" outlineLevel="1" x14ac:dyDescent="0.25">
      <c r="A714" s="101" t="s">
        <v>1502</v>
      </c>
      <c r="B714" s="193" t="str">
        <f>"15.0305"</f>
        <v>15.0305</v>
      </c>
      <c r="C714" s="58" t="s">
        <v>2648</v>
      </c>
      <c r="D714" s="79" t="s">
        <v>2649</v>
      </c>
      <c r="E714" s="79"/>
    </row>
    <row r="715" spans="1:5" ht="14.85" customHeight="1" outlineLevel="1" x14ac:dyDescent="0.25">
      <c r="A715" s="101" t="s">
        <v>1502</v>
      </c>
      <c r="B715" s="193" t="str">
        <f>"15.0306"</f>
        <v>15.0306</v>
      </c>
      <c r="C715" s="58" t="s">
        <v>2650</v>
      </c>
      <c r="D715" s="79" t="s">
        <v>2651</v>
      </c>
      <c r="E715" s="79"/>
    </row>
    <row r="716" spans="1:5" ht="14.85" customHeight="1" outlineLevel="1" x14ac:dyDescent="0.25">
      <c r="A716" s="101" t="s">
        <v>1502</v>
      </c>
      <c r="B716" s="193" t="str">
        <f>"15.0307"</f>
        <v>15.0307</v>
      </c>
      <c r="C716" s="58" t="s">
        <v>2652</v>
      </c>
      <c r="D716" s="79" t="s">
        <v>2653</v>
      </c>
      <c r="E716" s="79"/>
    </row>
    <row r="717" spans="1:5" ht="14.85" customHeight="1" outlineLevel="1" x14ac:dyDescent="0.25">
      <c r="A717" s="101" t="s">
        <v>1502</v>
      </c>
      <c r="B717" s="193" t="str">
        <f>"15.0399"</f>
        <v>15.0399</v>
      </c>
      <c r="C717" s="58" t="s">
        <v>2654</v>
      </c>
      <c r="D717" s="79" t="s">
        <v>2655</v>
      </c>
      <c r="E717" s="79"/>
    </row>
    <row r="718" spans="1:5" ht="14.85" customHeight="1" outlineLevel="1" x14ac:dyDescent="0.25">
      <c r="A718" s="101" t="s">
        <v>1502</v>
      </c>
      <c r="B718" s="193" t="str">
        <f>"15.04"</f>
        <v>15.04</v>
      </c>
      <c r="C718" s="58" t="s">
        <v>2656</v>
      </c>
      <c r="D718" s="79" t="s">
        <v>2657</v>
      </c>
      <c r="E718" s="79"/>
    </row>
    <row r="719" spans="1:5" ht="14.85" customHeight="1" outlineLevel="1" x14ac:dyDescent="0.25">
      <c r="A719" s="101" t="s">
        <v>1502</v>
      </c>
      <c r="B719" s="193" t="str">
        <f>"15.0401"</f>
        <v>15.0401</v>
      </c>
      <c r="C719" s="58" t="s">
        <v>2658</v>
      </c>
      <c r="D719" s="79" t="s">
        <v>2659</v>
      </c>
      <c r="E719" s="79"/>
    </row>
    <row r="720" spans="1:5" ht="14.85" customHeight="1" outlineLevel="1" x14ac:dyDescent="0.25">
      <c r="A720" s="101" t="s">
        <v>1502</v>
      </c>
      <c r="B720" s="193" t="str">
        <f>"15.0403"</f>
        <v>15.0403</v>
      </c>
      <c r="C720" s="58" t="s">
        <v>2660</v>
      </c>
      <c r="D720" s="79" t="s">
        <v>2661</v>
      </c>
      <c r="E720" s="79"/>
    </row>
    <row r="721" spans="1:5" ht="14.85" customHeight="1" outlineLevel="1" x14ac:dyDescent="0.25">
      <c r="A721" s="101" t="s">
        <v>1502</v>
      </c>
      <c r="B721" s="193" t="str">
        <f>"15.0404"</f>
        <v>15.0404</v>
      </c>
      <c r="C721" s="58" t="s">
        <v>2662</v>
      </c>
      <c r="D721" s="79" t="s">
        <v>2663</v>
      </c>
      <c r="E721" s="79"/>
    </row>
    <row r="722" spans="1:5" ht="14.85" customHeight="1" outlineLevel="1" x14ac:dyDescent="0.25">
      <c r="A722" s="101" t="s">
        <v>1502</v>
      </c>
      <c r="B722" s="193" t="str">
        <f>"15.0405"</f>
        <v>15.0405</v>
      </c>
      <c r="C722" s="58" t="s">
        <v>2664</v>
      </c>
      <c r="D722" s="79" t="s">
        <v>2665</v>
      </c>
      <c r="E722" s="79"/>
    </row>
    <row r="723" spans="1:5" ht="14.85" customHeight="1" outlineLevel="1" x14ac:dyDescent="0.25">
      <c r="A723" s="101" t="s">
        <v>1502</v>
      </c>
      <c r="B723" s="193" t="str">
        <f>"15.0406"</f>
        <v>15.0406</v>
      </c>
      <c r="C723" s="58" t="s">
        <v>2666</v>
      </c>
      <c r="D723" s="79" t="s">
        <v>2667</v>
      </c>
      <c r="E723" s="79"/>
    </row>
    <row r="724" spans="1:5" ht="14.85" customHeight="1" outlineLevel="1" x14ac:dyDescent="0.25">
      <c r="A724" s="101" t="s">
        <v>1502</v>
      </c>
      <c r="B724" s="193" t="str">
        <f>"15.0407"</f>
        <v>15.0407</v>
      </c>
      <c r="C724" s="58" t="s">
        <v>2668</v>
      </c>
      <c r="D724" s="79" t="s">
        <v>2669</v>
      </c>
      <c r="E724" s="79"/>
    </row>
    <row r="725" spans="1:5" ht="14.85" customHeight="1" outlineLevel="1" x14ac:dyDescent="0.25">
      <c r="A725" s="101" t="s">
        <v>1502</v>
      </c>
      <c r="B725" s="193" t="str">
        <f>"15.0499"</f>
        <v>15.0499</v>
      </c>
      <c r="C725" s="58" t="s">
        <v>2670</v>
      </c>
      <c r="D725" s="79" t="s">
        <v>2671</v>
      </c>
      <c r="E725" s="79"/>
    </row>
    <row r="726" spans="1:5" ht="14.85" customHeight="1" outlineLevel="1" x14ac:dyDescent="0.25">
      <c r="A726" s="101" t="s">
        <v>1502</v>
      </c>
      <c r="B726" s="193" t="str">
        <f>"15.05"</f>
        <v>15.05</v>
      </c>
      <c r="C726" s="58" t="s">
        <v>2672</v>
      </c>
      <c r="D726" s="79" t="s">
        <v>2673</v>
      </c>
      <c r="E726" s="79"/>
    </row>
    <row r="727" spans="1:5" ht="14.85" customHeight="1" outlineLevel="1" x14ac:dyDescent="0.25">
      <c r="A727" s="101" t="s">
        <v>1502</v>
      </c>
      <c r="B727" s="193" t="str">
        <f>"15.0501"</f>
        <v>15.0501</v>
      </c>
      <c r="C727" s="58" t="s">
        <v>2674</v>
      </c>
      <c r="D727" s="79" t="s">
        <v>2675</v>
      </c>
      <c r="E727" s="79"/>
    </row>
    <row r="728" spans="1:5" ht="14.85" customHeight="1" outlineLevel="1" x14ac:dyDescent="0.25">
      <c r="A728" s="101" t="s">
        <v>1502</v>
      </c>
      <c r="B728" s="193" t="str">
        <f>"15.0506"</f>
        <v>15.0506</v>
      </c>
      <c r="C728" s="58" t="s">
        <v>2676</v>
      </c>
      <c r="D728" s="79" t="s">
        <v>2677</v>
      </c>
      <c r="E728" s="79"/>
    </row>
    <row r="729" spans="1:5" ht="14.85" customHeight="1" outlineLevel="1" x14ac:dyDescent="0.25">
      <c r="A729" s="101" t="s">
        <v>1502</v>
      </c>
      <c r="B729" s="193" t="str">
        <f>"15.0507"</f>
        <v>15.0507</v>
      </c>
      <c r="C729" s="58" t="s">
        <v>2678</v>
      </c>
      <c r="D729" s="79" t="s">
        <v>2679</v>
      </c>
      <c r="E729" s="79"/>
    </row>
    <row r="730" spans="1:5" ht="14.85" customHeight="1" outlineLevel="1" x14ac:dyDescent="0.25">
      <c r="A730" s="101" t="s">
        <v>1502</v>
      </c>
      <c r="B730" s="193" t="str">
        <f>"15.0508"</f>
        <v>15.0508</v>
      </c>
      <c r="C730" s="58" t="s">
        <v>2680</v>
      </c>
      <c r="D730" s="79" t="s">
        <v>2681</v>
      </c>
      <c r="E730" s="79"/>
    </row>
    <row r="731" spans="1:5" ht="14.85" customHeight="1" outlineLevel="1" x14ac:dyDescent="0.25">
      <c r="A731" s="101" t="s">
        <v>1502</v>
      </c>
      <c r="B731" s="193" t="str">
        <f>"15.0599"</f>
        <v>15.0599</v>
      </c>
      <c r="C731" s="58" t="s">
        <v>2682</v>
      </c>
      <c r="D731" s="79" t="s">
        <v>2683</v>
      </c>
      <c r="E731" s="79"/>
    </row>
    <row r="732" spans="1:5" ht="14.85" customHeight="1" outlineLevel="1" x14ac:dyDescent="0.25">
      <c r="A732" s="101" t="s">
        <v>1502</v>
      </c>
      <c r="B732" s="193" t="str">
        <f>"15.06"</f>
        <v>15.06</v>
      </c>
      <c r="C732" s="58" t="s">
        <v>2684</v>
      </c>
      <c r="D732" s="79" t="s">
        <v>2685</v>
      </c>
      <c r="E732" s="79"/>
    </row>
    <row r="733" spans="1:5" ht="14.85" customHeight="1" outlineLevel="1" x14ac:dyDescent="0.25">
      <c r="A733" s="101" t="s">
        <v>1502</v>
      </c>
      <c r="B733" s="193" t="str">
        <f>"15.0607"</f>
        <v>15.0607</v>
      </c>
      <c r="C733" s="58" t="s">
        <v>2686</v>
      </c>
      <c r="D733" s="79" t="s">
        <v>2687</v>
      </c>
      <c r="E733" s="79"/>
    </row>
    <row r="734" spans="1:5" ht="14.85" customHeight="1" outlineLevel="1" x14ac:dyDescent="0.25">
      <c r="A734" s="101" t="s">
        <v>1502</v>
      </c>
      <c r="B734" s="193" t="str">
        <f>"15.0611"</f>
        <v>15.0611</v>
      </c>
      <c r="C734" s="58" t="s">
        <v>2688</v>
      </c>
      <c r="D734" s="79" t="s">
        <v>2689</v>
      </c>
      <c r="E734" s="79"/>
    </row>
    <row r="735" spans="1:5" ht="14.85" customHeight="1" outlineLevel="1" x14ac:dyDescent="0.25">
      <c r="A735" s="101" t="s">
        <v>1502</v>
      </c>
      <c r="B735" s="193" t="str">
        <f>"15.0612"</f>
        <v>15.0612</v>
      </c>
      <c r="C735" s="58" t="s">
        <v>2690</v>
      </c>
      <c r="D735" s="79" t="s">
        <v>2691</v>
      </c>
      <c r="E735" s="79"/>
    </row>
    <row r="736" spans="1:5" ht="14.85" customHeight="1" outlineLevel="1" x14ac:dyDescent="0.25">
      <c r="A736" s="101" t="s">
        <v>1502</v>
      </c>
      <c r="B736" s="193" t="str">
        <f>"15.0613"</f>
        <v>15.0613</v>
      </c>
      <c r="C736" s="58" t="s">
        <v>2692</v>
      </c>
      <c r="D736" s="79" t="s">
        <v>2693</v>
      </c>
      <c r="E736" s="79"/>
    </row>
    <row r="737" spans="1:5" ht="14.85" customHeight="1" outlineLevel="1" x14ac:dyDescent="0.25">
      <c r="A737" s="101" t="s">
        <v>1502</v>
      </c>
      <c r="B737" s="193" t="str">
        <f>"15.0614"</f>
        <v>15.0614</v>
      </c>
      <c r="C737" s="58" t="s">
        <v>2694</v>
      </c>
      <c r="D737" s="79" t="s">
        <v>2695</v>
      </c>
      <c r="E737" s="79"/>
    </row>
    <row r="738" spans="1:5" ht="14.85" customHeight="1" outlineLevel="1" x14ac:dyDescent="0.25">
      <c r="A738" s="101" t="s">
        <v>1502</v>
      </c>
      <c r="B738" s="193" t="str">
        <f>"15.0615"</f>
        <v>15.0615</v>
      </c>
      <c r="C738" s="58" t="s">
        <v>2696</v>
      </c>
      <c r="D738" s="79" t="s">
        <v>2697</v>
      </c>
      <c r="E738" s="79"/>
    </row>
    <row r="739" spans="1:5" ht="14.85" customHeight="1" outlineLevel="1" x14ac:dyDescent="0.25">
      <c r="A739" s="101" t="s">
        <v>1502</v>
      </c>
      <c r="B739" s="193" t="str">
        <f>"15.0616"</f>
        <v>15.0616</v>
      </c>
      <c r="C739" s="58" t="s">
        <v>2698</v>
      </c>
      <c r="D739" s="79" t="s">
        <v>2699</v>
      </c>
      <c r="E739" s="79"/>
    </row>
    <row r="740" spans="1:5" ht="14.85" customHeight="1" outlineLevel="1" x14ac:dyDescent="0.25">
      <c r="A740" s="101" t="s">
        <v>1502</v>
      </c>
      <c r="B740" s="193" t="str">
        <f>"15.0617"</f>
        <v>15.0617</v>
      </c>
      <c r="C740" s="58" t="s">
        <v>2700</v>
      </c>
      <c r="D740" s="79" t="s">
        <v>2701</v>
      </c>
      <c r="E740" s="79"/>
    </row>
    <row r="741" spans="1:5" ht="14.85" customHeight="1" outlineLevel="1" x14ac:dyDescent="0.25">
      <c r="A741" s="101" t="s">
        <v>1502</v>
      </c>
      <c r="B741" s="193" t="str">
        <f>"15.0699"</f>
        <v>15.0699</v>
      </c>
      <c r="C741" s="58" t="s">
        <v>2702</v>
      </c>
      <c r="D741" s="79" t="s">
        <v>2703</v>
      </c>
      <c r="E741" s="79"/>
    </row>
    <row r="742" spans="1:5" ht="14.85" customHeight="1" outlineLevel="1" x14ac:dyDescent="0.25">
      <c r="A742" s="101" t="s">
        <v>1502</v>
      </c>
      <c r="B742" s="193" t="str">
        <f>"15.07"</f>
        <v>15.07</v>
      </c>
      <c r="C742" s="58" t="s">
        <v>2704</v>
      </c>
      <c r="D742" s="79" t="s">
        <v>2705</v>
      </c>
      <c r="E742" s="79"/>
    </row>
    <row r="743" spans="1:5" ht="14.85" customHeight="1" outlineLevel="1" x14ac:dyDescent="0.25">
      <c r="A743" s="101" t="s">
        <v>1502</v>
      </c>
      <c r="B743" s="193" t="str">
        <f>"15.0701"</f>
        <v>15.0701</v>
      </c>
      <c r="C743" s="58" t="s">
        <v>2706</v>
      </c>
      <c r="D743" s="79" t="s">
        <v>2707</v>
      </c>
      <c r="E743" s="79"/>
    </row>
    <row r="744" spans="1:5" ht="14.85" customHeight="1" outlineLevel="1" x14ac:dyDescent="0.25">
      <c r="A744" s="101" t="s">
        <v>1502</v>
      </c>
      <c r="B744" s="193" t="str">
        <f>"15.0702"</f>
        <v>15.0702</v>
      </c>
      <c r="C744" s="58" t="s">
        <v>2708</v>
      </c>
      <c r="D744" s="79" t="s">
        <v>2709</v>
      </c>
      <c r="E744" s="79"/>
    </row>
    <row r="745" spans="1:5" ht="14.85" customHeight="1" outlineLevel="1" x14ac:dyDescent="0.25">
      <c r="A745" s="101" t="s">
        <v>1502</v>
      </c>
      <c r="B745" s="193" t="str">
        <f>"15.0703"</f>
        <v>15.0703</v>
      </c>
      <c r="C745" s="58" t="s">
        <v>2710</v>
      </c>
      <c r="D745" s="79" t="s">
        <v>2711</v>
      </c>
      <c r="E745" s="79"/>
    </row>
    <row r="746" spans="1:5" ht="14.85" customHeight="1" outlineLevel="1" x14ac:dyDescent="0.25">
      <c r="A746" s="101" t="s">
        <v>1502</v>
      </c>
      <c r="B746" s="193" t="str">
        <f>"15.0704"</f>
        <v>15.0704</v>
      </c>
      <c r="C746" s="58" t="s">
        <v>2712</v>
      </c>
      <c r="D746" s="79" t="s">
        <v>2713</v>
      </c>
      <c r="E746" s="79"/>
    </row>
    <row r="747" spans="1:5" ht="14.85" customHeight="1" outlineLevel="1" x14ac:dyDescent="0.25">
      <c r="A747" s="101" t="s">
        <v>1502</v>
      </c>
      <c r="B747" s="193" t="str">
        <f>"15.0705"</f>
        <v>15.0705</v>
      </c>
      <c r="C747" s="58" t="s">
        <v>2714</v>
      </c>
      <c r="D747" s="79" t="s">
        <v>2715</v>
      </c>
      <c r="E747" s="79"/>
    </row>
    <row r="748" spans="1:5" ht="14.85" customHeight="1" outlineLevel="1" x14ac:dyDescent="0.25">
      <c r="A748" s="101" t="s">
        <v>1502</v>
      </c>
      <c r="B748" s="193" t="str">
        <f>"15.0799"</f>
        <v>15.0799</v>
      </c>
      <c r="C748" s="58" t="s">
        <v>2716</v>
      </c>
      <c r="D748" s="79" t="s">
        <v>2717</v>
      </c>
      <c r="E748" s="79"/>
    </row>
    <row r="749" spans="1:5" ht="14.85" customHeight="1" outlineLevel="1" x14ac:dyDescent="0.25">
      <c r="A749" s="101" t="s">
        <v>1502</v>
      </c>
      <c r="B749" s="193" t="str">
        <f>"15.08"</f>
        <v>15.08</v>
      </c>
      <c r="C749" s="58" t="s">
        <v>2718</v>
      </c>
      <c r="D749" s="79" t="s">
        <v>2719</v>
      </c>
      <c r="E749" s="79"/>
    </row>
    <row r="750" spans="1:5" ht="14.85" customHeight="1" outlineLevel="1" x14ac:dyDescent="0.25">
      <c r="A750" s="101" t="s">
        <v>1502</v>
      </c>
      <c r="B750" s="193" t="str">
        <f>"15.0801"</f>
        <v>15.0801</v>
      </c>
      <c r="C750" s="58" t="s">
        <v>2720</v>
      </c>
      <c r="D750" s="79" t="s">
        <v>2721</v>
      </c>
      <c r="E750" s="79"/>
    </row>
    <row r="751" spans="1:5" ht="14.85" customHeight="1" outlineLevel="1" x14ac:dyDescent="0.25">
      <c r="A751" s="101" t="s">
        <v>1502</v>
      </c>
      <c r="B751" s="193" t="str">
        <f>"15.0803"</f>
        <v>15.0803</v>
      </c>
      <c r="C751" s="58" t="s">
        <v>2722</v>
      </c>
      <c r="D751" s="79" t="s">
        <v>2723</v>
      </c>
      <c r="E751" s="79"/>
    </row>
    <row r="752" spans="1:5" ht="14.85" customHeight="1" outlineLevel="1" x14ac:dyDescent="0.25">
      <c r="A752" s="101" t="s">
        <v>1502</v>
      </c>
      <c r="B752" s="193" t="str">
        <f>"15.0805"</f>
        <v>15.0805</v>
      </c>
      <c r="C752" s="58" t="s">
        <v>2724</v>
      </c>
      <c r="D752" s="79" t="s">
        <v>2725</v>
      </c>
      <c r="E752" s="79"/>
    </row>
    <row r="753" spans="1:5" ht="14.85" customHeight="1" outlineLevel="1" x14ac:dyDescent="0.25">
      <c r="A753" s="101" t="s">
        <v>1502</v>
      </c>
      <c r="B753" s="193" t="str">
        <f>"15.0806"</f>
        <v>15.0806</v>
      </c>
      <c r="C753" s="58" t="s">
        <v>2726</v>
      </c>
      <c r="D753" s="79" t="s">
        <v>2727</v>
      </c>
      <c r="E753" s="79"/>
    </row>
    <row r="754" spans="1:5" ht="14.85" customHeight="1" outlineLevel="1" x14ac:dyDescent="0.25">
      <c r="A754" s="101" t="s">
        <v>1502</v>
      </c>
      <c r="B754" s="193" t="str">
        <f>"15.0807"</f>
        <v>15.0807</v>
      </c>
      <c r="C754" s="58" t="s">
        <v>2728</v>
      </c>
      <c r="D754" s="79" t="s">
        <v>2729</v>
      </c>
      <c r="E754" s="79"/>
    </row>
    <row r="755" spans="1:5" ht="14.85" customHeight="1" outlineLevel="1" x14ac:dyDescent="0.25">
      <c r="A755" s="101" t="s">
        <v>1502</v>
      </c>
      <c r="B755" s="193" t="str">
        <f>"15.0899"</f>
        <v>15.0899</v>
      </c>
      <c r="C755" s="58" t="s">
        <v>2730</v>
      </c>
      <c r="D755" s="79" t="s">
        <v>2731</v>
      </c>
      <c r="E755" s="79"/>
    </row>
    <row r="756" spans="1:5" ht="14.85" customHeight="1" outlineLevel="1" x14ac:dyDescent="0.25">
      <c r="A756" s="101" t="s">
        <v>1502</v>
      </c>
      <c r="B756" s="193" t="str">
        <f>"15.09"</f>
        <v>15.09</v>
      </c>
      <c r="C756" s="58" t="s">
        <v>2732</v>
      </c>
      <c r="D756" s="79" t="s">
        <v>2733</v>
      </c>
      <c r="E756" s="79"/>
    </row>
    <row r="757" spans="1:5" ht="14.85" customHeight="1" outlineLevel="1" x14ac:dyDescent="0.25">
      <c r="A757" s="101" t="s">
        <v>1502</v>
      </c>
      <c r="B757" s="193" t="str">
        <f>"15.0901"</f>
        <v>15.0901</v>
      </c>
      <c r="C757" s="58" t="s">
        <v>2734</v>
      </c>
      <c r="D757" s="79" t="s">
        <v>2735</v>
      </c>
      <c r="E757" s="79"/>
    </row>
    <row r="758" spans="1:5" ht="14.85" customHeight="1" outlineLevel="1" x14ac:dyDescent="0.25">
      <c r="A758" s="101" t="s">
        <v>1502</v>
      </c>
      <c r="B758" s="193" t="str">
        <f>"15.0903"</f>
        <v>15.0903</v>
      </c>
      <c r="C758" s="58" t="s">
        <v>2736</v>
      </c>
      <c r="D758" s="79" t="s">
        <v>2737</v>
      </c>
      <c r="E758" s="79"/>
    </row>
    <row r="759" spans="1:5" ht="14.85" customHeight="1" outlineLevel="1" x14ac:dyDescent="0.25">
      <c r="A759" s="101" t="s">
        <v>1502</v>
      </c>
      <c r="B759" s="193" t="str">
        <f>"15.0999"</f>
        <v>15.0999</v>
      </c>
      <c r="C759" s="58" t="s">
        <v>2738</v>
      </c>
      <c r="D759" s="79" t="s">
        <v>2739</v>
      </c>
      <c r="E759" s="79"/>
    </row>
    <row r="760" spans="1:5" ht="14.85" customHeight="1" outlineLevel="1" x14ac:dyDescent="0.25">
      <c r="A760" s="101" t="s">
        <v>1502</v>
      </c>
      <c r="B760" s="193" t="str">
        <f>"15.10"</f>
        <v>15.10</v>
      </c>
      <c r="C760" s="58" t="s">
        <v>2740</v>
      </c>
      <c r="D760" s="79" t="s">
        <v>2741</v>
      </c>
      <c r="E760" s="79"/>
    </row>
    <row r="761" spans="1:5" ht="14.85" customHeight="1" outlineLevel="1" x14ac:dyDescent="0.25">
      <c r="A761" s="101" t="s">
        <v>1502</v>
      </c>
      <c r="B761" s="193" t="str">
        <f>"15.1001"</f>
        <v>15.1001</v>
      </c>
      <c r="C761" s="58" t="s">
        <v>2740</v>
      </c>
      <c r="D761" s="79" t="s">
        <v>2742</v>
      </c>
      <c r="E761" s="79"/>
    </row>
    <row r="762" spans="1:5" ht="14.85" customHeight="1" outlineLevel="1" x14ac:dyDescent="0.25">
      <c r="A762" s="101" t="s">
        <v>1502</v>
      </c>
      <c r="B762" s="193" t="str">
        <f>"15.11"</f>
        <v>15.11</v>
      </c>
      <c r="C762" s="58" t="s">
        <v>2743</v>
      </c>
      <c r="D762" s="79" t="s">
        <v>2744</v>
      </c>
      <c r="E762" s="79"/>
    </row>
    <row r="763" spans="1:5" ht="14.85" customHeight="1" outlineLevel="1" x14ac:dyDescent="0.25">
      <c r="A763" s="101" t="s">
        <v>1502</v>
      </c>
      <c r="B763" s="193" t="str">
        <f>"15.1102"</f>
        <v>15.1102</v>
      </c>
      <c r="C763" s="58" t="s">
        <v>2745</v>
      </c>
      <c r="D763" s="79" t="s">
        <v>2746</v>
      </c>
      <c r="E763" s="79"/>
    </row>
    <row r="764" spans="1:5" ht="14.85" customHeight="1" outlineLevel="1" x14ac:dyDescent="0.25">
      <c r="A764" s="101" t="s">
        <v>1502</v>
      </c>
      <c r="B764" s="193" t="str">
        <f>"15.1103"</f>
        <v>15.1103</v>
      </c>
      <c r="C764" s="58" t="s">
        <v>2747</v>
      </c>
      <c r="D764" s="79" t="s">
        <v>2748</v>
      </c>
      <c r="E764" s="79"/>
    </row>
    <row r="765" spans="1:5" ht="14.85" customHeight="1" outlineLevel="1" x14ac:dyDescent="0.25">
      <c r="A765" s="101" t="s">
        <v>1502</v>
      </c>
      <c r="B765" s="193" t="str">
        <f>"15.1199"</f>
        <v>15.1199</v>
      </c>
      <c r="C765" s="58" t="s">
        <v>2749</v>
      </c>
      <c r="D765" s="79" t="s">
        <v>2750</v>
      </c>
      <c r="E765" s="79"/>
    </row>
    <row r="766" spans="1:5" ht="14.85" customHeight="1" outlineLevel="1" x14ac:dyDescent="0.25">
      <c r="A766" s="101" t="s">
        <v>1502</v>
      </c>
      <c r="B766" s="193" t="str">
        <f>"15.12"</f>
        <v>15.12</v>
      </c>
      <c r="C766" s="58" t="s">
        <v>2751</v>
      </c>
      <c r="D766" s="79" t="s">
        <v>2752</v>
      </c>
      <c r="E766" s="79"/>
    </row>
    <row r="767" spans="1:5" ht="14.85" customHeight="1" outlineLevel="1" x14ac:dyDescent="0.25">
      <c r="A767" s="101" t="s">
        <v>1502</v>
      </c>
      <c r="B767" s="193" t="str">
        <f>"15.1201"</f>
        <v>15.1201</v>
      </c>
      <c r="C767" s="58" t="s">
        <v>2753</v>
      </c>
      <c r="D767" s="79" t="s">
        <v>2754</v>
      </c>
      <c r="E767" s="79"/>
    </row>
    <row r="768" spans="1:5" ht="14.85" customHeight="1" outlineLevel="1" x14ac:dyDescent="0.25">
      <c r="A768" s="101" t="s">
        <v>1502</v>
      </c>
      <c r="B768" s="193" t="str">
        <f>"15.1202"</f>
        <v>15.1202</v>
      </c>
      <c r="C768" s="58" t="s">
        <v>2755</v>
      </c>
      <c r="D768" s="79" t="s">
        <v>2756</v>
      </c>
      <c r="E768" s="79"/>
    </row>
    <row r="769" spans="1:5" ht="14.85" customHeight="1" outlineLevel="1" x14ac:dyDescent="0.25">
      <c r="A769" s="101" t="s">
        <v>1502</v>
      </c>
      <c r="B769" s="193" t="str">
        <f>"15.1203"</f>
        <v>15.1203</v>
      </c>
      <c r="C769" s="58" t="s">
        <v>2757</v>
      </c>
      <c r="D769" s="79" t="s">
        <v>2758</v>
      </c>
      <c r="E769" s="79"/>
    </row>
    <row r="770" spans="1:5" ht="14.85" customHeight="1" outlineLevel="1" x14ac:dyDescent="0.25">
      <c r="A770" s="101" t="s">
        <v>1502</v>
      </c>
      <c r="B770" s="193" t="str">
        <f>"15.1204"</f>
        <v>15.1204</v>
      </c>
      <c r="C770" s="58" t="s">
        <v>2759</v>
      </c>
      <c r="D770" s="79" t="s">
        <v>2760</v>
      </c>
      <c r="E770" s="79"/>
    </row>
    <row r="771" spans="1:5" ht="14.85" customHeight="1" outlineLevel="1" x14ac:dyDescent="0.25">
      <c r="A771" s="101" t="s">
        <v>1502</v>
      </c>
      <c r="B771" s="193" t="str">
        <f>"15.1299"</f>
        <v>15.1299</v>
      </c>
      <c r="C771" s="58" t="s">
        <v>2761</v>
      </c>
      <c r="D771" s="79" t="s">
        <v>2762</v>
      </c>
      <c r="E771" s="79"/>
    </row>
    <row r="772" spans="1:5" ht="14.85" customHeight="1" outlineLevel="1" x14ac:dyDescent="0.25">
      <c r="A772" s="101" t="s">
        <v>1502</v>
      </c>
      <c r="B772" s="193" t="str">
        <f>"15.13"</f>
        <v>15.13</v>
      </c>
      <c r="C772" s="58" t="s">
        <v>2763</v>
      </c>
      <c r="D772" s="79" t="s">
        <v>2764</v>
      </c>
      <c r="E772" s="79"/>
    </row>
    <row r="773" spans="1:5" ht="14.85" customHeight="1" outlineLevel="1" x14ac:dyDescent="0.25">
      <c r="A773" s="101" t="s">
        <v>1502</v>
      </c>
      <c r="B773" s="193" t="str">
        <f>"15.1301"</f>
        <v>15.1301</v>
      </c>
      <c r="C773" s="58" t="s">
        <v>2765</v>
      </c>
      <c r="D773" s="79" t="s">
        <v>2766</v>
      </c>
      <c r="E773" s="79"/>
    </row>
    <row r="774" spans="1:5" ht="14.85" customHeight="1" outlineLevel="1" x14ac:dyDescent="0.25">
      <c r="A774" s="101" t="s">
        <v>1502</v>
      </c>
      <c r="B774" s="193" t="str">
        <f>"15.1302"</f>
        <v>15.1302</v>
      </c>
      <c r="C774" s="58" t="s">
        <v>2767</v>
      </c>
      <c r="D774" s="79" t="s">
        <v>2768</v>
      </c>
      <c r="E774" s="79"/>
    </row>
    <row r="775" spans="1:5" ht="14.85" customHeight="1" outlineLevel="1" x14ac:dyDescent="0.25">
      <c r="A775" s="101" t="s">
        <v>1502</v>
      </c>
      <c r="B775" s="193" t="str">
        <f>"15.1303"</f>
        <v>15.1303</v>
      </c>
      <c r="C775" s="58" t="s">
        <v>2769</v>
      </c>
      <c r="D775" s="79" t="s">
        <v>2770</v>
      </c>
      <c r="E775" s="79"/>
    </row>
    <row r="776" spans="1:5" ht="14.85" customHeight="1" outlineLevel="1" x14ac:dyDescent="0.25">
      <c r="A776" s="101" t="s">
        <v>1502</v>
      </c>
      <c r="B776" s="193" t="str">
        <f>"15.1304"</f>
        <v>15.1304</v>
      </c>
      <c r="C776" s="58" t="s">
        <v>2771</v>
      </c>
      <c r="D776" s="79" t="s">
        <v>2772</v>
      </c>
      <c r="E776" s="79"/>
    </row>
    <row r="777" spans="1:5" ht="14.85" customHeight="1" outlineLevel="1" x14ac:dyDescent="0.25">
      <c r="A777" s="101" t="s">
        <v>1502</v>
      </c>
      <c r="B777" s="193" t="str">
        <f>"15.1305"</f>
        <v>15.1305</v>
      </c>
      <c r="C777" s="58" t="s">
        <v>2773</v>
      </c>
      <c r="D777" s="79" t="s">
        <v>2774</v>
      </c>
      <c r="E777" s="79"/>
    </row>
    <row r="778" spans="1:5" ht="14.85" customHeight="1" outlineLevel="1" x14ac:dyDescent="0.25">
      <c r="A778" s="101" t="s">
        <v>1502</v>
      </c>
      <c r="B778" s="193" t="str">
        <f>"15.1306"</f>
        <v>15.1306</v>
      </c>
      <c r="C778" s="58" t="s">
        <v>2775</v>
      </c>
      <c r="D778" s="79" t="s">
        <v>2776</v>
      </c>
      <c r="E778" s="79"/>
    </row>
    <row r="779" spans="1:5" ht="14.85" customHeight="1" outlineLevel="1" x14ac:dyDescent="0.25">
      <c r="A779" s="101" t="s">
        <v>1502</v>
      </c>
      <c r="B779" s="193" t="str">
        <f>"15.1307"</f>
        <v>15.1307</v>
      </c>
      <c r="C779" s="58" t="s">
        <v>2777</v>
      </c>
      <c r="D779" s="79" t="s">
        <v>2778</v>
      </c>
      <c r="E779" s="79"/>
    </row>
    <row r="780" spans="1:5" ht="14.85" customHeight="1" outlineLevel="1" x14ac:dyDescent="0.25">
      <c r="A780" s="101" t="s">
        <v>1502</v>
      </c>
      <c r="B780" s="193" t="str">
        <f>"15.1399"</f>
        <v>15.1399</v>
      </c>
      <c r="C780" s="58" t="s">
        <v>2779</v>
      </c>
      <c r="D780" s="79" t="s">
        <v>2780</v>
      </c>
      <c r="E780" s="79"/>
    </row>
    <row r="781" spans="1:5" ht="14.85" customHeight="1" outlineLevel="1" x14ac:dyDescent="0.25">
      <c r="A781" s="101" t="s">
        <v>1502</v>
      </c>
      <c r="B781" s="193" t="str">
        <f>"15.14"</f>
        <v>15.14</v>
      </c>
      <c r="C781" s="58" t="s">
        <v>2781</v>
      </c>
      <c r="D781" s="79" t="s">
        <v>2782</v>
      </c>
      <c r="E781" s="79"/>
    </row>
    <row r="782" spans="1:5" ht="14.85" customHeight="1" outlineLevel="1" x14ac:dyDescent="0.25">
      <c r="A782" s="101" t="s">
        <v>1502</v>
      </c>
      <c r="B782" s="193" t="str">
        <f>"15.1401"</f>
        <v>15.1401</v>
      </c>
      <c r="C782" s="58" t="s">
        <v>2781</v>
      </c>
      <c r="D782" s="79" t="s">
        <v>2783</v>
      </c>
      <c r="E782" s="79"/>
    </row>
    <row r="783" spans="1:5" ht="14.85" customHeight="1" outlineLevel="1" x14ac:dyDescent="0.25">
      <c r="A783" s="101" t="s">
        <v>1502</v>
      </c>
      <c r="B783" s="193" t="str">
        <f>"15.15"</f>
        <v>15.15</v>
      </c>
      <c r="C783" s="58" t="s">
        <v>2784</v>
      </c>
      <c r="D783" s="79" t="s">
        <v>2785</v>
      </c>
      <c r="E783" s="79"/>
    </row>
    <row r="784" spans="1:5" ht="14.85" customHeight="1" outlineLevel="1" x14ac:dyDescent="0.25">
      <c r="A784" s="101" t="s">
        <v>1502</v>
      </c>
      <c r="B784" s="193" t="str">
        <f>"15.1501"</f>
        <v>15.1501</v>
      </c>
      <c r="C784" s="58" t="s">
        <v>2786</v>
      </c>
      <c r="D784" s="79" t="s">
        <v>2787</v>
      </c>
      <c r="E784" s="79"/>
    </row>
    <row r="785" spans="1:5" ht="14.85" customHeight="1" outlineLevel="1" x14ac:dyDescent="0.25">
      <c r="A785" s="101" t="s">
        <v>1502</v>
      </c>
      <c r="B785" s="193" t="str">
        <f>"15.1502"</f>
        <v>15.1502</v>
      </c>
      <c r="C785" s="58" t="s">
        <v>2788</v>
      </c>
      <c r="D785" s="79" t="s">
        <v>2789</v>
      </c>
      <c r="E785" s="79"/>
    </row>
    <row r="786" spans="1:5" ht="14.85" customHeight="1" outlineLevel="1" x14ac:dyDescent="0.25">
      <c r="A786" s="101" t="s">
        <v>1502</v>
      </c>
      <c r="B786" s="193" t="str">
        <f>"15.1503"</f>
        <v>15.1503</v>
      </c>
      <c r="C786" s="58" t="s">
        <v>2790</v>
      </c>
      <c r="D786" s="79" t="s">
        <v>2791</v>
      </c>
      <c r="E786" s="79"/>
    </row>
    <row r="787" spans="1:5" ht="14.85" customHeight="1" outlineLevel="1" x14ac:dyDescent="0.25">
      <c r="A787" s="101" t="s">
        <v>1502</v>
      </c>
      <c r="B787" s="193" t="str">
        <f>"15.1599"</f>
        <v>15.1599</v>
      </c>
      <c r="C787" s="58" t="s">
        <v>2792</v>
      </c>
      <c r="D787" s="79" t="s">
        <v>2793</v>
      </c>
      <c r="E787" s="79"/>
    </row>
    <row r="788" spans="1:5" ht="14.85" customHeight="1" outlineLevel="1" x14ac:dyDescent="0.25">
      <c r="A788" s="101" t="s">
        <v>1502</v>
      </c>
      <c r="B788" s="193" t="str">
        <f>"15.16"</f>
        <v>15.16</v>
      </c>
      <c r="C788" s="58" t="s">
        <v>2794</v>
      </c>
      <c r="D788" s="79" t="s">
        <v>2795</v>
      </c>
      <c r="E788" s="79"/>
    </row>
    <row r="789" spans="1:5" ht="14.85" customHeight="1" outlineLevel="1" x14ac:dyDescent="0.25">
      <c r="A789" s="101" t="s">
        <v>1502</v>
      </c>
      <c r="B789" s="193" t="str">
        <f>"15.1601"</f>
        <v>15.1601</v>
      </c>
      <c r="C789" s="58" t="s">
        <v>2794</v>
      </c>
      <c r="D789" s="79" t="s">
        <v>2796</v>
      </c>
      <c r="E789" s="79"/>
    </row>
    <row r="790" spans="1:5" ht="14.85" customHeight="1" outlineLevel="1" x14ac:dyDescent="0.25">
      <c r="A790" s="101" t="s">
        <v>1502</v>
      </c>
      <c r="B790" s="193" t="str">
        <f>"15.17"</f>
        <v>15.17</v>
      </c>
      <c r="C790" s="58" t="s">
        <v>2797</v>
      </c>
      <c r="D790" s="79" t="s">
        <v>2798</v>
      </c>
      <c r="E790" s="79"/>
    </row>
    <row r="791" spans="1:5" ht="14.85" customHeight="1" outlineLevel="1" x14ac:dyDescent="0.25">
      <c r="A791" s="101" t="s">
        <v>1502</v>
      </c>
      <c r="B791" s="193" t="str">
        <f>"15.1701"</f>
        <v>15.1701</v>
      </c>
      <c r="C791" s="58" t="s">
        <v>2799</v>
      </c>
      <c r="D791" s="79" t="s">
        <v>2800</v>
      </c>
      <c r="E791" s="79"/>
    </row>
    <row r="792" spans="1:5" ht="14.85" customHeight="1" outlineLevel="1" x14ac:dyDescent="0.25">
      <c r="A792" s="101" t="s">
        <v>1502</v>
      </c>
      <c r="B792" s="193" t="str">
        <f>"15.1702"</f>
        <v>15.1702</v>
      </c>
      <c r="C792" s="58" t="s">
        <v>2801</v>
      </c>
      <c r="D792" s="79" t="s">
        <v>2802</v>
      </c>
      <c r="E792" s="79"/>
    </row>
    <row r="793" spans="1:5" ht="14.85" customHeight="1" outlineLevel="1" x14ac:dyDescent="0.25">
      <c r="A793" s="101" t="s">
        <v>1502</v>
      </c>
      <c r="B793" s="193" t="str">
        <f>"15.1703"</f>
        <v>15.1703</v>
      </c>
      <c r="C793" s="58" t="s">
        <v>2803</v>
      </c>
      <c r="D793" s="79" t="s">
        <v>2804</v>
      </c>
      <c r="E793" s="79"/>
    </row>
    <row r="794" spans="1:5" ht="14.85" customHeight="1" outlineLevel="1" x14ac:dyDescent="0.25">
      <c r="A794" s="101" t="s">
        <v>1502</v>
      </c>
      <c r="B794" s="193" t="str">
        <f>"15.1704"</f>
        <v>15.1704</v>
      </c>
      <c r="C794" s="58" t="s">
        <v>2805</v>
      </c>
      <c r="D794" s="79" t="s">
        <v>2806</v>
      </c>
      <c r="E794" s="79"/>
    </row>
    <row r="795" spans="1:5" ht="14.85" customHeight="1" outlineLevel="1" x14ac:dyDescent="0.25">
      <c r="A795" s="101" t="s">
        <v>1502</v>
      </c>
      <c r="B795" s="193" t="str">
        <f>"15.1705"</f>
        <v>15.1705</v>
      </c>
      <c r="C795" s="58" t="s">
        <v>2807</v>
      </c>
      <c r="D795" s="79" t="s">
        <v>2808</v>
      </c>
      <c r="E795" s="79"/>
    </row>
    <row r="796" spans="1:5" ht="14.85" customHeight="1" outlineLevel="1" x14ac:dyDescent="0.25">
      <c r="A796" s="101" t="s">
        <v>1502</v>
      </c>
      <c r="B796" s="193" t="str">
        <f>"15.1706"</f>
        <v>15.1706</v>
      </c>
      <c r="C796" s="58" t="s">
        <v>2809</v>
      </c>
      <c r="D796" s="79" t="s">
        <v>2810</v>
      </c>
      <c r="E796" s="79"/>
    </row>
    <row r="797" spans="1:5" ht="14.85" customHeight="1" outlineLevel="1" x14ac:dyDescent="0.25">
      <c r="A797" s="101" t="s">
        <v>1502</v>
      </c>
      <c r="B797" s="193" t="str">
        <f>"15.1799"</f>
        <v>15.1799</v>
      </c>
      <c r="C797" s="58" t="s">
        <v>2811</v>
      </c>
      <c r="D797" s="79" t="s">
        <v>2812</v>
      </c>
      <c r="E797" s="79"/>
    </row>
    <row r="798" spans="1:5" ht="14.85" customHeight="1" outlineLevel="1" x14ac:dyDescent="0.25">
      <c r="A798" s="101" t="s">
        <v>1502</v>
      </c>
      <c r="B798" s="193" t="str">
        <f>"15.99"</f>
        <v>15.99</v>
      </c>
      <c r="C798" s="58" t="s">
        <v>2813</v>
      </c>
      <c r="D798" s="79" t="s">
        <v>2814</v>
      </c>
      <c r="E798" s="79"/>
    </row>
    <row r="799" spans="1:5" ht="14.85" customHeight="1" outlineLevel="1" x14ac:dyDescent="0.25">
      <c r="A799" s="101" t="s">
        <v>1502</v>
      </c>
      <c r="B799" s="193" t="str">
        <f>"15.9999"</f>
        <v>15.9999</v>
      </c>
      <c r="C799" s="58" t="s">
        <v>2813</v>
      </c>
      <c r="D799" s="79" t="s">
        <v>2815</v>
      </c>
      <c r="E799" s="79"/>
    </row>
    <row r="800" spans="1:5" ht="14.85" customHeight="1" outlineLevel="1" x14ac:dyDescent="0.25">
      <c r="A800" s="101" t="s">
        <v>1502</v>
      </c>
      <c r="B800" s="193" t="str">
        <f>"16"</f>
        <v>16</v>
      </c>
      <c r="C800" s="58" t="s">
        <v>2816</v>
      </c>
      <c r="D800" s="79" t="s">
        <v>2817</v>
      </c>
      <c r="E800" s="79"/>
    </row>
    <row r="801" spans="1:5" ht="14.85" customHeight="1" outlineLevel="1" x14ac:dyDescent="0.25">
      <c r="A801" s="101" t="s">
        <v>1502</v>
      </c>
      <c r="B801" s="193" t="str">
        <f>"16.01"</f>
        <v>16.01</v>
      </c>
      <c r="C801" s="58" t="s">
        <v>2818</v>
      </c>
      <c r="D801" s="79" t="s">
        <v>2819</v>
      </c>
      <c r="E801" s="79"/>
    </row>
    <row r="802" spans="1:5" ht="14.85" customHeight="1" outlineLevel="1" x14ac:dyDescent="0.25">
      <c r="A802" s="101" t="s">
        <v>1502</v>
      </c>
      <c r="B802" s="193" t="str">
        <f>"16.0101"</f>
        <v>16.0101</v>
      </c>
      <c r="C802" s="58" t="s">
        <v>2820</v>
      </c>
      <c r="D802" s="79" t="s">
        <v>2821</v>
      </c>
      <c r="E802" s="79"/>
    </row>
    <row r="803" spans="1:5" ht="14.85" customHeight="1" outlineLevel="1" x14ac:dyDescent="0.25">
      <c r="A803" s="101" t="s">
        <v>1502</v>
      </c>
      <c r="B803" s="193" t="str">
        <f>"16.0102"</f>
        <v>16.0102</v>
      </c>
      <c r="C803" s="58" t="s">
        <v>2822</v>
      </c>
      <c r="D803" s="79" t="s">
        <v>2823</v>
      </c>
      <c r="E803" s="79"/>
    </row>
    <row r="804" spans="1:5" ht="14.85" customHeight="1" outlineLevel="1" x14ac:dyDescent="0.25">
      <c r="A804" s="101" t="s">
        <v>1502</v>
      </c>
      <c r="B804" s="193" t="str">
        <f>"16.0103"</f>
        <v>16.0103</v>
      </c>
      <c r="C804" s="58" t="s">
        <v>2824</v>
      </c>
      <c r="D804" s="79" t="s">
        <v>2825</v>
      </c>
      <c r="E804" s="79"/>
    </row>
    <row r="805" spans="1:5" ht="14.85" customHeight="1" outlineLevel="1" x14ac:dyDescent="0.25">
      <c r="A805" s="101" t="s">
        <v>1502</v>
      </c>
      <c r="B805" s="193" t="str">
        <f>"16.0104"</f>
        <v>16.0104</v>
      </c>
      <c r="C805" s="58" t="s">
        <v>2826</v>
      </c>
      <c r="D805" s="79" t="s">
        <v>2827</v>
      </c>
      <c r="E805" s="79"/>
    </row>
    <row r="806" spans="1:5" ht="14.85" customHeight="1" outlineLevel="1" x14ac:dyDescent="0.25">
      <c r="A806" s="101" t="s">
        <v>1502</v>
      </c>
      <c r="B806" s="193" t="str">
        <f>"16.0105"</f>
        <v>16.0105</v>
      </c>
      <c r="C806" s="58" t="s">
        <v>2828</v>
      </c>
      <c r="D806" s="79" t="s">
        <v>2829</v>
      </c>
      <c r="E806" s="79"/>
    </row>
    <row r="807" spans="1:5" ht="14.85" customHeight="1" outlineLevel="1" x14ac:dyDescent="0.25">
      <c r="A807" s="101" t="s">
        <v>1502</v>
      </c>
      <c r="B807" s="193" t="str">
        <f>"16.0199"</f>
        <v>16.0199</v>
      </c>
      <c r="C807" s="58" t="s">
        <v>2830</v>
      </c>
      <c r="D807" s="79" t="s">
        <v>2831</v>
      </c>
      <c r="E807" s="79"/>
    </row>
    <row r="808" spans="1:5" ht="14.85" customHeight="1" outlineLevel="1" x14ac:dyDescent="0.25">
      <c r="A808" s="101" t="s">
        <v>1502</v>
      </c>
      <c r="B808" s="193" t="str">
        <f>"16.02"</f>
        <v>16.02</v>
      </c>
      <c r="C808" s="58" t="s">
        <v>2832</v>
      </c>
      <c r="D808" s="79" t="s">
        <v>2833</v>
      </c>
      <c r="E808" s="79"/>
    </row>
    <row r="809" spans="1:5" ht="14.85" customHeight="1" outlineLevel="1" x14ac:dyDescent="0.25">
      <c r="A809" s="101" t="s">
        <v>1502</v>
      </c>
      <c r="B809" s="193" t="str">
        <f>"16.0201"</f>
        <v>16.0201</v>
      </c>
      <c r="C809" s="58" t="s">
        <v>2832</v>
      </c>
      <c r="D809" s="79" t="s">
        <v>2834</v>
      </c>
      <c r="E809" s="79"/>
    </row>
    <row r="810" spans="1:5" ht="14.85" customHeight="1" outlineLevel="1" x14ac:dyDescent="0.25">
      <c r="A810" s="101" t="s">
        <v>1502</v>
      </c>
      <c r="B810" s="193" t="str">
        <f>"16.03"</f>
        <v>16.03</v>
      </c>
      <c r="C810" s="58" t="s">
        <v>2835</v>
      </c>
      <c r="D810" s="79" t="s">
        <v>2836</v>
      </c>
      <c r="E810" s="79"/>
    </row>
    <row r="811" spans="1:5" ht="14.85" customHeight="1" outlineLevel="1" x14ac:dyDescent="0.25">
      <c r="A811" s="101" t="s">
        <v>1502</v>
      </c>
      <c r="B811" s="193" t="str">
        <f>"16.0300"</f>
        <v>16.0300</v>
      </c>
      <c r="C811" s="58" t="s">
        <v>2837</v>
      </c>
      <c r="D811" s="79" t="s">
        <v>2838</v>
      </c>
      <c r="E811" s="79"/>
    </row>
    <row r="812" spans="1:5" ht="14.85" customHeight="1" outlineLevel="1" x14ac:dyDescent="0.25">
      <c r="A812" s="101" t="s">
        <v>1502</v>
      </c>
      <c r="B812" s="193" t="str">
        <f>"16.0301"</f>
        <v>16.0301</v>
      </c>
      <c r="C812" s="58" t="s">
        <v>2839</v>
      </c>
      <c r="D812" s="79" t="s">
        <v>2840</v>
      </c>
      <c r="E812" s="79"/>
    </row>
    <row r="813" spans="1:5" ht="14.85" customHeight="1" outlineLevel="1" x14ac:dyDescent="0.25">
      <c r="A813" s="101" t="s">
        <v>1502</v>
      </c>
      <c r="B813" s="193" t="str">
        <f>"16.0302"</f>
        <v>16.0302</v>
      </c>
      <c r="C813" s="58" t="s">
        <v>2841</v>
      </c>
      <c r="D813" s="79" t="s">
        <v>2842</v>
      </c>
      <c r="E813" s="79"/>
    </row>
    <row r="814" spans="1:5" ht="14.85" customHeight="1" outlineLevel="1" x14ac:dyDescent="0.25">
      <c r="A814" s="101" t="s">
        <v>1502</v>
      </c>
      <c r="B814" s="193" t="str">
        <f>"16.0303"</f>
        <v>16.0303</v>
      </c>
      <c r="C814" s="58" t="s">
        <v>2843</v>
      </c>
      <c r="D814" s="79" t="s">
        <v>2844</v>
      </c>
      <c r="E814" s="79"/>
    </row>
    <row r="815" spans="1:5" ht="14.85" customHeight="1" outlineLevel="1" x14ac:dyDescent="0.25">
      <c r="A815" s="101" t="s">
        <v>1502</v>
      </c>
      <c r="B815" s="193" t="str">
        <f>"16.0304"</f>
        <v>16.0304</v>
      </c>
      <c r="C815" s="58" t="s">
        <v>2845</v>
      </c>
      <c r="D815" s="79" t="s">
        <v>2846</v>
      </c>
      <c r="E815" s="79"/>
    </row>
    <row r="816" spans="1:5" ht="14.85" customHeight="1" outlineLevel="1" x14ac:dyDescent="0.25">
      <c r="A816" s="101" t="s">
        <v>1502</v>
      </c>
      <c r="B816" s="193" t="str">
        <f>"16.0399"</f>
        <v>16.0399</v>
      </c>
      <c r="C816" s="58" t="s">
        <v>2847</v>
      </c>
      <c r="D816" s="79" t="s">
        <v>2848</v>
      </c>
      <c r="E816" s="79"/>
    </row>
    <row r="817" spans="1:5" ht="14.85" customHeight="1" outlineLevel="1" x14ac:dyDescent="0.25">
      <c r="A817" s="101" t="s">
        <v>1502</v>
      </c>
      <c r="B817" s="193" t="str">
        <f>"16.04"</f>
        <v>16.04</v>
      </c>
      <c r="C817" s="58" t="s">
        <v>2849</v>
      </c>
      <c r="D817" s="79" t="s">
        <v>2850</v>
      </c>
      <c r="E817" s="79"/>
    </row>
    <row r="818" spans="1:5" ht="14.85" customHeight="1" outlineLevel="1" x14ac:dyDescent="0.25">
      <c r="A818" s="101" t="s">
        <v>1502</v>
      </c>
      <c r="B818" s="193" t="str">
        <f>"16.0400"</f>
        <v>16.0400</v>
      </c>
      <c r="C818" s="58" t="s">
        <v>2851</v>
      </c>
      <c r="D818" s="79" t="s">
        <v>2852</v>
      </c>
      <c r="E818" s="79"/>
    </row>
    <row r="819" spans="1:5" ht="14.85" customHeight="1" outlineLevel="1" x14ac:dyDescent="0.25">
      <c r="A819" s="101" t="s">
        <v>1502</v>
      </c>
      <c r="B819" s="193" t="str">
        <f>"16.0401"</f>
        <v>16.0401</v>
      </c>
      <c r="C819" s="58" t="s">
        <v>2853</v>
      </c>
      <c r="D819" s="79" t="s">
        <v>2854</v>
      </c>
      <c r="E819" s="79"/>
    </row>
    <row r="820" spans="1:5" ht="14.85" customHeight="1" outlineLevel="1" x14ac:dyDescent="0.25">
      <c r="A820" s="101" t="s">
        <v>1502</v>
      </c>
      <c r="B820" s="193" t="str">
        <f>"16.0402"</f>
        <v>16.0402</v>
      </c>
      <c r="C820" s="58" t="s">
        <v>2855</v>
      </c>
      <c r="D820" s="79" t="s">
        <v>2856</v>
      </c>
      <c r="E820" s="79"/>
    </row>
    <row r="821" spans="1:5" ht="14.85" customHeight="1" outlineLevel="1" x14ac:dyDescent="0.25">
      <c r="A821" s="101" t="s">
        <v>1502</v>
      </c>
      <c r="B821" s="193" t="str">
        <f>"16.0404"</f>
        <v>16.0404</v>
      </c>
      <c r="C821" s="58" t="s">
        <v>2857</v>
      </c>
      <c r="D821" s="79" t="s">
        <v>2858</v>
      </c>
      <c r="E821" s="79"/>
    </row>
    <row r="822" spans="1:5" ht="14.85" customHeight="1" outlineLevel="1" x14ac:dyDescent="0.25">
      <c r="A822" s="101" t="s">
        <v>1502</v>
      </c>
      <c r="B822" s="193" t="str">
        <f>"16.0405"</f>
        <v>16.0405</v>
      </c>
      <c r="C822" s="58" t="s">
        <v>2859</v>
      </c>
      <c r="D822" s="79" t="s">
        <v>2860</v>
      </c>
      <c r="E822" s="79"/>
    </row>
    <row r="823" spans="1:5" ht="14.85" customHeight="1" outlineLevel="1" x14ac:dyDescent="0.25">
      <c r="A823" s="101" t="s">
        <v>1502</v>
      </c>
      <c r="B823" s="193" t="str">
        <f>"16.0406"</f>
        <v>16.0406</v>
      </c>
      <c r="C823" s="58" t="s">
        <v>2861</v>
      </c>
      <c r="D823" s="79" t="s">
        <v>2862</v>
      </c>
      <c r="E823" s="79"/>
    </row>
    <row r="824" spans="1:5" ht="14.85" customHeight="1" outlineLevel="1" x14ac:dyDescent="0.25">
      <c r="A824" s="101" t="s">
        <v>1502</v>
      </c>
      <c r="B824" s="193" t="str">
        <f>"16.0407"</f>
        <v>16.0407</v>
      </c>
      <c r="C824" s="58" t="s">
        <v>2863</v>
      </c>
      <c r="D824" s="79" t="s">
        <v>2864</v>
      </c>
      <c r="E824" s="79"/>
    </row>
    <row r="825" spans="1:5" ht="14.85" customHeight="1" outlineLevel="1" x14ac:dyDescent="0.25">
      <c r="A825" s="101" t="s">
        <v>1502</v>
      </c>
      <c r="B825" s="193" t="str">
        <f>"16.0408"</f>
        <v>16.0408</v>
      </c>
      <c r="C825" s="58" t="s">
        <v>2865</v>
      </c>
      <c r="D825" s="79" t="s">
        <v>2866</v>
      </c>
      <c r="E825" s="79"/>
    </row>
    <row r="826" spans="1:5" ht="14.85" customHeight="1" outlineLevel="1" x14ac:dyDescent="0.25">
      <c r="A826" s="101" t="s">
        <v>1502</v>
      </c>
      <c r="B826" s="193" t="str">
        <f>"16.0409"</f>
        <v>16.0409</v>
      </c>
      <c r="C826" s="58" t="s">
        <v>2867</v>
      </c>
      <c r="D826" s="79" t="s">
        <v>2868</v>
      </c>
      <c r="E826" s="79"/>
    </row>
    <row r="827" spans="1:5" ht="14.85" customHeight="1" outlineLevel="1" x14ac:dyDescent="0.25">
      <c r="A827" s="101" t="s">
        <v>1502</v>
      </c>
      <c r="B827" s="193" t="str">
        <f>"16.0410"</f>
        <v>16.0410</v>
      </c>
      <c r="C827" s="58" t="s">
        <v>2869</v>
      </c>
      <c r="D827" s="79" t="s">
        <v>2870</v>
      </c>
      <c r="E827" s="79"/>
    </row>
    <row r="828" spans="1:5" ht="14.85" customHeight="1" outlineLevel="1" x14ac:dyDescent="0.25">
      <c r="A828" s="101" t="s">
        <v>1502</v>
      </c>
      <c r="B828" s="193" t="str">
        <f>"16.0499"</f>
        <v>16.0499</v>
      </c>
      <c r="C828" s="58" t="s">
        <v>2871</v>
      </c>
      <c r="D828" s="79" t="s">
        <v>2872</v>
      </c>
      <c r="E828" s="79"/>
    </row>
    <row r="829" spans="1:5" ht="14.85" customHeight="1" outlineLevel="1" x14ac:dyDescent="0.25">
      <c r="A829" s="101" t="s">
        <v>1502</v>
      </c>
      <c r="B829" s="193" t="str">
        <f>"16.05"</f>
        <v>16.05</v>
      </c>
      <c r="C829" s="58" t="s">
        <v>2873</v>
      </c>
      <c r="D829" s="79" t="s">
        <v>2874</v>
      </c>
      <c r="E829" s="79"/>
    </row>
    <row r="830" spans="1:5" ht="14.85" customHeight="1" outlineLevel="1" x14ac:dyDescent="0.25">
      <c r="A830" s="101" t="s">
        <v>1502</v>
      </c>
      <c r="B830" s="193" t="str">
        <f>"16.0500"</f>
        <v>16.0500</v>
      </c>
      <c r="C830" s="58" t="s">
        <v>2875</v>
      </c>
      <c r="D830" s="79" t="s">
        <v>2876</v>
      </c>
      <c r="E830" s="79"/>
    </row>
    <row r="831" spans="1:5" ht="14.85" customHeight="1" outlineLevel="1" x14ac:dyDescent="0.25">
      <c r="A831" s="101" t="s">
        <v>1502</v>
      </c>
      <c r="B831" s="193" t="str">
        <f>"16.0501"</f>
        <v>16.0501</v>
      </c>
      <c r="C831" s="58" t="s">
        <v>2877</v>
      </c>
      <c r="D831" s="79" t="s">
        <v>2878</v>
      </c>
      <c r="E831" s="79"/>
    </row>
    <row r="832" spans="1:5" ht="14.85" customHeight="1" outlineLevel="1" x14ac:dyDescent="0.25">
      <c r="A832" s="101" t="s">
        <v>1502</v>
      </c>
      <c r="B832" s="193" t="str">
        <f>"16.0502"</f>
        <v>16.0502</v>
      </c>
      <c r="C832" s="58" t="s">
        <v>2879</v>
      </c>
      <c r="D832" s="79" t="s">
        <v>2880</v>
      </c>
      <c r="E832" s="79"/>
    </row>
    <row r="833" spans="1:5" ht="14.85" customHeight="1" outlineLevel="1" x14ac:dyDescent="0.25">
      <c r="A833" s="101" t="s">
        <v>1502</v>
      </c>
      <c r="B833" s="193" t="str">
        <f>"16.0503"</f>
        <v>16.0503</v>
      </c>
      <c r="C833" s="58" t="s">
        <v>2881</v>
      </c>
      <c r="D833" s="79" t="s">
        <v>2882</v>
      </c>
      <c r="E833" s="79"/>
    </row>
    <row r="834" spans="1:5" ht="14.85" customHeight="1" outlineLevel="1" x14ac:dyDescent="0.25">
      <c r="A834" s="101" t="s">
        <v>1502</v>
      </c>
      <c r="B834" s="193" t="str">
        <f>"16.0504"</f>
        <v>16.0504</v>
      </c>
      <c r="C834" s="58" t="s">
        <v>2883</v>
      </c>
      <c r="D834" s="79" t="s">
        <v>2884</v>
      </c>
      <c r="E834" s="79"/>
    </row>
    <row r="835" spans="1:5" ht="14.85" customHeight="1" outlineLevel="1" x14ac:dyDescent="0.25">
      <c r="A835" s="101" t="s">
        <v>1502</v>
      </c>
      <c r="B835" s="193" t="str">
        <f>"16.0505"</f>
        <v>16.0505</v>
      </c>
      <c r="C835" s="58" t="s">
        <v>2885</v>
      </c>
      <c r="D835" s="79" t="s">
        <v>2886</v>
      </c>
      <c r="E835" s="79"/>
    </row>
    <row r="836" spans="1:5" ht="14.85" customHeight="1" outlineLevel="1" x14ac:dyDescent="0.25">
      <c r="A836" s="101" t="s">
        <v>1502</v>
      </c>
      <c r="B836" s="193" t="str">
        <f>"16.0506"</f>
        <v>16.0506</v>
      </c>
      <c r="C836" s="58" t="s">
        <v>2887</v>
      </c>
      <c r="D836" s="79" t="s">
        <v>2888</v>
      </c>
      <c r="E836" s="79"/>
    </row>
    <row r="837" spans="1:5" ht="14.85" customHeight="1" outlineLevel="1" x14ac:dyDescent="0.25">
      <c r="A837" s="101" t="s">
        <v>1502</v>
      </c>
      <c r="B837" s="193" t="str">
        <f>"16.0599"</f>
        <v>16.0599</v>
      </c>
      <c r="C837" s="58" t="s">
        <v>2889</v>
      </c>
      <c r="D837" s="79" t="s">
        <v>2890</v>
      </c>
      <c r="E837" s="79"/>
    </row>
    <row r="838" spans="1:5" ht="14.85" customHeight="1" outlineLevel="1" x14ac:dyDescent="0.25">
      <c r="A838" s="101" t="s">
        <v>1502</v>
      </c>
      <c r="B838" s="193" t="str">
        <f>"16.06"</f>
        <v>16.06</v>
      </c>
      <c r="C838" s="58" t="s">
        <v>2891</v>
      </c>
      <c r="D838" s="79" t="s">
        <v>2892</v>
      </c>
      <c r="E838" s="79"/>
    </row>
    <row r="839" spans="1:5" ht="14.85" customHeight="1" outlineLevel="1" x14ac:dyDescent="0.25">
      <c r="A839" s="101" t="s">
        <v>1502</v>
      </c>
      <c r="B839" s="193" t="str">
        <f>"16.0601"</f>
        <v>16.0601</v>
      </c>
      <c r="C839" s="58" t="s">
        <v>2891</v>
      </c>
      <c r="D839" s="79" t="s">
        <v>2893</v>
      </c>
      <c r="E839" s="79"/>
    </row>
    <row r="840" spans="1:5" ht="14.85" customHeight="1" outlineLevel="1" x14ac:dyDescent="0.25">
      <c r="A840" s="101" t="s">
        <v>1502</v>
      </c>
      <c r="B840" s="193" t="str">
        <f>"16.07"</f>
        <v>16.07</v>
      </c>
      <c r="C840" s="58" t="s">
        <v>2894</v>
      </c>
      <c r="D840" s="79" t="s">
        <v>2895</v>
      </c>
      <c r="E840" s="79"/>
    </row>
    <row r="841" spans="1:5" ht="14.85" customHeight="1" outlineLevel="1" x14ac:dyDescent="0.25">
      <c r="A841" s="101" t="s">
        <v>1502</v>
      </c>
      <c r="B841" s="193" t="str">
        <f>"16.0700"</f>
        <v>16.0700</v>
      </c>
      <c r="C841" s="58" t="s">
        <v>2896</v>
      </c>
      <c r="D841" s="79" t="s">
        <v>2897</v>
      </c>
      <c r="E841" s="79"/>
    </row>
    <row r="842" spans="1:5" ht="14.85" customHeight="1" outlineLevel="1" x14ac:dyDescent="0.25">
      <c r="A842" s="101" t="s">
        <v>1502</v>
      </c>
      <c r="B842" s="193" t="str">
        <f>"16.0701"</f>
        <v>16.0701</v>
      </c>
      <c r="C842" s="58" t="s">
        <v>2898</v>
      </c>
      <c r="D842" s="79" t="s">
        <v>2899</v>
      </c>
      <c r="E842" s="79"/>
    </row>
    <row r="843" spans="1:5" ht="14.85" customHeight="1" outlineLevel="1" x14ac:dyDescent="0.25">
      <c r="A843" s="101" t="s">
        <v>1502</v>
      </c>
      <c r="B843" s="193" t="str">
        <f>"16.0702"</f>
        <v>16.0702</v>
      </c>
      <c r="C843" s="58" t="s">
        <v>2900</v>
      </c>
      <c r="D843" s="79" t="s">
        <v>2901</v>
      </c>
      <c r="E843" s="79"/>
    </row>
    <row r="844" spans="1:5" ht="14.85" customHeight="1" outlineLevel="1" x14ac:dyDescent="0.25">
      <c r="A844" s="101" t="s">
        <v>1502</v>
      </c>
      <c r="B844" s="193" t="str">
        <f>"16.0704"</f>
        <v>16.0704</v>
      </c>
      <c r="C844" s="58" t="s">
        <v>2902</v>
      </c>
      <c r="D844" s="79" t="s">
        <v>2903</v>
      </c>
      <c r="E844" s="79"/>
    </row>
    <row r="845" spans="1:5" ht="14.85" customHeight="1" outlineLevel="1" x14ac:dyDescent="0.25">
      <c r="A845" s="101" t="s">
        <v>1502</v>
      </c>
      <c r="B845" s="193" t="str">
        <f>"16.0705"</f>
        <v>16.0705</v>
      </c>
      <c r="C845" s="58" t="s">
        <v>2904</v>
      </c>
      <c r="D845" s="79" t="s">
        <v>2905</v>
      </c>
      <c r="E845" s="79"/>
    </row>
    <row r="846" spans="1:5" ht="14.85" customHeight="1" outlineLevel="1" x14ac:dyDescent="0.25">
      <c r="A846" s="101" t="s">
        <v>1502</v>
      </c>
      <c r="B846" s="193" t="str">
        <f>"16.0706"</f>
        <v>16.0706</v>
      </c>
      <c r="C846" s="58" t="s">
        <v>2906</v>
      </c>
      <c r="D846" s="79" t="s">
        <v>2907</v>
      </c>
      <c r="E846" s="79"/>
    </row>
    <row r="847" spans="1:5" ht="14.85" customHeight="1" outlineLevel="1" x14ac:dyDescent="0.25">
      <c r="A847" s="101" t="s">
        <v>1502</v>
      </c>
      <c r="B847" s="193" t="str">
        <f>"16.0707"</f>
        <v>16.0707</v>
      </c>
      <c r="C847" s="58" t="s">
        <v>2908</v>
      </c>
      <c r="D847" s="79" t="s">
        <v>2909</v>
      </c>
      <c r="E847" s="79"/>
    </row>
    <row r="848" spans="1:5" ht="14.85" customHeight="1" outlineLevel="1" x14ac:dyDescent="0.25">
      <c r="A848" s="101" t="s">
        <v>1502</v>
      </c>
      <c r="B848" s="193" t="str">
        <f>"16.0799"</f>
        <v>16.0799</v>
      </c>
      <c r="C848" s="58" t="s">
        <v>2910</v>
      </c>
      <c r="D848" s="79" t="s">
        <v>2911</v>
      </c>
      <c r="E848" s="79"/>
    </row>
    <row r="849" spans="1:5" ht="14.85" customHeight="1" outlineLevel="1" x14ac:dyDescent="0.25">
      <c r="A849" s="101" t="s">
        <v>1502</v>
      </c>
      <c r="B849" s="193" t="str">
        <f>"16.08"</f>
        <v>16.08</v>
      </c>
      <c r="C849" s="58" t="s">
        <v>2912</v>
      </c>
      <c r="D849" s="79" t="s">
        <v>2913</v>
      </c>
      <c r="E849" s="79"/>
    </row>
    <row r="850" spans="1:5" ht="14.85" customHeight="1" outlineLevel="1" x14ac:dyDescent="0.25">
      <c r="A850" s="101" t="s">
        <v>1502</v>
      </c>
      <c r="B850" s="193" t="str">
        <f>"16.0801"</f>
        <v>16.0801</v>
      </c>
      <c r="C850" s="58" t="s">
        <v>2914</v>
      </c>
      <c r="D850" s="79" t="s">
        <v>2915</v>
      </c>
      <c r="E850" s="79"/>
    </row>
    <row r="851" spans="1:5" ht="14.85" customHeight="1" outlineLevel="1" x14ac:dyDescent="0.25">
      <c r="A851" s="101" t="s">
        <v>1502</v>
      </c>
      <c r="B851" s="193" t="str">
        <f>"16.09"</f>
        <v>16.09</v>
      </c>
      <c r="C851" s="58" t="s">
        <v>2916</v>
      </c>
      <c r="D851" s="79" t="s">
        <v>2917</v>
      </c>
      <c r="E851" s="79"/>
    </row>
    <row r="852" spans="1:5" ht="14.85" customHeight="1" outlineLevel="1" x14ac:dyDescent="0.25">
      <c r="A852" s="101" t="s">
        <v>1502</v>
      </c>
      <c r="B852" s="193" t="str">
        <f>"16.0900"</f>
        <v>16.0900</v>
      </c>
      <c r="C852" s="58" t="s">
        <v>2918</v>
      </c>
      <c r="D852" s="79" t="s">
        <v>2919</v>
      </c>
      <c r="E852" s="79"/>
    </row>
    <row r="853" spans="1:5" ht="14.85" customHeight="1" outlineLevel="1" x14ac:dyDescent="0.25">
      <c r="A853" s="101" t="s">
        <v>1502</v>
      </c>
      <c r="B853" s="193" t="str">
        <f>"16.0901"</f>
        <v>16.0901</v>
      </c>
      <c r="C853" s="58" t="s">
        <v>2920</v>
      </c>
      <c r="D853" s="79" t="s">
        <v>2921</v>
      </c>
      <c r="E853" s="79"/>
    </row>
    <row r="854" spans="1:5" ht="14.85" customHeight="1" outlineLevel="1" x14ac:dyDescent="0.25">
      <c r="A854" s="101" t="s">
        <v>1502</v>
      </c>
      <c r="B854" s="193" t="str">
        <f>"16.0902"</f>
        <v>16.0902</v>
      </c>
      <c r="C854" s="58" t="s">
        <v>2922</v>
      </c>
      <c r="D854" s="79" t="s">
        <v>2923</v>
      </c>
      <c r="E854" s="79"/>
    </row>
    <row r="855" spans="1:5" ht="14.85" customHeight="1" outlineLevel="1" x14ac:dyDescent="0.25">
      <c r="A855" s="101" t="s">
        <v>1502</v>
      </c>
      <c r="B855" s="193" t="str">
        <f>"16.0904"</f>
        <v>16.0904</v>
      </c>
      <c r="C855" s="58" t="s">
        <v>2924</v>
      </c>
      <c r="D855" s="79" t="s">
        <v>2925</v>
      </c>
      <c r="E855" s="79"/>
    </row>
    <row r="856" spans="1:5" ht="14.85" customHeight="1" outlineLevel="1" x14ac:dyDescent="0.25">
      <c r="A856" s="101" t="s">
        <v>1502</v>
      </c>
      <c r="B856" s="193" t="str">
        <f>"16.0905"</f>
        <v>16.0905</v>
      </c>
      <c r="C856" s="58" t="s">
        <v>2926</v>
      </c>
      <c r="D856" s="79" t="s">
        <v>2927</v>
      </c>
      <c r="E856" s="79"/>
    </row>
    <row r="857" spans="1:5" ht="14.85" customHeight="1" outlineLevel="1" x14ac:dyDescent="0.25">
      <c r="A857" s="101" t="s">
        <v>1502</v>
      </c>
      <c r="B857" s="193" t="str">
        <f>"16.0906"</f>
        <v>16.0906</v>
      </c>
      <c r="C857" s="58" t="s">
        <v>2928</v>
      </c>
      <c r="D857" s="79" t="s">
        <v>2929</v>
      </c>
      <c r="E857" s="79"/>
    </row>
    <row r="858" spans="1:5" ht="14.85" customHeight="1" outlineLevel="1" x14ac:dyDescent="0.25">
      <c r="A858" s="101" t="s">
        <v>1502</v>
      </c>
      <c r="B858" s="193" t="str">
        <f>"16.0907"</f>
        <v>16.0907</v>
      </c>
      <c r="C858" s="58" t="s">
        <v>2930</v>
      </c>
      <c r="D858" s="79" t="s">
        <v>2931</v>
      </c>
      <c r="E858" s="79"/>
    </row>
    <row r="859" spans="1:5" ht="14.85" customHeight="1" outlineLevel="1" x14ac:dyDescent="0.25">
      <c r="A859" s="101" t="s">
        <v>1502</v>
      </c>
      <c r="B859" s="193" t="str">
        <f>"16.0908"</f>
        <v>16.0908</v>
      </c>
      <c r="C859" s="58" t="s">
        <v>2932</v>
      </c>
      <c r="D859" s="79" t="s">
        <v>2933</v>
      </c>
      <c r="E859" s="79"/>
    </row>
    <row r="860" spans="1:5" ht="14.85" customHeight="1" outlineLevel="1" x14ac:dyDescent="0.25">
      <c r="A860" s="101" t="s">
        <v>1502</v>
      </c>
      <c r="B860" s="193" t="str">
        <f>"16.0999"</f>
        <v>16.0999</v>
      </c>
      <c r="C860" s="58" t="s">
        <v>2934</v>
      </c>
      <c r="D860" s="79" t="s">
        <v>2935</v>
      </c>
      <c r="E860" s="79"/>
    </row>
    <row r="861" spans="1:5" ht="14.85" customHeight="1" outlineLevel="1" x14ac:dyDescent="0.25">
      <c r="A861" s="101" t="s">
        <v>1502</v>
      </c>
      <c r="B861" s="193" t="str">
        <f>"16.10"</f>
        <v>16.10</v>
      </c>
      <c r="C861" s="58" t="s">
        <v>2936</v>
      </c>
      <c r="D861" s="79" t="s">
        <v>2937</v>
      </c>
      <c r="E861" s="79"/>
    </row>
    <row r="862" spans="1:5" ht="14.85" customHeight="1" outlineLevel="1" x14ac:dyDescent="0.25">
      <c r="A862" s="101" t="s">
        <v>1502</v>
      </c>
      <c r="B862" s="193" t="str">
        <f>"16.1001"</f>
        <v>16.1001</v>
      </c>
      <c r="C862" s="58" t="s">
        <v>2936</v>
      </c>
      <c r="D862" s="79" t="s">
        <v>2938</v>
      </c>
      <c r="E862" s="79"/>
    </row>
    <row r="863" spans="1:5" ht="14.85" customHeight="1" outlineLevel="1" x14ac:dyDescent="0.25">
      <c r="A863" s="101" t="s">
        <v>1502</v>
      </c>
      <c r="B863" s="193" t="str">
        <f>"16.11"</f>
        <v>16.11</v>
      </c>
      <c r="C863" s="58" t="s">
        <v>2939</v>
      </c>
      <c r="D863" s="79" t="s">
        <v>2940</v>
      </c>
      <c r="E863" s="79"/>
    </row>
    <row r="864" spans="1:5" ht="14.85" customHeight="1" outlineLevel="1" x14ac:dyDescent="0.25">
      <c r="A864" s="101" t="s">
        <v>1502</v>
      </c>
      <c r="B864" s="193" t="str">
        <f>"16.1100"</f>
        <v>16.1100</v>
      </c>
      <c r="C864" s="58" t="s">
        <v>2941</v>
      </c>
      <c r="D864" s="79" t="s">
        <v>2942</v>
      </c>
      <c r="E864" s="79"/>
    </row>
    <row r="865" spans="1:5" ht="14.85" customHeight="1" outlineLevel="1" x14ac:dyDescent="0.25">
      <c r="A865" s="101" t="s">
        <v>1502</v>
      </c>
      <c r="B865" s="193" t="str">
        <f>"16.1101"</f>
        <v>16.1101</v>
      </c>
      <c r="C865" s="58" t="s">
        <v>2943</v>
      </c>
      <c r="D865" s="79" t="s">
        <v>2944</v>
      </c>
      <c r="E865" s="79"/>
    </row>
    <row r="866" spans="1:5" ht="14.85" customHeight="1" outlineLevel="1" x14ac:dyDescent="0.25">
      <c r="A866" s="101" t="s">
        <v>1502</v>
      </c>
      <c r="B866" s="193" t="str">
        <f>"16.1102"</f>
        <v>16.1102</v>
      </c>
      <c r="C866" s="58" t="s">
        <v>2945</v>
      </c>
      <c r="D866" s="79" t="s">
        <v>2946</v>
      </c>
      <c r="E866" s="79"/>
    </row>
    <row r="867" spans="1:5" ht="14.85" customHeight="1" outlineLevel="1" x14ac:dyDescent="0.25">
      <c r="A867" s="101" t="s">
        <v>1502</v>
      </c>
      <c r="B867" s="193" t="str">
        <f>"16.1103"</f>
        <v>16.1103</v>
      </c>
      <c r="C867" s="58" t="s">
        <v>2947</v>
      </c>
      <c r="D867" s="79" t="s">
        <v>2948</v>
      </c>
      <c r="E867" s="79"/>
    </row>
    <row r="868" spans="1:5" ht="14.85" customHeight="1" outlineLevel="1" x14ac:dyDescent="0.25">
      <c r="A868" s="101" t="s">
        <v>1502</v>
      </c>
      <c r="B868" s="193" t="str">
        <f>"16.1199"</f>
        <v>16.1199</v>
      </c>
      <c r="C868" s="58" t="s">
        <v>2949</v>
      </c>
      <c r="D868" s="79" t="s">
        <v>2950</v>
      </c>
      <c r="E868" s="79"/>
    </row>
    <row r="869" spans="1:5" ht="14.85" customHeight="1" outlineLevel="1" x14ac:dyDescent="0.25">
      <c r="A869" s="101" t="s">
        <v>1502</v>
      </c>
      <c r="B869" s="193" t="str">
        <f>"16.12"</f>
        <v>16.12</v>
      </c>
      <c r="C869" s="58" t="s">
        <v>2951</v>
      </c>
      <c r="D869" s="79" t="s">
        <v>2952</v>
      </c>
      <c r="E869" s="79"/>
    </row>
    <row r="870" spans="1:5" ht="14.85" customHeight="1" outlineLevel="1" x14ac:dyDescent="0.25">
      <c r="A870" s="101" t="s">
        <v>1502</v>
      </c>
      <c r="B870" s="193" t="str">
        <f>"16.1200"</f>
        <v>16.1200</v>
      </c>
      <c r="C870" s="58" t="s">
        <v>2953</v>
      </c>
      <c r="D870" s="79" t="s">
        <v>2954</v>
      </c>
      <c r="E870" s="79"/>
    </row>
    <row r="871" spans="1:5" ht="14.85" customHeight="1" outlineLevel="1" x14ac:dyDescent="0.25">
      <c r="A871" s="101" t="s">
        <v>1502</v>
      </c>
      <c r="B871" s="193" t="str">
        <f>"16.1202"</f>
        <v>16.1202</v>
      </c>
      <c r="C871" s="58" t="s">
        <v>2955</v>
      </c>
      <c r="D871" s="79" t="s">
        <v>2956</v>
      </c>
      <c r="E871" s="79"/>
    </row>
    <row r="872" spans="1:5" ht="14.85" customHeight="1" outlineLevel="1" x14ac:dyDescent="0.25">
      <c r="A872" s="101" t="s">
        <v>1502</v>
      </c>
      <c r="B872" s="193" t="str">
        <f>"16.1203"</f>
        <v>16.1203</v>
      </c>
      <c r="C872" s="58" t="s">
        <v>2957</v>
      </c>
      <c r="D872" s="79" t="s">
        <v>2958</v>
      </c>
      <c r="E872" s="79"/>
    </row>
    <row r="873" spans="1:5" ht="14.85" customHeight="1" outlineLevel="1" x14ac:dyDescent="0.25">
      <c r="A873" s="101" t="s">
        <v>1502</v>
      </c>
      <c r="B873" s="193" t="str">
        <f>"16.1299"</f>
        <v>16.1299</v>
      </c>
      <c r="C873" s="58" t="s">
        <v>2959</v>
      </c>
      <c r="D873" s="79" t="s">
        <v>2960</v>
      </c>
      <c r="E873" s="79"/>
    </row>
    <row r="874" spans="1:5" ht="14.85" customHeight="1" outlineLevel="1" x14ac:dyDescent="0.25">
      <c r="A874" s="101" t="s">
        <v>1502</v>
      </c>
      <c r="B874" s="193" t="str">
        <f>"16.13"</f>
        <v>16.13</v>
      </c>
      <c r="C874" s="58" t="s">
        <v>2961</v>
      </c>
      <c r="D874" s="79" t="s">
        <v>2962</v>
      </c>
      <c r="E874" s="79"/>
    </row>
    <row r="875" spans="1:5" ht="14.85" customHeight="1" outlineLevel="1" x14ac:dyDescent="0.25">
      <c r="A875" s="101" t="s">
        <v>1502</v>
      </c>
      <c r="B875" s="193" t="str">
        <f>"16.1301"</f>
        <v>16.1301</v>
      </c>
      <c r="C875" s="58" t="s">
        <v>2961</v>
      </c>
      <c r="D875" s="79" t="s">
        <v>2963</v>
      </c>
      <c r="E875" s="79"/>
    </row>
    <row r="876" spans="1:5" ht="14.85" customHeight="1" outlineLevel="1" x14ac:dyDescent="0.25">
      <c r="A876" s="101" t="s">
        <v>1502</v>
      </c>
      <c r="B876" s="193" t="str">
        <f>"16.14"</f>
        <v>16.14</v>
      </c>
      <c r="C876" s="58" t="s">
        <v>2964</v>
      </c>
      <c r="D876" s="79" t="s">
        <v>2965</v>
      </c>
      <c r="E876" s="79"/>
    </row>
    <row r="877" spans="1:5" ht="14.85" customHeight="1" outlineLevel="1" x14ac:dyDescent="0.25">
      <c r="A877" s="101" t="s">
        <v>1502</v>
      </c>
      <c r="B877" s="193" t="str">
        <f>"16.1400"</f>
        <v>16.1400</v>
      </c>
      <c r="C877" s="58" t="s">
        <v>2966</v>
      </c>
      <c r="D877" s="79" t="s">
        <v>2967</v>
      </c>
      <c r="E877" s="79"/>
    </row>
    <row r="878" spans="1:5" ht="14.85" customHeight="1" outlineLevel="1" x14ac:dyDescent="0.25">
      <c r="A878" s="101" t="s">
        <v>1502</v>
      </c>
      <c r="B878" s="193" t="str">
        <f>"16.1401"</f>
        <v>16.1401</v>
      </c>
      <c r="C878" s="58" t="s">
        <v>2968</v>
      </c>
      <c r="D878" s="79" t="s">
        <v>2969</v>
      </c>
      <c r="E878" s="79"/>
    </row>
    <row r="879" spans="1:5" ht="14.85" customHeight="1" outlineLevel="1" x14ac:dyDescent="0.25">
      <c r="A879" s="101" t="s">
        <v>1502</v>
      </c>
      <c r="B879" s="193" t="str">
        <f>"16.1402"</f>
        <v>16.1402</v>
      </c>
      <c r="C879" s="58" t="s">
        <v>2970</v>
      </c>
      <c r="D879" s="79" t="s">
        <v>2971</v>
      </c>
      <c r="E879" s="79"/>
    </row>
    <row r="880" spans="1:5" ht="14.85" customHeight="1" outlineLevel="1" x14ac:dyDescent="0.25">
      <c r="A880" s="101" t="s">
        <v>1502</v>
      </c>
      <c r="B880" s="193" t="str">
        <f>"16.1403"</f>
        <v>16.1403</v>
      </c>
      <c r="C880" s="58" t="s">
        <v>2972</v>
      </c>
      <c r="D880" s="79" t="s">
        <v>2973</v>
      </c>
      <c r="E880" s="79"/>
    </row>
    <row r="881" spans="1:5" ht="14.85" customHeight="1" outlineLevel="1" x14ac:dyDescent="0.25">
      <c r="A881" s="101" t="s">
        <v>1502</v>
      </c>
      <c r="B881" s="193" t="str">
        <f>"16.1404"</f>
        <v>16.1404</v>
      </c>
      <c r="C881" s="58" t="s">
        <v>2974</v>
      </c>
      <c r="D881" s="79" t="s">
        <v>2975</v>
      </c>
      <c r="E881" s="79"/>
    </row>
    <row r="882" spans="1:5" ht="14.85" customHeight="1" outlineLevel="1" x14ac:dyDescent="0.25">
      <c r="A882" s="101" t="s">
        <v>1502</v>
      </c>
      <c r="B882" s="193" t="str">
        <f>"16.1405"</f>
        <v>16.1405</v>
      </c>
      <c r="C882" s="58" t="s">
        <v>2976</v>
      </c>
      <c r="D882" s="79" t="s">
        <v>2977</v>
      </c>
      <c r="E882" s="79"/>
    </row>
    <row r="883" spans="1:5" ht="14.85" customHeight="1" outlineLevel="1" x14ac:dyDescent="0.25">
      <c r="A883" s="101" t="s">
        <v>1502</v>
      </c>
      <c r="B883" s="193" t="str">
        <f>"16.1406"</f>
        <v>16.1406</v>
      </c>
      <c r="C883" s="58" t="s">
        <v>2978</v>
      </c>
      <c r="D883" s="79" t="s">
        <v>2979</v>
      </c>
      <c r="E883" s="79"/>
    </row>
    <row r="884" spans="1:5" ht="14.85" customHeight="1" outlineLevel="1" x14ac:dyDescent="0.25">
      <c r="A884" s="101" t="s">
        <v>1502</v>
      </c>
      <c r="B884" s="193" t="str">
        <f>"16.1407"</f>
        <v>16.1407</v>
      </c>
      <c r="C884" s="58" t="s">
        <v>2980</v>
      </c>
      <c r="D884" s="79" t="s">
        <v>2981</v>
      </c>
      <c r="E884" s="79"/>
    </row>
    <row r="885" spans="1:5" ht="14.85" customHeight="1" outlineLevel="1" x14ac:dyDescent="0.25">
      <c r="A885" s="101" t="s">
        <v>1502</v>
      </c>
      <c r="B885" s="193" t="str">
        <f>"16.1408"</f>
        <v>16.1408</v>
      </c>
      <c r="C885" s="58" t="s">
        <v>2982</v>
      </c>
      <c r="D885" s="79" t="s">
        <v>2983</v>
      </c>
      <c r="E885" s="79"/>
    </row>
    <row r="886" spans="1:5" ht="14.85" customHeight="1" outlineLevel="1" x14ac:dyDescent="0.25">
      <c r="A886" s="101" t="s">
        <v>1502</v>
      </c>
      <c r="B886" s="193" t="str">
        <f>"16.1409"</f>
        <v>16.1409</v>
      </c>
      <c r="C886" s="58" t="s">
        <v>2984</v>
      </c>
      <c r="D886" s="79" t="s">
        <v>2985</v>
      </c>
      <c r="E886" s="79"/>
    </row>
    <row r="887" spans="1:5" ht="14.85" customHeight="1" outlineLevel="1" x14ac:dyDescent="0.25">
      <c r="A887" s="101" t="s">
        <v>1502</v>
      </c>
      <c r="B887" s="193" t="str">
        <f>"16.1499"</f>
        <v>16.1499</v>
      </c>
      <c r="C887" s="58" t="s">
        <v>2986</v>
      </c>
      <c r="D887" s="79" t="s">
        <v>2987</v>
      </c>
      <c r="E887" s="79"/>
    </row>
    <row r="888" spans="1:5" ht="14.85" customHeight="1" outlineLevel="1" x14ac:dyDescent="0.25">
      <c r="A888" s="101" t="s">
        <v>1502</v>
      </c>
      <c r="B888" s="193" t="str">
        <f>"16.15"</f>
        <v>16.15</v>
      </c>
      <c r="C888" s="58" t="s">
        <v>2988</v>
      </c>
      <c r="D888" s="79" t="s">
        <v>2989</v>
      </c>
      <c r="E888" s="79"/>
    </row>
    <row r="889" spans="1:5" ht="14.85" customHeight="1" outlineLevel="1" x14ac:dyDescent="0.25">
      <c r="A889" s="101" t="s">
        <v>1502</v>
      </c>
      <c r="B889" s="193" t="str">
        <f>"16.1501"</f>
        <v>16.1501</v>
      </c>
      <c r="C889" s="58" t="s">
        <v>2990</v>
      </c>
      <c r="D889" s="79" t="s">
        <v>2991</v>
      </c>
      <c r="E889" s="79"/>
    </row>
    <row r="890" spans="1:5" ht="14.85" customHeight="1" outlineLevel="1" x14ac:dyDescent="0.25">
      <c r="A890" s="101" t="s">
        <v>1502</v>
      </c>
      <c r="B890" s="193" t="str">
        <f>"16.1502"</f>
        <v>16.1502</v>
      </c>
      <c r="C890" s="58" t="s">
        <v>2992</v>
      </c>
      <c r="D890" s="79" t="s">
        <v>2993</v>
      </c>
      <c r="E890" s="79"/>
    </row>
    <row r="891" spans="1:5" ht="14.85" customHeight="1" outlineLevel="1" x14ac:dyDescent="0.25">
      <c r="A891" s="101" t="s">
        <v>1502</v>
      </c>
      <c r="B891" s="193" t="str">
        <f>"16.1503"</f>
        <v>16.1503</v>
      </c>
      <c r="C891" s="58" t="s">
        <v>2994</v>
      </c>
      <c r="D891" s="79" t="s">
        <v>2995</v>
      </c>
      <c r="E891" s="79"/>
    </row>
    <row r="892" spans="1:5" ht="14.85" customHeight="1" outlineLevel="1" x14ac:dyDescent="0.25">
      <c r="A892" s="101" t="s">
        <v>1502</v>
      </c>
      <c r="B892" s="193" t="str">
        <f>"16.1504"</f>
        <v>16.1504</v>
      </c>
      <c r="C892" s="58" t="s">
        <v>2996</v>
      </c>
      <c r="D892" s="79" t="s">
        <v>2997</v>
      </c>
      <c r="E892" s="79"/>
    </row>
    <row r="893" spans="1:5" ht="14.85" customHeight="1" outlineLevel="1" x14ac:dyDescent="0.25">
      <c r="A893" s="101" t="s">
        <v>1502</v>
      </c>
      <c r="B893" s="193" t="str">
        <f>"16.1599"</f>
        <v>16.1599</v>
      </c>
      <c r="C893" s="58" t="s">
        <v>2998</v>
      </c>
      <c r="D893" s="79" t="s">
        <v>2999</v>
      </c>
      <c r="E893" s="79"/>
    </row>
    <row r="894" spans="1:5" ht="14.85" customHeight="1" outlineLevel="1" x14ac:dyDescent="0.25">
      <c r="A894" s="101" t="s">
        <v>1502</v>
      </c>
      <c r="B894" s="193" t="str">
        <f>"16.16"</f>
        <v>16.16</v>
      </c>
      <c r="C894" s="58" t="s">
        <v>3000</v>
      </c>
      <c r="D894" s="79" t="s">
        <v>3001</v>
      </c>
      <c r="E894" s="79"/>
    </row>
    <row r="895" spans="1:5" ht="14.85" customHeight="1" outlineLevel="1" x14ac:dyDescent="0.25">
      <c r="A895" s="101" t="s">
        <v>1502</v>
      </c>
      <c r="B895" s="193" t="str">
        <f>"16.1601"</f>
        <v>16.1601</v>
      </c>
      <c r="C895" s="58" t="s">
        <v>3002</v>
      </c>
      <c r="D895" s="79" t="s">
        <v>3003</v>
      </c>
      <c r="E895" s="79"/>
    </row>
    <row r="896" spans="1:5" ht="14.85" customHeight="1" outlineLevel="1" x14ac:dyDescent="0.25">
      <c r="A896" s="101" t="s">
        <v>1502</v>
      </c>
      <c r="B896" s="193" t="str">
        <f>"16.1602"</f>
        <v>16.1602</v>
      </c>
      <c r="C896" s="58" t="s">
        <v>3004</v>
      </c>
      <c r="D896" s="79" t="s">
        <v>3005</v>
      </c>
      <c r="E896" s="79"/>
    </row>
    <row r="897" spans="1:5" ht="14.85" customHeight="1" outlineLevel="1" x14ac:dyDescent="0.25">
      <c r="A897" s="101" t="s">
        <v>1502</v>
      </c>
      <c r="B897" s="193" t="str">
        <f>"16.1603"</f>
        <v>16.1603</v>
      </c>
      <c r="C897" s="58" t="s">
        <v>3006</v>
      </c>
      <c r="D897" s="79" t="s">
        <v>3007</v>
      </c>
      <c r="E897" s="79"/>
    </row>
    <row r="898" spans="1:5" ht="14.85" customHeight="1" outlineLevel="1" x14ac:dyDescent="0.25">
      <c r="A898" s="101" t="s">
        <v>1502</v>
      </c>
      <c r="B898" s="193" t="str">
        <f>"16.1699"</f>
        <v>16.1699</v>
      </c>
      <c r="C898" s="58" t="s">
        <v>3008</v>
      </c>
      <c r="D898" s="79" t="s">
        <v>3009</v>
      </c>
      <c r="E898" s="79"/>
    </row>
    <row r="899" spans="1:5" ht="14.85" customHeight="1" outlineLevel="1" x14ac:dyDescent="0.25">
      <c r="A899" s="101" t="s">
        <v>1502</v>
      </c>
      <c r="B899" s="193" t="str">
        <f>"16.17"</f>
        <v>16.17</v>
      </c>
      <c r="C899" s="58" t="s">
        <v>3010</v>
      </c>
      <c r="D899" s="79" t="s">
        <v>3011</v>
      </c>
      <c r="E899" s="79"/>
    </row>
    <row r="900" spans="1:5" ht="14.85" customHeight="1" outlineLevel="1" x14ac:dyDescent="0.25">
      <c r="A900" s="101" t="s">
        <v>1502</v>
      </c>
      <c r="B900" s="193" t="str">
        <f>"16.1701"</f>
        <v>16.1701</v>
      </c>
      <c r="C900" s="58" t="s">
        <v>3012</v>
      </c>
      <c r="D900" s="79" t="s">
        <v>3013</v>
      </c>
      <c r="E900" s="79"/>
    </row>
    <row r="901" spans="1:5" ht="14.85" customHeight="1" outlineLevel="1" x14ac:dyDescent="0.25">
      <c r="A901" s="101" t="s">
        <v>1502</v>
      </c>
      <c r="B901" s="193" t="str">
        <f>"16.1702"</f>
        <v>16.1702</v>
      </c>
      <c r="C901" s="58" t="s">
        <v>1559</v>
      </c>
      <c r="D901" s="79" t="s">
        <v>1560</v>
      </c>
      <c r="E901" s="79"/>
    </row>
    <row r="902" spans="1:5" ht="14.85" customHeight="1" outlineLevel="1" x14ac:dyDescent="0.25">
      <c r="A902" s="101" t="s">
        <v>1502</v>
      </c>
      <c r="B902" s="193" t="str">
        <f>"16.1799"</f>
        <v>16.1799</v>
      </c>
      <c r="C902" s="58" t="s">
        <v>1559</v>
      </c>
      <c r="D902" s="79" t="s">
        <v>1560</v>
      </c>
      <c r="E902" s="79"/>
    </row>
    <row r="903" spans="1:5" ht="14.85" customHeight="1" outlineLevel="1" x14ac:dyDescent="0.25">
      <c r="A903" s="101" t="s">
        <v>1502</v>
      </c>
      <c r="B903" s="193" t="str">
        <f>"16.18"</f>
        <v>16.18</v>
      </c>
      <c r="C903" s="58" t="s">
        <v>3014</v>
      </c>
      <c r="D903" s="79" t="s">
        <v>3015</v>
      </c>
      <c r="E903" s="79"/>
    </row>
    <row r="904" spans="1:5" ht="14.85" customHeight="1" outlineLevel="1" x14ac:dyDescent="0.25">
      <c r="A904" s="101" t="s">
        <v>1502</v>
      </c>
      <c r="B904" s="193" t="str">
        <f>"16.1801"</f>
        <v>16.1801</v>
      </c>
      <c r="C904" s="58" t="s">
        <v>3016</v>
      </c>
      <c r="D904" s="79" t="s">
        <v>3017</v>
      </c>
      <c r="E904" s="79"/>
    </row>
    <row r="905" spans="1:5" ht="14.85" customHeight="1" outlineLevel="1" x14ac:dyDescent="0.25">
      <c r="A905" s="101" t="s">
        <v>1502</v>
      </c>
      <c r="B905" s="193" t="str">
        <f>"16.99"</f>
        <v>16.99</v>
      </c>
      <c r="C905" s="58" t="s">
        <v>3018</v>
      </c>
      <c r="D905" s="79" t="s">
        <v>3019</v>
      </c>
      <c r="E905" s="79"/>
    </row>
    <row r="906" spans="1:5" ht="14.85" customHeight="1" outlineLevel="1" x14ac:dyDescent="0.25">
      <c r="A906" s="101" t="s">
        <v>1502</v>
      </c>
      <c r="B906" s="193" t="str">
        <f>"16.9999"</f>
        <v>16.9999</v>
      </c>
      <c r="C906" s="58" t="s">
        <v>3018</v>
      </c>
      <c r="D906" s="79" t="s">
        <v>3020</v>
      </c>
      <c r="E906" s="79"/>
    </row>
    <row r="907" spans="1:5" ht="14.85" customHeight="1" outlineLevel="1" x14ac:dyDescent="0.25">
      <c r="A907" s="101" t="s">
        <v>1502</v>
      </c>
      <c r="B907" s="193" t="str">
        <f>"19"</f>
        <v>19</v>
      </c>
      <c r="C907" s="58" t="s">
        <v>3021</v>
      </c>
      <c r="D907" s="79" t="s">
        <v>3022</v>
      </c>
      <c r="E907" s="79"/>
    </row>
    <row r="908" spans="1:5" ht="14.85" customHeight="1" outlineLevel="1" x14ac:dyDescent="0.25">
      <c r="A908" s="101" t="s">
        <v>1502</v>
      </c>
      <c r="B908" s="193" t="str">
        <f>"19.01"</f>
        <v>19.01</v>
      </c>
      <c r="C908" s="58" t="s">
        <v>3023</v>
      </c>
      <c r="D908" s="79" t="s">
        <v>3024</v>
      </c>
      <c r="E908" s="79"/>
    </row>
    <row r="909" spans="1:5" ht="14.85" customHeight="1" outlineLevel="1" x14ac:dyDescent="0.25">
      <c r="A909" s="101" t="s">
        <v>1502</v>
      </c>
      <c r="B909" s="193" t="str">
        <f>"19.0101"</f>
        <v>19.0101</v>
      </c>
      <c r="C909" s="58" t="s">
        <v>3023</v>
      </c>
      <c r="D909" s="79" t="s">
        <v>3025</v>
      </c>
      <c r="E909" s="79"/>
    </row>
    <row r="910" spans="1:5" ht="14.85" customHeight="1" outlineLevel="1" x14ac:dyDescent="0.25">
      <c r="A910" s="101" t="s">
        <v>1502</v>
      </c>
      <c r="B910" s="193" t="str">
        <f>"19.02"</f>
        <v>19.02</v>
      </c>
      <c r="C910" s="58" t="s">
        <v>3026</v>
      </c>
      <c r="D910" s="79" t="s">
        <v>3027</v>
      </c>
      <c r="E910" s="79"/>
    </row>
    <row r="911" spans="1:5" ht="14.85" customHeight="1" outlineLevel="1" x14ac:dyDescent="0.25">
      <c r="A911" s="101" t="s">
        <v>1502</v>
      </c>
      <c r="B911" s="193" t="str">
        <f>"19.0201"</f>
        <v>19.0201</v>
      </c>
      <c r="C911" s="58" t="s">
        <v>3028</v>
      </c>
      <c r="D911" s="79" t="s">
        <v>3029</v>
      </c>
      <c r="E911" s="79"/>
    </row>
    <row r="912" spans="1:5" ht="14.85" customHeight="1" outlineLevel="1" x14ac:dyDescent="0.25">
      <c r="A912" s="101" t="s">
        <v>1502</v>
      </c>
      <c r="B912" s="193" t="str">
        <f>"19.0202"</f>
        <v>19.0202</v>
      </c>
      <c r="C912" s="58" t="s">
        <v>3030</v>
      </c>
      <c r="D912" s="79" t="s">
        <v>3031</v>
      </c>
      <c r="E912" s="79"/>
    </row>
    <row r="913" spans="1:5" ht="14.85" customHeight="1" outlineLevel="1" x14ac:dyDescent="0.25">
      <c r="A913" s="101" t="s">
        <v>1502</v>
      </c>
      <c r="B913" s="193" t="str">
        <f>"19.0203"</f>
        <v>19.0203</v>
      </c>
      <c r="C913" s="58" t="s">
        <v>3032</v>
      </c>
      <c r="D913" s="79" t="s">
        <v>3033</v>
      </c>
      <c r="E913" s="79"/>
    </row>
    <row r="914" spans="1:5" ht="14.85" customHeight="1" outlineLevel="1" x14ac:dyDescent="0.25">
      <c r="A914" s="101" t="s">
        <v>1502</v>
      </c>
      <c r="B914" s="193" t="str">
        <f>"19.0299"</f>
        <v>19.0299</v>
      </c>
      <c r="C914" s="58" t="s">
        <v>3034</v>
      </c>
      <c r="D914" s="79" t="s">
        <v>3035</v>
      </c>
      <c r="E914" s="79"/>
    </row>
    <row r="915" spans="1:5" ht="14.85" customHeight="1" outlineLevel="1" x14ac:dyDescent="0.25">
      <c r="A915" s="101" t="s">
        <v>1502</v>
      </c>
      <c r="B915" s="193" t="str">
        <f>"19.04"</f>
        <v>19.04</v>
      </c>
      <c r="C915" s="58" t="s">
        <v>3036</v>
      </c>
      <c r="D915" s="79" t="s">
        <v>3037</v>
      </c>
      <c r="E915" s="79"/>
    </row>
    <row r="916" spans="1:5" ht="14.85" customHeight="1" outlineLevel="1" x14ac:dyDescent="0.25">
      <c r="A916" s="101" t="s">
        <v>1502</v>
      </c>
      <c r="B916" s="193" t="str">
        <f>"19.0401"</f>
        <v>19.0401</v>
      </c>
      <c r="C916" s="58" t="s">
        <v>3038</v>
      </c>
      <c r="D916" s="79" t="s">
        <v>3039</v>
      </c>
      <c r="E916" s="79"/>
    </row>
    <row r="917" spans="1:5" ht="14.85" customHeight="1" outlineLevel="1" x14ac:dyDescent="0.25">
      <c r="A917" s="101" t="s">
        <v>1502</v>
      </c>
      <c r="B917" s="193" t="str">
        <f>"19.0402"</f>
        <v>19.0402</v>
      </c>
      <c r="C917" s="58" t="s">
        <v>3040</v>
      </c>
      <c r="D917" s="79" t="s">
        <v>3041</v>
      </c>
      <c r="E917" s="79"/>
    </row>
    <row r="918" spans="1:5" ht="14.85" customHeight="1" outlineLevel="1" x14ac:dyDescent="0.25">
      <c r="A918" s="101" t="s">
        <v>1502</v>
      </c>
      <c r="B918" s="193" t="str">
        <f>"19.0403"</f>
        <v>19.0403</v>
      </c>
      <c r="C918" s="58" t="s">
        <v>3042</v>
      </c>
      <c r="D918" s="79" t="s">
        <v>3043</v>
      </c>
      <c r="E918" s="79"/>
    </row>
    <row r="919" spans="1:5" ht="14.85" customHeight="1" outlineLevel="1" x14ac:dyDescent="0.25">
      <c r="A919" s="101" t="s">
        <v>1502</v>
      </c>
      <c r="B919" s="193" t="str">
        <f>"19.0499"</f>
        <v>19.0499</v>
      </c>
      <c r="C919" s="58" t="s">
        <v>3044</v>
      </c>
      <c r="D919" s="79" t="s">
        <v>3045</v>
      </c>
      <c r="E919" s="79"/>
    </row>
    <row r="920" spans="1:5" ht="14.85" customHeight="1" outlineLevel="1" x14ac:dyDescent="0.25">
      <c r="A920" s="101" t="s">
        <v>1502</v>
      </c>
      <c r="B920" s="193" t="str">
        <f>"19.05"</f>
        <v>19.05</v>
      </c>
      <c r="C920" s="58" t="s">
        <v>3046</v>
      </c>
      <c r="D920" s="79" t="s">
        <v>3047</v>
      </c>
      <c r="E920" s="79"/>
    </row>
    <row r="921" spans="1:5" ht="14.85" customHeight="1" outlineLevel="1" x14ac:dyDescent="0.25">
      <c r="A921" s="101" t="s">
        <v>1502</v>
      </c>
      <c r="B921" s="193" t="str">
        <f>"19.0501"</f>
        <v>19.0501</v>
      </c>
      <c r="C921" s="58" t="s">
        <v>3048</v>
      </c>
      <c r="D921" s="79" t="s">
        <v>3049</v>
      </c>
      <c r="E921" s="79"/>
    </row>
    <row r="922" spans="1:5" ht="14.85" customHeight="1" outlineLevel="1" x14ac:dyDescent="0.25">
      <c r="A922" s="101" t="s">
        <v>1502</v>
      </c>
      <c r="B922" s="193" t="str">
        <f>"19.0504"</f>
        <v>19.0504</v>
      </c>
      <c r="C922" s="58" t="s">
        <v>3050</v>
      </c>
      <c r="D922" s="79" t="s">
        <v>3051</v>
      </c>
      <c r="E922" s="79"/>
    </row>
    <row r="923" spans="1:5" ht="14.85" customHeight="1" outlineLevel="1" x14ac:dyDescent="0.25">
      <c r="A923" s="101" t="s">
        <v>1502</v>
      </c>
      <c r="B923" s="193" t="str">
        <f>"19.0505"</f>
        <v>19.0505</v>
      </c>
      <c r="C923" s="58" t="s">
        <v>3052</v>
      </c>
      <c r="D923" s="79" t="s">
        <v>3053</v>
      </c>
      <c r="E923" s="79"/>
    </row>
    <row r="924" spans="1:5" ht="14.85" customHeight="1" outlineLevel="1" x14ac:dyDescent="0.25">
      <c r="A924" s="101" t="s">
        <v>1502</v>
      </c>
      <c r="B924" s="193" t="str">
        <f>"19.0599"</f>
        <v>19.0599</v>
      </c>
      <c r="C924" s="58" t="s">
        <v>3054</v>
      </c>
      <c r="D924" s="79" t="s">
        <v>3055</v>
      </c>
      <c r="E924" s="79"/>
    </row>
    <row r="925" spans="1:5" ht="14.85" customHeight="1" outlineLevel="1" x14ac:dyDescent="0.25">
      <c r="A925" s="101" t="s">
        <v>1502</v>
      </c>
      <c r="B925" s="193" t="str">
        <f>"19.06"</f>
        <v>19.06</v>
      </c>
      <c r="C925" s="58" t="s">
        <v>3056</v>
      </c>
      <c r="D925" s="79" t="s">
        <v>3057</v>
      </c>
      <c r="E925" s="79"/>
    </row>
    <row r="926" spans="1:5" ht="14.85" customHeight="1" outlineLevel="1" x14ac:dyDescent="0.25">
      <c r="A926" s="101" t="s">
        <v>1502</v>
      </c>
      <c r="B926" s="193" t="str">
        <f>"19.0601"</f>
        <v>19.0601</v>
      </c>
      <c r="C926" s="58" t="s">
        <v>3058</v>
      </c>
      <c r="D926" s="79" t="s">
        <v>3059</v>
      </c>
      <c r="E926" s="79"/>
    </row>
    <row r="927" spans="1:5" ht="14.85" customHeight="1" outlineLevel="1" x14ac:dyDescent="0.25">
      <c r="A927" s="101" t="s">
        <v>1502</v>
      </c>
      <c r="B927" s="193" t="str">
        <f>"19.0604"</f>
        <v>19.0604</v>
      </c>
      <c r="C927" s="58" t="s">
        <v>3060</v>
      </c>
      <c r="D927" s="79" t="s">
        <v>3061</v>
      </c>
      <c r="E927" s="79"/>
    </row>
    <row r="928" spans="1:5" ht="14.85" customHeight="1" outlineLevel="1" x14ac:dyDescent="0.25">
      <c r="A928" s="101" t="s">
        <v>1502</v>
      </c>
      <c r="B928" s="193" t="str">
        <f>"19.0605"</f>
        <v>19.0605</v>
      </c>
      <c r="C928" s="58" t="s">
        <v>3062</v>
      </c>
      <c r="D928" s="79" t="s">
        <v>3063</v>
      </c>
      <c r="E928" s="79"/>
    </row>
    <row r="929" spans="1:5" ht="14.85" customHeight="1" outlineLevel="1" x14ac:dyDescent="0.25">
      <c r="A929" s="101" t="s">
        <v>1502</v>
      </c>
      <c r="B929" s="193" t="str">
        <f>"19.0699"</f>
        <v>19.0699</v>
      </c>
      <c r="C929" s="58" t="s">
        <v>3064</v>
      </c>
      <c r="D929" s="79" t="s">
        <v>3065</v>
      </c>
      <c r="E929" s="79"/>
    </row>
    <row r="930" spans="1:5" ht="14.85" customHeight="1" outlineLevel="1" x14ac:dyDescent="0.25">
      <c r="A930" s="101" t="s">
        <v>1502</v>
      </c>
      <c r="B930" s="193" t="str">
        <f>"19.07"</f>
        <v>19.07</v>
      </c>
      <c r="C930" s="58" t="s">
        <v>3066</v>
      </c>
      <c r="D930" s="79" t="s">
        <v>3067</v>
      </c>
      <c r="E930" s="79"/>
    </row>
    <row r="931" spans="1:5" ht="14.85" customHeight="1" outlineLevel="1" x14ac:dyDescent="0.25">
      <c r="A931" s="101" t="s">
        <v>1502</v>
      </c>
      <c r="B931" s="193" t="str">
        <f>"19.0701"</f>
        <v>19.0701</v>
      </c>
      <c r="C931" s="58" t="s">
        <v>3068</v>
      </c>
      <c r="D931" s="79" t="s">
        <v>3069</v>
      </c>
      <c r="E931" s="79"/>
    </row>
    <row r="932" spans="1:5" ht="14.85" customHeight="1" outlineLevel="1" x14ac:dyDescent="0.25">
      <c r="A932" s="101" t="s">
        <v>1502</v>
      </c>
      <c r="B932" s="193" t="str">
        <f>"19.0702"</f>
        <v>19.0702</v>
      </c>
      <c r="C932" s="58" t="s">
        <v>3070</v>
      </c>
      <c r="D932" s="79" t="s">
        <v>3071</v>
      </c>
      <c r="E932" s="79"/>
    </row>
    <row r="933" spans="1:5" ht="14.85" customHeight="1" outlineLevel="1" x14ac:dyDescent="0.25">
      <c r="A933" s="101" t="s">
        <v>1502</v>
      </c>
      <c r="B933" s="193" t="str">
        <f>"19.0704"</f>
        <v>19.0704</v>
      </c>
      <c r="C933" s="58" t="s">
        <v>3072</v>
      </c>
      <c r="D933" s="79" t="s">
        <v>3073</v>
      </c>
      <c r="E933" s="79"/>
    </row>
    <row r="934" spans="1:5" ht="14.85" customHeight="1" outlineLevel="1" x14ac:dyDescent="0.25">
      <c r="A934" s="101" t="s">
        <v>1502</v>
      </c>
      <c r="B934" s="193" t="str">
        <f>"19.0706"</f>
        <v>19.0706</v>
      </c>
      <c r="C934" s="58" t="s">
        <v>3074</v>
      </c>
      <c r="D934" s="79" t="s">
        <v>3075</v>
      </c>
      <c r="E934" s="79"/>
    </row>
    <row r="935" spans="1:5" ht="14.85" customHeight="1" outlineLevel="1" x14ac:dyDescent="0.25">
      <c r="A935" s="101" t="s">
        <v>1502</v>
      </c>
      <c r="B935" s="193" t="str">
        <f>"19.0707"</f>
        <v>19.0707</v>
      </c>
      <c r="C935" s="58" t="s">
        <v>3076</v>
      </c>
      <c r="D935" s="79" t="s">
        <v>3077</v>
      </c>
      <c r="E935" s="79"/>
    </row>
    <row r="936" spans="1:5" ht="14.85" customHeight="1" outlineLevel="1" x14ac:dyDescent="0.25">
      <c r="A936" s="101" t="s">
        <v>1502</v>
      </c>
      <c r="B936" s="193" t="str">
        <f>"19.0708"</f>
        <v>19.0708</v>
      </c>
      <c r="C936" s="58" t="s">
        <v>3078</v>
      </c>
      <c r="D936" s="79" t="s">
        <v>3079</v>
      </c>
      <c r="E936" s="79"/>
    </row>
    <row r="937" spans="1:5" ht="14.85" customHeight="1" outlineLevel="1" x14ac:dyDescent="0.25">
      <c r="A937" s="101" t="s">
        <v>1502</v>
      </c>
      <c r="B937" s="193" t="str">
        <f>"19.0709"</f>
        <v>19.0709</v>
      </c>
      <c r="C937" s="58" t="s">
        <v>3080</v>
      </c>
      <c r="D937" s="79" t="s">
        <v>3081</v>
      </c>
      <c r="E937" s="79"/>
    </row>
    <row r="938" spans="1:5" ht="14.85" customHeight="1" outlineLevel="1" x14ac:dyDescent="0.25">
      <c r="A938" s="101" t="s">
        <v>1502</v>
      </c>
      <c r="B938" s="193" t="str">
        <f>"19.0710"</f>
        <v>19.0710</v>
      </c>
      <c r="C938" s="58" t="s">
        <v>3082</v>
      </c>
      <c r="D938" s="79" t="s">
        <v>3083</v>
      </c>
      <c r="E938" s="79"/>
    </row>
    <row r="939" spans="1:5" ht="14.85" customHeight="1" outlineLevel="1" x14ac:dyDescent="0.25">
      <c r="A939" s="101" t="s">
        <v>1502</v>
      </c>
      <c r="B939" s="193" t="str">
        <f>"19.0711"</f>
        <v>19.0711</v>
      </c>
      <c r="C939" s="58" t="s">
        <v>3084</v>
      </c>
      <c r="D939" s="79" t="s">
        <v>3085</v>
      </c>
      <c r="E939" s="79"/>
    </row>
    <row r="940" spans="1:5" ht="14.85" customHeight="1" outlineLevel="1" x14ac:dyDescent="0.25">
      <c r="A940" s="101" t="s">
        <v>1502</v>
      </c>
      <c r="B940" s="193" t="str">
        <f>"19.0712"</f>
        <v>19.0712</v>
      </c>
      <c r="C940" s="58" t="s">
        <v>3086</v>
      </c>
      <c r="D940" s="79" t="s">
        <v>3087</v>
      </c>
      <c r="E940" s="79"/>
    </row>
    <row r="941" spans="1:5" ht="14.85" customHeight="1" outlineLevel="1" x14ac:dyDescent="0.25">
      <c r="A941" s="101" t="s">
        <v>1502</v>
      </c>
      <c r="B941" s="193" t="str">
        <f>"19.0799"</f>
        <v>19.0799</v>
      </c>
      <c r="C941" s="58" t="s">
        <v>3088</v>
      </c>
      <c r="D941" s="79" t="s">
        <v>3089</v>
      </c>
      <c r="E941" s="79"/>
    </row>
    <row r="942" spans="1:5" ht="14.85" customHeight="1" outlineLevel="1" x14ac:dyDescent="0.25">
      <c r="A942" s="101" t="s">
        <v>1502</v>
      </c>
      <c r="B942" s="193" t="str">
        <f>"19.09"</f>
        <v>19.09</v>
      </c>
      <c r="C942" s="58" t="s">
        <v>3090</v>
      </c>
      <c r="D942" s="79" t="s">
        <v>3091</v>
      </c>
      <c r="E942" s="79"/>
    </row>
    <row r="943" spans="1:5" ht="14.85" customHeight="1" outlineLevel="1" x14ac:dyDescent="0.25">
      <c r="A943" s="101" t="s">
        <v>1502</v>
      </c>
      <c r="B943" s="193" t="str">
        <f>"19.0901"</f>
        <v>19.0901</v>
      </c>
      <c r="C943" s="58" t="s">
        <v>3092</v>
      </c>
      <c r="D943" s="79" t="s">
        <v>3093</v>
      </c>
      <c r="E943" s="79"/>
    </row>
    <row r="944" spans="1:5" ht="14.85" customHeight="1" outlineLevel="1" x14ac:dyDescent="0.25">
      <c r="A944" s="101" t="s">
        <v>1502</v>
      </c>
      <c r="B944" s="193" t="str">
        <f>"19.0902"</f>
        <v>19.0902</v>
      </c>
      <c r="C944" s="58" t="s">
        <v>3094</v>
      </c>
      <c r="D944" s="79" t="s">
        <v>3095</v>
      </c>
      <c r="E944" s="79"/>
    </row>
    <row r="945" spans="1:5" ht="14.85" customHeight="1" outlineLevel="1" x14ac:dyDescent="0.25">
      <c r="A945" s="101" t="s">
        <v>1502</v>
      </c>
      <c r="B945" s="193" t="str">
        <f>"19.0904"</f>
        <v>19.0904</v>
      </c>
      <c r="C945" s="58" t="s">
        <v>3096</v>
      </c>
      <c r="D945" s="79" t="s">
        <v>3097</v>
      </c>
      <c r="E945" s="79"/>
    </row>
    <row r="946" spans="1:5" ht="14.85" customHeight="1" outlineLevel="1" x14ac:dyDescent="0.25">
      <c r="A946" s="101" t="s">
        <v>1502</v>
      </c>
      <c r="B946" s="193" t="str">
        <f>"19.0905"</f>
        <v>19.0905</v>
      </c>
      <c r="C946" s="58" t="s">
        <v>3098</v>
      </c>
      <c r="D946" s="79" t="s">
        <v>3099</v>
      </c>
      <c r="E946" s="79"/>
    </row>
    <row r="947" spans="1:5" ht="14.85" customHeight="1" outlineLevel="1" x14ac:dyDescent="0.25">
      <c r="A947" s="101" t="s">
        <v>1502</v>
      </c>
      <c r="B947" s="193" t="str">
        <f>"19.0906"</f>
        <v>19.0906</v>
      </c>
      <c r="C947" s="58" t="s">
        <v>3100</v>
      </c>
      <c r="D947" s="79" t="s">
        <v>3101</v>
      </c>
      <c r="E947" s="79"/>
    </row>
    <row r="948" spans="1:5" ht="14.85" customHeight="1" outlineLevel="1" x14ac:dyDescent="0.25">
      <c r="A948" s="101" t="s">
        <v>1502</v>
      </c>
      <c r="B948" s="193" t="str">
        <f>"19.0999"</f>
        <v>19.0999</v>
      </c>
      <c r="C948" s="58" t="s">
        <v>3102</v>
      </c>
      <c r="D948" s="79" t="s">
        <v>3103</v>
      </c>
      <c r="E948" s="79"/>
    </row>
    <row r="949" spans="1:5" ht="14.85" customHeight="1" outlineLevel="1" x14ac:dyDescent="0.25">
      <c r="A949" s="101" t="s">
        <v>1502</v>
      </c>
      <c r="B949" s="193" t="str">
        <f>"19.10"</f>
        <v>19.10</v>
      </c>
      <c r="C949" s="58" t="s">
        <v>3104</v>
      </c>
      <c r="D949" s="79" t="s">
        <v>3105</v>
      </c>
      <c r="E949" s="79"/>
    </row>
    <row r="950" spans="1:5" ht="14.85" customHeight="1" outlineLevel="1" x14ac:dyDescent="0.25">
      <c r="A950" s="101" t="s">
        <v>1502</v>
      </c>
      <c r="B950" s="193" t="str">
        <f>"19.1001"</f>
        <v>19.1001</v>
      </c>
      <c r="C950" s="58" t="s">
        <v>3104</v>
      </c>
      <c r="D950" s="79" t="s">
        <v>3106</v>
      </c>
      <c r="E950" s="79"/>
    </row>
    <row r="951" spans="1:5" ht="14.85" customHeight="1" outlineLevel="1" x14ac:dyDescent="0.25">
      <c r="A951" s="101" t="s">
        <v>1502</v>
      </c>
      <c r="B951" s="193" t="str">
        <f>"19.99"</f>
        <v>19.99</v>
      </c>
      <c r="C951" s="58" t="s">
        <v>3107</v>
      </c>
      <c r="D951" s="79" t="s">
        <v>3108</v>
      </c>
      <c r="E951" s="79"/>
    </row>
    <row r="952" spans="1:5" ht="14.85" customHeight="1" outlineLevel="1" x14ac:dyDescent="0.25">
      <c r="A952" s="101" t="s">
        <v>1502</v>
      </c>
      <c r="B952" s="193" t="str">
        <f>"19.9999"</f>
        <v>19.9999</v>
      </c>
      <c r="C952" s="58" t="s">
        <v>3107</v>
      </c>
      <c r="D952" s="79" t="s">
        <v>3109</v>
      </c>
      <c r="E952" s="79"/>
    </row>
    <row r="953" spans="1:5" ht="14.85" customHeight="1" outlineLevel="1" x14ac:dyDescent="0.25">
      <c r="A953" s="101" t="s">
        <v>1502</v>
      </c>
      <c r="B953" s="193" t="str">
        <f>"21"</f>
        <v>21</v>
      </c>
      <c r="C953" s="58" t="s">
        <v>3110</v>
      </c>
      <c r="D953" s="79" t="s">
        <v>3111</v>
      </c>
      <c r="E953" s="79"/>
    </row>
    <row r="954" spans="1:5" ht="14.85" customHeight="1" outlineLevel="1" x14ac:dyDescent="0.25">
      <c r="A954" s="101" t="s">
        <v>1502</v>
      </c>
      <c r="B954" s="193" t="str">
        <f>"21.01"</f>
        <v>21.01</v>
      </c>
      <c r="C954" s="58" t="s">
        <v>1559</v>
      </c>
      <c r="D954" s="79" t="s">
        <v>3112</v>
      </c>
      <c r="E954" s="79"/>
    </row>
    <row r="955" spans="1:5" ht="14.85" customHeight="1" outlineLevel="1" x14ac:dyDescent="0.25">
      <c r="A955" s="101" t="s">
        <v>1502</v>
      </c>
      <c r="B955" s="193" t="str">
        <f>"21.0101"</f>
        <v>21.0101</v>
      </c>
      <c r="C955" s="58" t="s">
        <v>1559</v>
      </c>
      <c r="D955" s="79" t="s">
        <v>1560</v>
      </c>
      <c r="E955" s="79"/>
    </row>
    <row r="956" spans="1:5" ht="14.85" customHeight="1" outlineLevel="1" x14ac:dyDescent="0.25">
      <c r="A956" s="101" t="s">
        <v>1502</v>
      </c>
      <c r="B956" s="193" t="str">
        <f>"22"</f>
        <v>22</v>
      </c>
      <c r="C956" s="58" t="s">
        <v>3113</v>
      </c>
      <c r="D956" s="79" t="s">
        <v>3114</v>
      </c>
      <c r="E956" s="79"/>
    </row>
    <row r="957" spans="1:5" ht="14.85" customHeight="1" outlineLevel="1" x14ac:dyDescent="0.25">
      <c r="A957" s="101" t="s">
        <v>1502</v>
      </c>
      <c r="B957" s="193" t="str">
        <f>"22.00"</f>
        <v>22.00</v>
      </c>
      <c r="C957" s="58" t="s">
        <v>3115</v>
      </c>
      <c r="D957" s="79" t="s">
        <v>3116</v>
      </c>
      <c r="E957" s="79"/>
    </row>
    <row r="958" spans="1:5" ht="14.85" customHeight="1" outlineLevel="1" x14ac:dyDescent="0.25">
      <c r="A958" s="101" t="s">
        <v>1502</v>
      </c>
      <c r="B958" s="193" t="str">
        <f>"22.0000"</f>
        <v>22.0000</v>
      </c>
      <c r="C958" s="58" t="s">
        <v>3117</v>
      </c>
      <c r="D958" s="79" t="s">
        <v>3118</v>
      </c>
      <c r="E958" s="79"/>
    </row>
    <row r="959" spans="1:5" ht="14.85" customHeight="1" outlineLevel="1" x14ac:dyDescent="0.25">
      <c r="A959" s="101" t="s">
        <v>1502</v>
      </c>
      <c r="B959" s="193" t="str">
        <f>"22.0001"</f>
        <v>22.0001</v>
      </c>
      <c r="C959" s="58" t="s">
        <v>3119</v>
      </c>
      <c r="D959" s="79" t="s">
        <v>3120</v>
      </c>
      <c r="E959" s="79"/>
    </row>
    <row r="960" spans="1:5" ht="14.85" customHeight="1" outlineLevel="1" x14ac:dyDescent="0.25">
      <c r="A960" s="101" t="s">
        <v>1502</v>
      </c>
      <c r="B960" s="193" t="str">
        <f>"22.0099"</f>
        <v>22.0099</v>
      </c>
      <c r="C960" s="58" t="s">
        <v>3121</v>
      </c>
      <c r="D960" s="79" t="s">
        <v>3122</v>
      </c>
      <c r="E960" s="79"/>
    </row>
    <row r="961" spans="1:5" ht="14.85" customHeight="1" outlineLevel="1" x14ac:dyDescent="0.25">
      <c r="A961" s="101" t="s">
        <v>1502</v>
      </c>
      <c r="B961" s="193" t="str">
        <f>"22.01"</f>
        <v>22.01</v>
      </c>
      <c r="C961" s="58" t="s">
        <v>3123</v>
      </c>
      <c r="D961" s="79" t="s">
        <v>3124</v>
      </c>
      <c r="E961" s="79"/>
    </row>
    <row r="962" spans="1:5" ht="14.85" customHeight="1" outlineLevel="1" x14ac:dyDescent="0.25">
      <c r="A962" s="101" t="s">
        <v>1502</v>
      </c>
      <c r="B962" s="193" t="str">
        <f>"22.0101"</f>
        <v>22.0101</v>
      </c>
      <c r="C962" s="58" t="s">
        <v>3123</v>
      </c>
      <c r="D962" s="79" t="s">
        <v>3125</v>
      </c>
      <c r="E962" s="79"/>
    </row>
    <row r="963" spans="1:5" ht="14.85" customHeight="1" outlineLevel="1" x14ac:dyDescent="0.25">
      <c r="A963" s="101" t="s">
        <v>1502</v>
      </c>
      <c r="B963" s="193" t="str">
        <f>"22.02"</f>
        <v>22.02</v>
      </c>
      <c r="C963" s="58" t="s">
        <v>3126</v>
      </c>
      <c r="D963" s="79" t="s">
        <v>3127</v>
      </c>
      <c r="E963" s="79"/>
    </row>
    <row r="964" spans="1:5" ht="14.85" customHeight="1" outlineLevel="1" x14ac:dyDescent="0.25">
      <c r="A964" s="101" t="s">
        <v>1502</v>
      </c>
      <c r="B964" s="193" t="str">
        <f>"22.0201"</f>
        <v>22.0201</v>
      </c>
      <c r="C964" s="58" t="s">
        <v>3128</v>
      </c>
      <c r="D964" s="79" t="s">
        <v>3129</v>
      </c>
      <c r="E964" s="79"/>
    </row>
    <row r="965" spans="1:5" ht="14.85" customHeight="1" outlineLevel="1" x14ac:dyDescent="0.25">
      <c r="A965" s="101" t="s">
        <v>1502</v>
      </c>
      <c r="B965" s="193" t="str">
        <f>"22.0202"</f>
        <v>22.0202</v>
      </c>
      <c r="C965" s="58" t="s">
        <v>3130</v>
      </c>
      <c r="D965" s="79" t="s">
        <v>3131</v>
      </c>
      <c r="E965" s="79"/>
    </row>
    <row r="966" spans="1:5" ht="14.85" customHeight="1" outlineLevel="1" x14ac:dyDescent="0.25">
      <c r="A966" s="101" t="s">
        <v>1502</v>
      </c>
      <c r="B966" s="193" t="str">
        <f>"22.0203"</f>
        <v>22.0203</v>
      </c>
      <c r="C966" s="58" t="s">
        <v>3132</v>
      </c>
      <c r="D966" s="79" t="s">
        <v>3133</v>
      </c>
      <c r="E966" s="79"/>
    </row>
    <row r="967" spans="1:5" ht="14.85" customHeight="1" outlineLevel="1" x14ac:dyDescent="0.25">
      <c r="A967" s="101" t="s">
        <v>1502</v>
      </c>
      <c r="B967" s="193" t="str">
        <f>"22.0204"</f>
        <v>22.0204</v>
      </c>
      <c r="C967" s="58" t="s">
        <v>3134</v>
      </c>
      <c r="D967" s="79" t="s">
        <v>3135</v>
      </c>
      <c r="E967" s="79"/>
    </row>
    <row r="968" spans="1:5" ht="14.85" customHeight="1" outlineLevel="1" x14ac:dyDescent="0.25">
      <c r="A968" s="101" t="s">
        <v>1502</v>
      </c>
      <c r="B968" s="193" t="str">
        <f>"22.0205"</f>
        <v>22.0205</v>
      </c>
      <c r="C968" s="58" t="s">
        <v>3136</v>
      </c>
      <c r="D968" s="79" t="s">
        <v>3137</v>
      </c>
      <c r="E968" s="79"/>
    </row>
    <row r="969" spans="1:5" ht="14.85" customHeight="1" outlineLevel="1" x14ac:dyDescent="0.25">
      <c r="A969" s="101" t="s">
        <v>1502</v>
      </c>
      <c r="B969" s="193" t="str">
        <f>"22.0206"</f>
        <v>22.0206</v>
      </c>
      <c r="C969" s="58" t="s">
        <v>3138</v>
      </c>
      <c r="D969" s="79" t="s">
        <v>3139</v>
      </c>
      <c r="E969" s="79"/>
    </row>
    <row r="970" spans="1:5" ht="14.85" customHeight="1" outlineLevel="1" x14ac:dyDescent="0.25">
      <c r="A970" s="101" t="s">
        <v>1502</v>
      </c>
      <c r="B970" s="193" t="str">
        <f>"22.0207"</f>
        <v>22.0207</v>
      </c>
      <c r="C970" s="58" t="s">
        <v>3140</v>
      </c>
      <c r="D970" s="79" t="s">
        <v>3141</v>
      </c>
      <c r="E970" s="79"/>
    </row>
    <row r="971" spans="1:5" ht="14.85" customHeight="1" outlineLevel="1" x14ac:dyDescent="0.25">
      <c r="A971" s="101" t="s">
        <v>1502</v>
      </c>
      <c r="B971" s="193" t="str">
        <f>"22.0208"</f>
        <v>22.0208</v>
      </c>
      <c r="C971" s="58" t="s">
        <v>3142</v>
      </c>
      <c r="D971" s="79" t="s">
        <v>3143</v>
      </c>
      <c r="E971" s="79"/>
    </row>
    <row r="972" spans="1:5" ht="14.85" customHeight="1" outlineLevel="1" x14ac:dyDescent="0.25">
      <c r="A972" s="101" t="s">
        <v>1502</v>
      </c>
      <c r="B972" s="193" t="str">
        <f>"22.0209"</f>
        <v>22.0209</v>
      </c>
      <c r="C972" s="58" t="s">
        <v>3144</v>
      </c>
      <c r="D972" s="79" t="s">
        <v>3145</v>
      </c>
      <c r="E972" s="79"/>
    </row>
    <row r="973" spans="1:5" ht="14.85" customHeight="1" outlineLevel="1" x14ac:dyDescent="0.25">
      <c r="A973" s="101" t="s">
        <v>1502</v>
      </c>
      <c r="B973" s="193" t="str">
        <f>"22.0210"</f>
        <v>22.0210</v>
      </c>
      <c r="C973" s="58" t="s">
        <v>3146</v>
      </c>
      <c r="D973" s="79" t="s">
        <v>3147</v>
      </c>
      <c r="E973" s="79"/>
    </row>
    <row r="974" spans="1:5" ht="14.85" customHeight="1" outlineLevel="1" x14ac:dyDescent="0.25">
      <c r="A974" s="101" t="s">
        <v>1502</v>
      </c>
      <c r="B974" s="193" t="str">
        <f>"22.0211"</f>
        <v>22.0211</v>
      </c>
      <c r="C974" s="58" t="s">
        <v>3148</v>
      </c>
      <c r="D974" s="79" t="s">
        <v>3149</v>
      </c>
      <c r="E974" s="79"/>
    </row>
    <row r="975" spans="1:5" ht="14.85" customHeight="1" outlineLevel="1" x14ac:dyDescent="0.25">
      <c r="A975" s="101" t="s">
        <v>1502</v>
      </c>
      <c r="B975" s="193" t="str">
        <f>"22.0212"</f>
        <v>22.0212</v>
      </c>
      <c r="C975" s="58" t="s">
        <v>3150</v>
      </c>
      <c r="D975" s="79" t="s">
        <v>3151</v>
      </c>
      <c r="E975" s="79"/>
    </row>
    <row r="976" spans="1:5" ht="14.85" customHeight="1" outlineLevel="1" x14ac:dyDescent="0.25">
      <c r="A976" s="101" t="s">
        <v>1502</v>
      </c>
      <c r="B976" s="193" t="str">
        <f>"22.0213"</f>
        <v>22.0213</v>
      </c>
      <c r="C976" s="58" t="s">
        <v>3152</v>
      </c>
      <c r="D976" s="79" t="s">
        <v>3153</v>
      </c>
      <c r="E976" s="79"/>
    </row>
    <row r="977" spans="1:5" ht="14.85" customHeight="1" outlineLevel="1" x14ac:dyDescent="0.25">
      <c r="A977" s="101" t="s">
        <v>1502</v>
      </c>
      <c r="B977" s="193" t="str">
        <f>"22.0214"</f>
        <v>22.0214</v>
      </c>
      <c r="C977" s="58" t="s">
        <v>3154</v>
      </c>
      <c r="D977" s="79" t="s">
        <v>3155</v>
      </c>
      <c r="E977" s="79"/>
    </row>
    <row r="978" spans="1:5" ht="14.85" customHeight="1" outlineLevel="1" x14ac:dyDescent="0.25">
      <c r="A978" s="101" t="s">
        <v>1502</v>
      </c>
      <c r="B978" s="193" t="str">
        <f>"22.0215"</f>
        <v>22.0215</v>
      </c>
      <c r="C978" s="58" t="s">
        <v>3156</v>
      </c>
      <c r="D978" s="79" t="s">
        <v>3157</v>
      </c>
      <c r="E978" s="79"/>
    </row>
    <row r="979" spans="1:5" ht="14.85" customHeight="1" outlineLevel="1" x14ac:dyDescent="0.25">
      <c r="A979" s="101" t="s">
        <v>1502</v>
      </c>
      <c r="B979" s="193" t="str">
        <f>"22.0216"</f>
        <v>22.0216</v>
      </c>
      <c r="C979" s="58" t="s">
        <v>3158</v>
      </c>
      <c r="D979" s="79" t="s">
        <v>3159</v>
      </c>
      <c r="E979" s="79"/>
    </row>
    <row r="980" spans="1:5" ht="14.85" customHeight="1" outlineLevel="1" x14ac:dyDescent="0.25">
      <c r="A980" s="101" t="s">
        <v>1502</v>
      </c>
      <c r="B980" s="193" t="str">
        <f>"22.0217"</f>
        <v>22.0217</v>
      </c>
      <c r="C980" s="58" t="s">
        <v>3160</v>
      </c>
      <c r="D980" s="79" t="s">
        <v>3161</v>
      </c>
      <c r="E980" s="79"/>
    </row>
    <row r="981" spans="1:5" ht="14.85" customHeight="1" outlineLevel="1" x14ac:dyDescent="0.25">
      <c r="A981" s="101" t="s">
        <v>1502</v>
      </c>
      <c r="B981" s="193" t="str">
        <f>"22.0218"</f>
        <v>22.0218</v>
      </c>
      <c r="C981" s="58" t="s">
        <v>3162</v>
      </c>
      <c r="D981" s="79" t="s">
        <v>3163</v>
      </c>
      <c r="E981" s="79"/>
    </row>
    <row r="982" spans="1:5" ht="14.85" customHeight="1" outlineLevel="1" x14ac:dyDescent="0.25">
      <c r="A982" s="101" t="s">
        <v>1502</v>
      </c>
      <c r="B982" s="193" t="str">
        <f>"22.0219"</f>
        <v>22.0219</v>
      </c>
      <c r="C982" s="58" t="s">
        <v>3164</v>
      </c>
      <c r="D982" s="79" t="s">
        <v>3165</v>
      </c>
      <c r="E982" s="79"/>
    </row>
    <row r="983" spans="1:5" ht="14.85" customHeight="1" outlineLevel="1" x14ac:dyDescent="0.25">
      <c r="A983" s="101" t="s">
        <v>1502</v>
      </c>
      <c r="B983" s="193" t="str">
        <f>"22.0220"</f>
        <v>22.0220</v>
      </c>
      <c r="C983" s="58" t="s">
        <v>3166</v>
      </c>
      <c r="D983" s="79" t="s">
        <v>3167</v>
      </c>
      <c r="E983" s="79"/>
    </row>
    <row r="984" spans="1:5" ht="14.85" customHeight="1" outlineLevel="1" x14ac:dyDescent="0.25">
      <c r="A984" s="101" t="s">
        <v>1502</v>
      </c>
      <c r="B984" s="193" t="str">
        <f>"22.0221"</f>
        <v>22.0221</v>
      </c>
      <c r="C984" s="58" t="s">
        <v>3168</v>
      </c>
      <c r="D984" s="79" t="s">
        <v>3169</v>
      </c>
      <c r="E984" s="79"/>
    </row>
    <row r="985" spans="1:5" ht="14.85" customHeight="1" outlineLevel="1" x14ac:dyDescent="0.25">
      <c r="A985" s="101" t="s">
        <v>1502</v>
      </c>
      <c r="B985" s="193" t="str">
        <f>"22.0222"</f>
        <v>22.0222</v>
      </c>
      <c r="C985" s="58" t="s">
        <v>3170</v>
      </c>
      <c r="D985" s="79" t="s">
        <v>3171</v>
      </c>
      <c r="E985" s="79"/>
    </row>
    <row r="986" spans="1:5" ht="14.85" customHeight="1" outlineLevel="1" x14ac:dyDescent="0.25">
      <c r="A986" s="101" t="s">
        <v>1502</v>
      </c>
      <c r="B986" s="193" t="str">
        <f>"22.0223"</f>
        <v>22.0223</v>
      </c>
      <c r="C986" s="58" t="s">
        <v>3172</v>
      </c>
      <c r="D986" s="79" t="s">
        <v>3173</v>
      </c>
      <c r="E986" s="79"/>
    </row>
    <row r="987" spans="1:5" ht="14.85" customHeight="1" outlineLevel="1" x14ac:dyDescent="0.25">
      <c r="A987" s="101" t="s">
        <v>1502</v>
      </c>
      <c r="B987" s="193" t="str">
        <f>"22.0224"</f>
        <v>22.0224</v>
      </c>
      <c r="C987" s="58" t="s">
        <v>3174</v>
      </c>
      <c r="D987" s="79" t="s">
        <v>3175</v>
      </c>
      <c r="E987" s="79"/>
    </row>
    <row r="988" spans="1:5" ht="14.85" customHeight="1" outlineLevel="1" x14ac:dyDescent="0.25">
      <c r="A988" s="101" t="s">
        <v>1502</v>
      </c>
      <c r="B988" s="193" t="str">
        <f>"22.0299"</f>
        <v>22.0299</v>
      </c>
      <c r="C988" s="58" t="s">
        <v>3176</v>
      </c>
      <c r="D988" s="79" t="s">
        <v>3177</v>
      </c>
      <c r="E988" s="79"/>
    </row>
    <row r="989" spans="1:5" ht="14.85" customHeight="1" outlineLevel="1" x14ac:dyDescent="0.25">
      <c r="A989" s="101" t="s">
        <v>1502</v>
      </c>
      <c r="B989" s="193" t="str">
        <f>"22.03"</f>
        <v>22.03</v>
      </c>
      <c r="C989" s="58" t="s">
        <v>3178</v>
      </c>
      <c r="D989" s="79" t="s">
        <v>3179</v>
      </c>
      <c r="E989" s="79"/>
    </row>
    <row r="990" spans="1:5" ht="14.85" customHeight="1" outlineLevel="1" x14ac:dyDescent="0.25">
      <c r="A990" s="101" t="s">
        <v>1502</v>
      </c>
      <c r="B990" s="193" t="str">
        <f>"22.0301"</f>
        <v>22.0301</v>
      </c>
      <c r="C990" s="58" t="s">
        <v>3180</v>
      </c>
      <c r="D990" s="79" t="s">
        <v>3181</v>
      </c>
      <c r="E990" s="79"/>
    </row>
    <row r="991" spans="1:5" ht="14.85" customHeight="1" outlineLevel="1" x14ac:dyDescent="0.25">
      <c r="A991" s="101" t="s">
        <v>1502</v>
      </c>
      <c r="B991" s="193" t="str">
        <f>"22.0302"</f>
        <v>22.0302</v>
      </c>
      <c r="C991" s="58" t="s">
        <v>3182</v>
      </c>
      <c r="D991" s="79" t="s">
        <v>3183</v>
      </c>
      <c r="E991" s="79"/>
    </row>
    <row r="992" spans="1:5" ht="14.85" customHeight="1" outlineLevel="1" x14ac:dyDescent="0.25">
      <c r="A992" s="101" t="s">
        <v>1502</v>
      </c>
      <c r="B992" s="193" t="str">
        <f>"22.0303"</f>
        <v>22.0303</v>
      </c>
      <c r="C992" s="58" t="s">
        <v>3184</v>
      </c>
      <c r="D992" s="79" t="s">
        <v>3185</v>
      </c>
      <c r="E992" s="79"/>
    </row>
    <row r="993" spans="1:5" ht="14.85" customHeight="1" outlineLevel="1" x14ac:dyDescent="0.25">
      <c r="A993" s="101" t="s">
        <v>1502</v>
      </c>
      <c r="B993" s="193" t="str">
        <f>"22.0304"</f>
        <v>22.0304</v>
      </c>
      <c r="C993" s="58" t="s">
        <v>3186</v>
      </c>
      <c r="D993" s="79" t="s">
        <v>3187</v>
      </c>
      <c r="E993" s="79"/>
    </row>
    <row r="994" spans="1:5" ht="14.85" customHeight="1" outlineLevel="1" x14ac:dyDescent="0.25">
      <c r="A994" s="101" t="s">
        <v>1502</v>
      </c>
      <c r="B994" s="193" t="str">
        <f>"22.0305"</f>
        <v>22.0305</v>
      </c>
      <c r="C994" s="58" t="s">
        <v>3188</v>
      </c>
      <c r="D994" s="79" t="s">
        <v>3189</v>
      </c>
      <c r="E994" s="79"/>
    </row>
    <row r="995" spans="1:5" ht="14.85" customHeight="1" outlineLevel="1" x14ac:dyDescent="0.25">
      <c r="A995" s="101" t="s">
        <v>1502</v>
      </c>
      <c r="B995" s="193" t="str">
        <f>"22.0399"</f>
        <v>22.0399</v>
      </c>
      <c r="C995" s="58" t="s">
        <v>3190</v>
      </c>
      <c r="D995" s="79" t="s">
        <v>3191</v>
      </c>
      <c r="E995" s="79"/>
    </row>
    <row r="996" spans="1:5" ht="14.85" customHeight="1" outlineLevel="1" x14ac:dyDescent="0.25">
      <c r="A996" s="101" t="s">
        <v>1502</v>
      </c>
      <c r="B996" s="193" t="str">
        <f>"22.99"</f>
        <v>22.99</v>
      </c>
      <c r="C996" s="58" t="s">
        <v>3192</v>
      </c>
      <c r="D996" s="79" t="s">
        <v>3193</v>
      </c>
      <c r="E996" s="79"/>
    </row>
    <row r="997" spans="1:5" ht="14.85" customHeight="1" outlineLevel="1" x14ac:dyDescent="0.25">
      <c r="A997" s="101" t="s">
        <v>1502</v>
      </c>
      <c r="B997" s="193" t="str">
        <f>"22.9999"</f>
        <v>22.9999</v>
      </c>
      <c r="C997" s="58" t="s">
        <v>3192</v>
      </c>
      <c r="D997" s="79" t="s">
        <v>3194</v>
      </c>
      <c r="E997" s="79"/>
    </row>
    <row r="998" spans="1:5" ht="14.85" customHeight="1" outlineLevel="1" x14ac:dyDescent="0.25">
      <c r="A998" s="101" t="s">
        <v>1502</v>
      </c>
      <c r="B998" s="193" t="str">
        <f>"23"</f>
        <v>23</v>
      </c>
      <c r="C998" s="58" t="s">
        <v>3195</v>
      </c>
      <c r="D998" s="79" t="s">
        <v>3196</v>
      </c>
      <c r="E998" s="79"/>
    </row>
    <row r="999" spans="1:5" ht="14.85" customHeight="1" outlineLevel="1" x14ac:dyDescent="0.25">
      <c r="A999" s="101" t="s">
        <v>1502</v>
      </c>
      <c r="B999" s="193" t="str">
        <f>"23.01"</f>
        <v>23.01</v>
      </c>
      <c r="C999" s="58" t="s">
        <v>3197</v>
      </c>
      <c r="D999" s="79" t="s">
        <v>3198</v>
      </c>
      <c r="E999" s="79"/>
    </row>
    <row r="1000" spans="1:5" ht="14.85" customHeight="1" outlineLevel="1" x14ac:dyDescent="0.25">
      <c r="A1000" s="101" t="s">
        <v>1502</v>
      </c>
      <c r="B1000" s="193" t="str">
        <f>"23.0101"</f>
        <v>23.0101</v>
      </c>
      <c r="C1000" s="58" t="s">
        <v>3197</v>
      </c>
      <c r="D1000" s="79" t="s">
        <v>3199</v>
      </c>
      <c r="E1000" s="79"/>
    </row>
    <row r="1001" spans="1:5" ht="14.85" customHeight="1" outlineLevel="1" x14ac:dyDescent="0.25">
      <c r="A1001" s="101" t="s">
        <v>1502</v>
      </c>
      <c r="B1001" s="193" t="str">
        <f>"23.13"</f>
        <v>23.13</v>
      </c>
      <c r="C1001" s="58" t="s">
        <v>3200</v>
      </c>
      <c r="D1001" s="79" t="s">
        <v>3201</v>
      </c>
      <c r="E1001" s="79"/>
    </row>
    <row r="1002" spans="1:5" ht="14.85" customHeight="1" outlineLevel="1" x14ac:dyDescent="0.25">
      <c r="A1002" s="101" t="s">
        <v>1502</v>
      </c>
      <c r="B1002" s="193" t="str">
        <f>"23.1301"</f>
        <v>23.1301</v>
      </c>
      <c r="C1002" s="58" t="s">
        <v>3202</v>
      </c>
      <c r="D1002" s="79" t="s">
        <v>3203</v>
      </c>
      <c r="E1002" s="79"/>
    </row>
    <row r="1003" spans="1:5" ht="14.85" customHeight="1" outlineLevel="1" x14ac:dyDescent="0.25">
      <c r="A1003" s="101" t="s">
        <v>1502</v>
      </c>
      <c r="B1003" s="193" t="str">
        <f>"23.1302"</f>
        <v>23.1302</v>
      </c>
      <c r="C1003" s="58" t="s">
        <v>3204</v>
      </c>
      <c r="D1003" s="79" t="s">
        <v>3205</v>
      </c>
      <c r="E1003" s="79"/>
    </row>
    <row r="1004" spans="1:5" ht="14.85" customHeight="1" outlineLevel="1" x14ac:dyDescent="0.25">
      <c r="A1004" s="101" t="s">
        <v>1502</v>
      </c>
      <c r="B1004" s="193" t="str">
        <f>"23.1303"</f>
        <v>23.1303</v>
      </c>
      <c r="C1004" s="58" t="s">
        <v>3206</v>
      </c>
      <c r="D1004" s="79" t="s">
        <v>3207</v>
      </c>
      <c r="E1004" s="79"/>
    </row>
    <row r="1005" spans="1:5" ht="14.85" customHeight="1" outlineLevel="1" x14ac:dyDescent="0.25">
      <c r="A1005" s="101" t="s">
        <v>1502</v>
      </c>
      <c r="B1005" s="193" t="str">
        <f>"23.1304"</f>
        <v>23.1304</v>
      </c>
      <c r="C1005" s="58" t="s">
        <v>3208</v>
      </c>
      <c r="D1005" s="79" t="s">
        <v>3209</v>
      </c>
      <c r="E1005" s="79"/>
    </row>
    <row r="1006" spans="1:5" ht="14.85" customHeight="1" outlineLevel="1" x14ac:dyDescent="0.25">
      <c r="A1006" s="101" t="s">
        <v>1502</v>
      </c>
      <c r="B1006" s="193" t="str">
        <f>"23.1399"</f>
        <v>23.1399</v>
      </c>
      <c r="C1006" s="58" t="s">
        <v>3210</v>
      </c>
      <c r="D1006" s="79" t="s">
        <v>3211</v>
      </c>
      <c r="E1006" s="79"/>
    </row>
    <row r="1007" spans="1:5" ht="14.85" customHeight="1" outlineLevel="1" x14ac:dyDescent="0.25">
      <c r="A1007" s="101" t="s">
        <v>1502</v>
      </c>
      <c r="B1007" s="193" t="str">
        <f>"23.14"</f>
        <v>23.14</v>
      </c>
      <c r="C1007" s="58" t="s">
        <v>3212</v>
      </c>
      <c r="D1007" s="79" t="s">
        <v>3213</v>
      </c>
      <c r="E1007" s="79"/>
    </row>
    <row r="1008" spans="1:5" ht="14.85" customHeight="1" outlineLevel="1" x14ac:dyDescent="0.25">
      <c r="A1008" s="101" t="s">
        <v>1502</v>
      </c>
      <c r="B1008" s="193" t="str">
        <f>"23.1401"</f>
        <v>23.1401</v>
      </c>
      <c r="C1008" s="58" t="s">
        <v>3214</v>
      </c>
      <c r="D1008" s="79" t="s">
        <v>3215</v>
      </c>
      <c r="E1008" s="79"/>
    </row>
    <row r="1009" spans="1:5" ht="14.85" customHeight="1" outlineLevel="1" x14ac:dyDescent="0.25">
      <c r="A1009" s="101" t="s">
        <v>1502</v>
      </c>
      <c r="B1009" s="193" t="str">
        <f>"23.1402"</f>
        <v>23.1402</v>
      </c>
      <c r="C1009" s="58" t="s">
        <v>3216</v>
      </c>
      <c r="D1009" s="79" t="s">
        <v>3217</v>
      </c>
      <c r="E1009" s="79"/>
    </row>
    <row r="1010" spans="1:5" ht="14.85" customHeight="1" outlineLevel="1" x14ac:dyDescent="0.25">
      <c r="A1010" s="101" t="s">
        <v>1502</v>
      </c>
      <c r="B1010" s="193" t="str">
        <f>"23.1403"</f>
        <v>23.1403</v>
      </c>
      <c r="C1010" s="58" t="s">
        <v>3218</v>
      </c>
      <c r="D1010" s="79" t="s">
        <v>3219</v>
      </c>
      <c r="E1010" s="79"/>
    </row>
    <row r="1011" spans="1:5" ht="14.85" customHeight="1" outlineLevel="1" x14ac:dyDescent="0.25">
      <c r="A1011" s="101" t="s">
        <v>1502</v>
      </c>
      <c r="B1011" s="193" t="str">
        <f>"23.1404"</f>
        <v>23.1404</v>
      </c>
      <c r="C1011" s="58" t="s">
        <v>3220</v>
      </c>
      <c r="D1011" s="79" t="s">
        <v>3221</v>
      </c>
      <c r="E1011" s="79"/>
    </row>
    <row r="1012" spans="1:5" ht="14.85" customHeight="1" outlineLevel="1" x14ac:dyDescent="0.25">
      <c r="A1012" s="101" t="s">
        <v>1502</v>
      </c>
      <c r="B1012" s="193" t="str">
        <f>"23.1405"</f>
        <v>23.1405</v>
      </c>
      <c r="C1012" s="58" t="s">
        <v>3222</v>
      </c>
      <c r="D1012" s="79" t="s">
        <v>3223</v>
      </c>
      <c r="E1012" s="79"/>
    </row>
    <row r="1013" spans="1:5" ht="14.85" customHeight="1" outlineLevel="1" x14ac:dyDescent="0.25">
      <c r="A1013" s="101" t="s">
        <v>1502</v>
      </c>
      <c r="B1013" s="193" t="str">
        <f>"23.1499"</f>
        <v>23.1499</v>
      </c>
      <c r="C1013" s="58" t="s">
        <v>3224</v>
      </c>
      <c r="D1013" s="79" t="s">
        <v>3225</v>
      </c>
      <c r="E1013" s="79"/>
    </row>
    <row r="1014" spans="1:5" ht="14.85" customHeight="1" outlineLevel="1" x14ac:dyDescent="0.25">
      <c r="A1014" s="101" t="s">
        <v>1502</v>
      </c>
      <c r="B1014" s="193" t="str">
        <f>"23.99"</f>
        <v>23.99</v>
      </c>
      <c r="C1014" s="58" t="s">
        <v>3226</v>
      </c>
      <c r="D1014" s="79" t="s">
        <v>3227</v>
      </c>
      <c r="E1014" s="79"/>
    </row>
    <row r="1015" spans="1:5" ht="14.85" customHeight="1" outlineLevel="1" x14ac:dyDescent="0.25">
      <c r="A1015" s="101" t="s">
        <v>1502</v>
      </c>
      <c r="B1015" s="193" t="str">
        <f>"23.9999"</f>
        <v>23.9999</v>
      </c>
      <c r="C1015" s="58" t="s">
        <v>3226</v>
      </c>
      <c r="D1015" s="79" t="s">
        <v>3228</v>
      </c>
      <c r="E1015" s="79"/>
    </row>
    <row r="1016" spans="1:5" ht="14.85" customHeight="1" outlineLevel="1" x14ac:dyDescent="0.25">
      <c r="A1016" s="101" t="s">
        <v>1502</v>
      </c>
      <c r="B1016" s="193" t="str">
        <f>"24"</f>
        <v>24</v>
      </c>
      <c r="C1016" s="58" t="s">
        <v>3229</v>
      </c>
      <c r="D1016" s="79" t="s">
        <v>3230</v>
      </c>
      <c r="E1016" s="79"/>
    </row>
    <row r="1017" spans="1:5" ht="14.85" customHeight="1" outlineLevel="1" x14ac:dyDescent="0.25">
      <c r="A1017" s="101" t="s">
        <v>1502</v>
      </c>
      <c r="B1017" s="193" t="str">
        <f>"24.01"</f>
        <v>24.01</v>
      </c>
      <c r="C1017" s="58" t="s">
        <v>3231</v>
      </c>
      <c r="D1017" s="79" t="s">
        <v>3232</v>
      </c>
      <c r="E1017" s="79"/>
    </row>
    <row r="1018" spans="1:5" ht="14.85" customHeight="1" outlineLevel="1" x14ac:dyDescent="0.25">
      <c r="A1018" s="101" t="s">
        <v>1502</v>
      </c>
      <c r="B1018" s="193" t="str">
        <f>"24.0101"</f>
        <v>24.0101</v>
      </c>
      <c r="C1018" s="58" t="s">
        <v>3233</v>
      </c>
      <c r="D1018" s="79" t="s">
        <v>3234</v>
      </c>
      <c r="E1018" s="79"/>
    </row>
    <row r="1019" spans="1:5" ht="14.85" customHeight="1" outlineLevel="1" x14ac:dyDescent="0.25">
      <c r="A1019" s="101" t="s">
        <v>1502</v>
      </c>
      <c r="B1019" s="193" t="str">
        <f>"24.0102"</f>
        <v>24.0102</v>
      </c>
      <c r="C1019" s="58" t="s">
        <v>3235</v>
      </c>
      <c r="D1019" s="79" t="s">
        <v>3236</v>
      </c>
      <c r="E1019" s="79"/>
    </row>
    <row r="1020" spans="1:5" ht="14.85" customHeight="1" outlineLevel="1" x14ac:dyDescent="0.25">
      <c r="A1020" s="101" t="s">
        <v>1502</v>
      </c>
      <c r="B1020" s="193" t="str">
        <f>"24.0103"</f>
        <v>24.0103</v>
      </c>
      <c r="C1020" s="58" t="s">
        <v>3237</v>
      </c>
      <c r="D1020" s="79" t="s">
        <v>3238</v>
      </c>
      <c r="E1020" s="79"/>
    </row>
    <row r="1021" spans="1:5" ht="14.85" customHeight="1" outlineLevel="1" x14ac:dyDescent="0.25">
      <c r="A1021" s="101" t="s">
        <v>1502</v>
      </c>
      <c r="B1021" s="193" t="str">
        <f>"24.0199"</f>
        <v>24.0199</v>
      </c>
      <c r="C1021" s="58" t="s">
        <v>3239</v>
      </c>
      <c r="D1021" s="79" t="s">
        <v>3240</v>
      </c>
      <c r="E1021" s="79"/>
    </row>
    <row r="1022" spans="1:5" ht="14.85" customHeight="1" outlineLevel="1" x14ac:dyDescent="0.25">
      <c r="A1022" s="101" t="s">
        <v>1502</v>
      </c>
      <c r="B1022" s="193" t="str">
        <f>"25"</f>
        <v>25</v>
      </c>
      <c r="C1022" s="58" t="s">
        <v>3241</v>
      </c>
      <c r="D1022" s="79" t="s">
        <v>3242</v>
      </c>
      <c r="E1022" s="79"/>
    </row>
    <row r="1023" spans="1:5" ht="14.85" customHeight="1" outlineLevel="1" x14ac:dyDescent="0.25">
      <c r="A1023" s="101" t="s">
        <v>1502</v>
      </c>
      <c r="B1023" s="193" t="str">
        <f>"25.01"</f>
        <v>25.01</v>
      </c>
      <c r="C1023" s="58" t="s">
        <v>3243</v>
      </c>
      <c r="D1023" s="79" t="s">
        <v>3244</v>
      </c>
      <c r="E1023" s="79"/>
    </row>
    <row r="1024" spans="1:5" s="93" customFormat="1" ht="14.85" customHeight="1" outlineLevel="1" x14ac:dyDescent="0.25">
      <c r="A1024" s="101" t="s">
        <v>1502</v>
      </c>
      <c r="B1024" s="193" t="str">
        <f>"25.0101"</f>
        <v>25.0101</v>
      </c>
      <c r="C1024" s="58" t="s">
        <v>3245</v>
      </c>
      <c r="D1024" s="79" t="s">
        <v>3246</v>
      </c>
      <c r="E1024" s="79"/>
    </row>
    <row r="1025" spans="1:5" ht="14.85" customHeight="1" outlineLevel="1" x14ac:dyDescent="0.25">
      <c r="A1025" s="101" t="s">
        <v>1502</v>
      </c>
      <c r="B1025" s="193" t="str">
        <f>"25.0102"</f>
        <v>25.0102</v>
      </c>
      <c r="C1025" s="58" t="s">
        <v>3247</v>
      </c>
      <c r="D1025" s="79" t="s">
        <v>3248</v>
      </c>
      <c r="E1025" s="79"/>
    </row>
    <row r="1026" spans="1:5" ht="14.85" customHeight="1" outlineLevel="1" x14ac:dyDescent="0.25">
      <c r="A1026" s="101" t="s">
        <v>1502</v>
      </c>
      <c r="B1026" s="193" t="str">
        <f>"25.0103"</f>
        <v>25.0103</v>
      </c>
      <c r="C1026" s="58" t="s">
        <v>3249</v>
      </c>
      <c r="D1026" s="79" t="s">
        <v>3250</v>
      </c>
      <c r="E1026" s="79"/>
    </row>
    <row r="1027" spans="1:5" ht="14.85" customHeight="1" outlineLevel="1" x14ac:dyDescent="0.25">
      <c r="A1027" s="101" t="s">
        <v>1502</v>
      </c>
      <c r="B1027" s="193" t="str">
        <f>"25.0199"</f>
        <v>25.0199</v>
      </c>
      <c r="C1027" s="58" t="s">
        <v>3251</v>
      </c>
      <c r="D1027" s="79" t="s">
        <v>3252</v>
      </c>
      <c r="E1027" s="79"/>
    </row>
    <row r="1028" spans="1:5" ht="14.85" customHeight="1" outlineLevel="1" x14ac:dyDescent="0.25">
      <c r="A1028" s="101" t="s">
        <v>1502</v>
      </c>
      <c r="B1028" s="193" t="str">
        <f>"25.03"</f>
        <v>25.03</v>
      </c>
      <c r="C1028" s="58" t="s">
        <v>3253</v>
      </c>
      <c r="D1028" s="79" t="s">
        <v>3254</v>
      </c>
      <c r="E1028" s="79"/>
    </row>
    <row r="1029" spans="1:5" ht="14.85" customHeight="1" outlineLevel="1" x14ac:dyDescent="0.25">
      <c r="A1029" s="101" t="s">
        <v>1502</v>
      </c>
      <c r="B1029" s="193" t="str">
        <f>"25.0301"</f>
        <v>25.0301</v>
      </c>
      <c r="C1029" s="58" t="s">
        <v>3253</v>
      </c>
      <c r="D1029" s="79" t="s">
        <v>3255</v>
      </c>
      <c r="E1029" s="79"/>
    </row>
    <row r="1030" spans="1:5" ht="14.85" customHeight="1" outlineLevel="1" x14ac:dyDescent="0.25">
      <c r="A1030" s="101" t="s">
        <v>1502</v>
      </c>
      <c r="B1030" s="193" t="str">
        <f>"25.99"</f>
        <v>25.99</v>
      </c>
      <c r="C1030" s="58" t="s">
        <v>3256</v>
      </c>
      <c r="D1030" s="79" t="s">
        <v>3257</v>
      </c>
      <c r="E1030" s="79"/>
    </row>
    <row r="1031" spans="1:5" ht="14.85" customHeight="1" outlineLevel="1" x14ac:dyDescent="0.25">
      <c r="A1031" s="101" t="s">
        <v>1502</v>
      </c>
      <c r="B1031" s="193" t="str">
        <f>"25.9999"</f>
        <v>25.9999</v>
      </c>
      <c r="C1031" s="58" t="s">
        <v>3256</v>
      </c>
      <c r="D1031" s="79" t="s">
        <v>3258</v>
      </c>
      <c r="E1031" s="79"/>
    </row>
    <row r="1032" spans="1:5" ht="14.85" customHeight="1" outlineLevel="1" x14ac:dyDescent="0.25">
      <c r="A1032" s="101" t="s">
        <v>1502</v>
      </c>
      <c r="B1032" s="193" t="str">
        <f>"26"</f>
        <v>26</v>
      </c>
      <c r="C1032" s="58" t="s">
        <v>3259</v>
      </c>
      <c r="D1032" s="79" t="s">
        <v>3260</v>
      </c>
      <c r="E1032" s="79"/>
    </row>
    <row r="1033" spans="1:5" ht="14.85" customHeight="1" outlineLevel="1" x14ac:dyDescent="0.25">
      <c r="A1033" s="101" t="s">
        <v>1502</v>
      </c>
      <c r="B1033" s="193" t="str">
        <f>"26.01"</f>
        <v>26.01</v>
      </c>
      <c r="C1033" s="58" t="s">
        <v>3261</v>
      </c>
      <c r="D1033" s="79" t="s">
        <v>3262</v>
      </c>
      <c r="E1033" s="79"/>
    </row>
    <row r="1034" spans="1:5" ht="14.85" customHeight="1" outlineLevel="1" x14ac:dyDescent="0.25">
      <c r="A1034" s="101" t="s">
        <v>1502</v>
      </c>
      <c r="B1034" s="193" t="str">
        <f>"26.0101"</f>
        <v>26.0101</v>
      </c>
      <c r="C1034" s="58" t="s">
        <v>3263</v>
      </c>
      <c r="D1034" s="79" t="s">
        <v>3264</v>
      </c>
      <c r="E1034" s="79"/>
    </row>
    <row r="1035" spans="1:5" ht="14.85" customHeight="1" outlineLevel="1" x14ac:dyDescent="0.25">
      <c r="A1035" s="101" t="s">
        <v>1502</v>
      </c>
      <c r="B1035" s="193" t="str">
        <f>"26.0102"</f>
        <v>26.0102</v>
      </c>
      <c r="C1035" s="58" t="s">
        <v>3265</v>
      </c>
      <c r="D1035" s="79" t="s">
        <v>3266</v>
      </c>
      <c r="E1035" s="79"/>
    </row>
    <row r="1036" spans="1:5" ht="14.85" customHeight="1" outlineLevel="1" x14ac:dyDescent="0.25">
      <c r="A1036" s="101" t="s">
        <v>1502</v>
      </c>
      <c r="B1036" s="193" t="str">
        <f>"26.02"</f>
        <v>26.02</v>
      </c>
      <c r="C1036" s="58" t="s">
        <v>3267</v>
      </c>
      <c r="D1036" s="79" t="s">
        <v>3268</v>
      </c>
      <c r="E1036" s="79"/>
    </row>
    <row r="1037" spans="1:5" ht="14.85" customHeight="1" outlineLevel="1" x14ac:dyDescent="0.25">
      <c r="A1037" s="101" t="s">
        <v>1502</v>
      </c>
      <c r="B1037" s="193" t="str">
        <f>"26.0202"</f>
        <v>26.0202</v>
      </c>
      <c r="C1037" s="58" t="s">
        <v>3269</v>
      </c>
      <c r="D1037" s="79" t="s">
        <v>3270</v>
      </c>
      <c r="E1037" s="79"/>
    </row>
    <row r="1038" spans="1:5" ht="14.85" customHeight="1" outlineLevel="1" x14ac:dyDescent="0.25">
      <c r="A1038" s="101" t="s">
        <v>1502</v>
      </c>
      <c r="B1038" s="193" t="str">
        <f>"26.0203"</f>
        <v>26.0203</v>
      </c>
      <c r="C1038" s="58" t="s">
        <v>3271</v>
      </c>
      <c r="D1038" s="79" t="s">
        <v>3272</v>
      </c>
      <c r="E1038" s="79"/>
    </row>
    <row r="1039" spans="1:5" ht="14.85" customHeight="1" outlineLevel="1" x14ac:dyDescent="0.25">
      <c r="A1039" s="101" t="s">
        <v>1502</v>
      </c>
      <c r="B1039" s="193" t="str">
        <f>"26.0204"</f>
        <v>26.0204</v>
      </c>
      <c r="C1039" s="58" t="s">
        <v>3273</v>
      </c>
      <c r="D1039" s="79" t="s">
        <v>3274</v>
      </c>
      <c r="E1039" s="79"/>
    </row>
    <row r="1040" spans="1:5" ht="14.85" customHeight="1" outlineLevel="1" x14ac:dyDescent="0.25">
      <c r="A1040" s="101" t="s">
        <v>1502</v>
      </c>
      <c r="B1040" s="193" t="str">
        <f>"26.0205"</f>
        <v>26.0205</v>
      </c>
      <c r="C1040" s="58" t="s">
        <v>3275</v>
      </c>
      <c r="D1040" s="79" t="s">
        <v>3276</v>
      </c>
      <c r="E1040" s="79"/>
    </row>
    <row r="1041" spans="1:5" ht="14.85" customHeight="1" outlineLevel="1" x14ac:dyDescent="0.25">
      <c r="A1041" s="101" t="s">
        <v>1502</v>
      </c>
      <c r="B1041" s="193" t="str">
        <f>"26.0206"</f>
        <v>26.0206</v>
      </c>
      <c r="C1041" s="58" t="s">
        <v>3277</v>
      </c>
      <c r="D1041" s="79" t="s">
        <v>3278</v>
      </c>
      <c r="E1041" s="79"/>
    </row>
    <row r="1042" spans="1:5" ht="14.85" customHeight="1" outlineLevel="1" x14ac:dyDescent="0.25">
      <c r="A1042" s="101" t="s">
        <v>1502</v>
      </c>
      <c r="B1042" s="193" t="str">
        <f>"26.0207"</f>
        <v>26.0207</v>
      </c>
      <c r="C1042" s="58" t="s">
        <v>3279</v>
      </c>
      <c r="D1042" s="79" t="s">
        <v>3280</v>
      </c>
      <c r="E1042" s="79"/>
    </row>
    <row r="1043" spans="1:5" ht="14.85" customHeight="1" outlineLevel="1" x14ac:dyDescent="0.25">
      <c r="A1043" s="101" t="s">
        <v>1502</v>
      </c>
      <c r="B1043" s="193" t="str">
        <f>"26.0208"</f>
        <v>26.0208</v>
      </c>
      <c r="C1043" s="58" t="s">
        <v>3281</v>
      </c>
      <c r="D1043" s="79" t="s">
        <v>3282</v>
      </c>
      <c r="E1043" s="79"/>
    </row>
    <row r="1044" spans="1:5" ht="14.85" customHeight="1" outlineLevel="1" x14ac:dyDescent="0.25">
      <c r="A1044" s="101" t="s">
        <v>1502</v>
      </c>
      <c r="B1044" s="193" t="str">
        <f>"26.0209"</f>
        <v>26.0209</v>
      </c>
      <c r="C1044" s="58" t="s">
        <v>3283</v>
      </c>
      <c r="D1044" s="79" t="s">
        <v>3284</v>
      </c>
      <c r="E1044" s="79"/>
    </row>
    <row r="1045" spans="1:5" ht="14.85" customHeight="1" outlineLevel="1" x14ac:dyDescent="0.25">
      <c r="A1045" s="101" t="s">
        <v>1502</v>
      </c>
      <c r="B1045" s="193" t="str">
        <f>"26.0210"</f>
        <v>26.0210</v>
      </c>
      <c r="C1045" s="58" t="s">
        <v>3285</v>
      </c>
      <c r="D1045" s="79" t="s">
        <v>3286</v>
      </c>
      <c r="E1045" s="79"/>
    </row>
    <row r="1046" spans="1:5" ht="14.85" customHeight="1" outlineLevel="1" x14ac:dyDescent="0.25">
      <c r="A1046" s="101" t="s">
        <v>1502</v>
      </c>
      <c r="B1046" s="193" t="str">
        <f>"26.0299"</f>
        <v>26.0299</v>
      </c>
      <c r="C1046" s="58" t="s">
        <v>3287</v>
      </c>
      <c r="D1046" s="79" t="s">
        <v>3288</v>
      </c>
      <c r="E1046" s="79"/>
    </row>
    <row r="1047" spans="1:5" ht="14.85" customHeight="1" outlineLevel="1" x14ac:dyDescent="0.25">
      <c r="A1047" s="101" t="s">
        <v>1502</v>
      </c>
      <c r="B1047" s="193" t="str">
        <f>"26.03"</f>
        <v>26.03</v>
      </c>
      <c r="C1047" s="58" t="s">
        <v>3289</v>
      </c>
      <c r="D1047" s="79" t="s">
        <v>3290</v>
      </c>
      <c r="E1047" s="79"/>
    </row>
    <row r="1048" spans="1:5" ht="14.85" customHeight="1" outlineLevel="1" x14ac:dyDescent="0.25">
      <c r="A1048" s="101" t="s">
        <v>1502</v>
      </c>
      <c r="B1048" s="193" t="str">
        <f>"26.0301"</f>
        <v>26.0301</v>
      </c>
      <c r="C1048" s="58" t="s">
        <v>3289</v>
      </c>
      <c r="D1048" s="79" t="s">
        <v>3291</v>
      </c>
      <c r="E1048" s="79"/>
    </row>
    <row r="1049" spans="1:5" ht="14.85" customHeight="1" outlineLevel="1" x14ac:dyDescent="0.25">
      <c r="A1049" s="101" t="s">
        <v>1502</v>
      </c>
      <c r="B1049" s="193" t="str">
        <f>"26.0305"</f>
        <v>26.0305</v>
      </c>
      <c r="C1049" s="58" t="s">
        <v>3292</v>
      </c>
      <c r="D1049" s="79" t="s">
        <v>3293</v>
      </c>
      <c r="E1049" s="79"/>
    </row>
    <row r="1050" spans="1:5" ht="14.85" customHeight="1" outlineLevel="1" x14ac:dyDescent="0.25">
      <c r="A1050" s="101" t="s">
        <v>1502</v>
      </c>
      <c r="B1050" s="193" t="str">
        <f>"26.0307"</f>
        <v>26.0307</v>
      </c>
      <c r="C1050" s="58" t="s">
        <v>3294</v>
      </c>
      <c r="D1050" s="79" t="s">
        <v>3295</v>
      </c>
      <c r="E1050" s="79"/>
    </row>
    <row r="1051" spans="1:5" ht="14.85" customHeight="1" outlineLevel="1" x14ac:dyDescent="0.25">
      <c r="A1051" s="101" t="s">
        <v>1502</v>
      </c>
      <c r="B1051" s="193" t="str">
        <f>"26.0308"</f>
        <v>26.0308</v>
      </c>
      <c r="C1051" s="58" t="s">
        <v>3296</v>
      </c>
      <c r="D1051" s="79" t="s">
        <v>3297</v>
      </c>
      <c r="E1051" s="79"/>
    </row>
    <row r="1052" spans="1:5" ht="14.85" customHeight="1" outlineLevel="1" x14ac:dyDescent="0.25">
      <c r="A1052" s="101" t="s">
        <v>1502</v>
      </c>
      <c r="B1052" s="193" t="str">
        <f>"26.0399"</f>
        <v>26.0399</v>
      </c>
      <c r="C1052" s="58" t="s">
        <v>3298</v>
      </c>
      <c r="D1052" s="79" t="s">
        <v>3299</v>
      </c>
      <c r="E1052" s="79"/>
    </row>
    <row r="1053" spans="1:5" ht="14.85" customHeight="1" outlineLevel="1" x14ac:dyDescent="0.25">
      <c r="A1053" s="101" t="s">
        <v>1502</v>
      </c>
      <c r="B1053" s="193" t="str">
        <f>"26.04"</f>
        <v>26.04</v>
      </c>
      <c r="C1053" s="58" t="s">
        <v>3300</v>
      </c>
      <c r="D1053" s="79" t="s">
        <v>3301</v>
      </c>
      <c r="E1053" s="79"/>
    </row>
    <row r="1054" spans="1:5" ht="14.85" customHeight="1" outlineLevel="1" x14ac:dyDescent="0.25">
      <c r="A1054" s="101" t="s">
        <v>1502</v>
      </c>
      <c r="B1054" s="193" t="str">
        <f>"26.0401"</f>
        <v>26.0401</v>
      </c>
      <c r="C1054" s="58" t="s">
        <v>3302</v>
      </c>
      <c r="D1054" s="79" t="s">
        <v>3303</v>
      </c>
      <c r="E1054" s="79"/>
    </row>
    <row r="1055" spans="1:5" ht="14.85" customHeight="1" outlineLevel="1" x14ac:dyDescent="0.25">
      <c r="A1055" s="101" t="s">
        <v>1502</v>
      </c>
      <c r="B1055" s="193" t="str">
        <f>"26.0403"</f>
        <v>26.0403</v>
      </c>
      <c r="C1055" s="58" t="s">
        <v>3304</v>
      </c>
      <c r="D1055" s="79" t="s">
        <v>3305</v>
      </c>
      <c r="E1055" s="79"/>
    </row>
    <row r="1056" spans="1:5" ht="14.85" customHeight="1" outlineLevel="1" x14ac:dyDescent="0.25">
      <c r="A1056" s="101" t="s">
        <v>1502</v>
      </c>
      <c r="B1056" s="193" t="str">
        <f>"26.0404"</f>
        <v>26.0404</v>
      </c>
      <c r="C1056" s="58" t="s">
        <v>3306</v>
      </c>
      <c r="D1056" s="79" t="s">
        <v>3307</v>
      </c>
      <c r="E1056" s="79"/>
    </row>
    <row r="1057" spans="1:5" ht="14.85" customHeight="1" outlineLevel="1" x14ac:dyDescent="0.25">
      <c r="A1057" s="101" t="s">
        <v>1502</v>
      </c>
      <c r="B1057" s="193" t="str">
        <f>"26.0406"</f>
        <v>26.0406</v>
      </c>
      <c r="C1057" s="58" t="s">
        <v>3308</v>
      </c>
      <c r="D1057" s="79" t="s">
        <v>3309</v>
      </c>
      <c r="E1057" s="79"/>
    </row>
    <row r="1058" spans="1:5" ht="14.85" customHeight="1" outlineLevel="1" x14ac:dyDescent="0.25">
      <c r="A1058" s="101" t="s">
        <v>1502</v>
      </c>
      <c r="B1058" s="193" t="str">
        <f>"26.0407"</f>
        <v>26.0407</v>
      </c>
      <c r="C1058" s="58" t="s">
        <v>3310</v>
      </c>
      <c r="D1058" s="79" t="s">
        <v>3311</v>
      </c>
      <c r="E1058" s="79"/>
    </row>
    <row r="1059" spans="1:5" ht="14.85" customHeight="1" outlineLevel="1" x14ac:dyDescent="0.25">
      <c r="A1059" s="101" t="s">
        <v>1502</v>
      </c>
      <c r="B1059" s="193" t="str">
        <f>"26.0499"</f>
        <v>26.0499</v>
      </c>
      <c r="C1059" s="58" t="s">
        <v>3312</v>
      </c>
      <c r="D1059" s="79" t="s">
        <v>3313</v>
      </c>
      <c r="E1059" s="79"/>
    </row>
    <row r="1060" spans="1:5" ht="14.85" customHeight="1" outlineLevel="1" x14ac:dyDescent="0.25">
      <c r="A1060" s="101" t="s">
        <v>1502</v>
      </c>
      <c r="B1060" s="193" t="str">
        <f>"26.05"</f>
        <v>26.05</v>
      </c>
      <c r="C1060" s="58" t="s">
        <v>3314</v>
      </c>
      <c r="D1060" s="79" t="s">
        <v>3315</v>
      </c>
      <c r="E1060" s="79"/>
    </row>
    <row r="1061" spans="1:5" ht="14.85" customHeight="1" outlineLevel="1" x14ac:dyDescent="0.25">
      <c r="A1061" s="101" t="s">
        <v>1502</v>
      </c>
      <c r="B1061" s="193" t="str">
        <f>"26.0502"</f>
        <v>26.0502</v>
      </c>
      <c r="C1061" s="58" t="s">
        <v>3316</v>
      </c>
      <c r="D1061" s="79" t="s">
        <v>3317</v>
      </c>
      <c r="E1061" s="79"/>
    </row>
    <row r="1062" spans="1:5" ht="14.85" customHeight="1" outlineLevel="1" x14ac:dyDescent="0.25">
      <c r="A1062" s="101" t="s">
        <v>1502</v>
      </c>
      <c r="B1062" s="193" t="str">
        <f>"26.0503"</f>
        <v>26.0503</v>
      </c>
      <c r="C1062" s="58" t="s">
        <v>3318</v>
      </c>
      <c r="D1062" s="79" t="s">
        <v>3319</v>
      </c>
      <c r="E1062" s="79"/>
    </row>
    <row r="1063" spans="1:5" ht="14.85" customHeight="1" outlineLevel="1" x14ac:dyDescent="0.25">
      <c r="A1063" s="101" t="s">
        <v>1502</v>
      </c>
      <c r="B1063" s="193" t="str">
        <f>"26.0504"</f>
        <v>26.0504</v>
      </c>
      <c r="C1063" s="58" t="s">
        <v>3320</v>
      </c>
      <c r="D1063" s="79" t="s">
        <v>3321</v>
      </c>
      <c r="E1063" s="79"/>
    </row>
    <row r="1064" spans="1:5" ht="14.85" customHeight="1" outlineLevel="1" x14ac:dyDescent="0.25">
      <c r="A1064" s="101" t="s">
        <v>1502</v>
      </c>
      <c r="B1064" s="193" t="str">
        <f>"26.0505"</f>
        <v>26.0505</v>
      </c>
      <c r="C1064" s="58" t="s">
        <v>3322</v>
      </c>
      <c r="D1064" s="79" t="s">
        <v>3323</v>
      </c>
      <c r="E1064" s="79"/>
    </row>
    <row r="1065" spans="1:5" s="3" customFormat="1" ht="14.85" customHeight="1" outlineLevel="1" collapsed="1" x14ac:dyDescent="0.25">
      <c r="A1065" s="101" t="s">
        <v>1502</v>
      </c>
      <c r="B1065" s="193" t="str">
        <f>"26.0506"</f>
        <v>26.0506</v>
      </c>
      <c r="C1065" s="58" t="s">
        <v>3324</v>
      </c>
      <c r="D1065" s="79" t="s">
        <v>3325</v>
      </c>
      <c r="E1065" s="79"/>
    </row>
    <row r="1066" spans="1:5" ht="14.85" customHeight="1" outlineLevel="1" x14ac:dyDescent="0.25">
      <c r="A1066" s="101" t="s">
        <v>1502</v>
      </c>
      <c r="B1066" s="193" t="str">
        <f>"26.0507"</f>
        <v>26.0507</v>
      </c>
      <c r="C1066" s="58" t="s">
        <v>3326</v>
      </c>
      <c r="D1066" s="79" t="s">
        <v>3327</v>
      </c>
      <c r="E1066" s="79"/>
    </row>
    <row r="1067" spans="1:5" ht="14.85" customHeight="1" outlineLevel="1" x14ac:dyDescent="0.25">
      <c r="A1067" s="101" t="s">
        <v>1502</v>
      </c>
      <c r="B1067" s="193" t="str">
        <f>"26.0508"</f>
        <v>26.0508</v>
      </c>
      <c r="C1067" s="58" t="s">
        <v>3328</v>
      </c>
      <c r="D1067" s="79" t="s">
        <v>3329</v>
      </c>
      <c r="E1067" s="79"/>
    </row>
    <row r="1068" spans="1:5" ht="14.85" customHeight="1" outlineLevel="1" x14ac:dyDescent="0.25">
      <c r="A1068" s="101" t="s">
        <v>1502</v>
      </c>
      <c r="B1068" s="193" t="str">
        <f>"26.0509"</f>
        <v>26.0509</v>
      </c>
      <c r="C1068" s="58" t="s">
        <v>3330</v>
      </c>
      <c r="D1068" s="79" t="s">
        <v>3331</v>
      </c>
      <c r="E1068" s="79"/>
    </row>
    <row r="1069" spans="1:5" ht="14.85" customHeight="1" outlineLevel="1" x14ac:dyDescent="0.25">
      <c r="A1069" s="101" t="s">
        <v>1502</v>
      </c>
      <c r="B1069" s="193" t="str">
        <f>"26.0599"</f>
        <v>26.0599</v>
      </c>
      <c r="C1069" s="58" t="s">
        <v>3332</v>
      </c>
      <c r="D1069" s="79" t="s">
        <v>3333</v>
      </c>
      <c r="E1069" s="79"/>
    </row>
    <row r="1070" spans="1:5" ht="14.85" customHeight="1" outlineLevel="1" x14ac:dyDescent="0.25">
      <c r="A1070" s="101" t="s">
        <v>1502</v>
      </c>
      <c r="B1070" s="193" t="str">
        <f>"26.07"</f>
        <v>26.07</v>
      </c>
      <c r="C1070" s="58" t="s">
        <v>3334</v>
      </c>
      <c r="D1070" s="79" t="s">
        <v>3335</v>
      </c>
      <c r="E1070" s="79"/>
    </row>
    <row r="1071" spans="1:5" ht="14.85" customHeight="1" outlineLevel="1" x14ac:dyDescent="0.25">
      <c r="A1071" s="101" t="s">
        <v>1502</v>
      </c>
      <c r="B1071" s="193" t="str">
        <f>"26.0701"</f>
        <v>26.0701</v>
      </c>
      <c r="C1071" s="58" t="s">
        <v>3334</v>
      </c>
      <c r="D1071" s="79" t="s">
        <v>3336</v>
      </c>
      <c r="E1071" s="79"/>
    </row>
    <row r="1072" spans="1:5" ht="14.85" customHeight="1" outlineLevel="1" x14ac:dyDescent="0.25">
      <c r="A1072" s="101" t="s">
        <v>1502</v>
      </c>
      <c r="B1072" s="193" t="str">
        <f>"26.0702"</f>
        <v>26.0702</v>
      </c>
      <c r="C1072" s="58" t="s">
        <v>3337</v>
      </c>
      <c r="D1072" s="79" t="s">
        <v>3338</v>
      </c>
      <c r="E1072" s="79"/>
    </row>
    <row r="1073" spans="1:5" ht="14.85" customHeight="1" outlineLevel="1" x14ac:dyDescent="0.25">
      <c r="A1073" s="101" t="s">
        <v>1502</v>
      </c>
      <c r="B1073" s="193" t="str">
        <f>"26.0707"</f>
        <v>26.0707</v>
      </c>
      <c r="C1073" s="58" t="s">
        <v>3339</v>
      </c>
      <c r="D1073" s="79" t="s">
        <v>3340</v>
      </c>
      <c r="E1073" s="79"/>
    </row>
    <row r="1074" spans="1:5" ht="14.85" customHeight="1" outlineLevel="1" x14ac:dyDescent="0.25">
      <c r="A1074" s="101" t="s">
        <v>1502</v>
      </c>
      <c r="B1074" s="193" t="str">
        <f>"26.0708"</f>
        <v>26.0708</v>
      </c>
      <c r="C1074" s="58" t="s">
        <v>3341</v>
      </c>
      <c r="D1074" s="79" t="s">
        <v>3342</v>
      </c>
      <c r="E1074" s="79"/>
    </row>
    <row r="1075" spans="1:5" ht="14.85" customHeight="1" outlineLevel="1" x14ac:dyDescent="0.25">
      <c r="A1075" s="101" t="s">
        <v>1502</v>
      </c>
      <c r="B1075" s="193" t="str">
        <f>"26.0709"</f>
        <v>26.0709</v>
      </c>
      <c r="C1075" s="58" t="s">
        <v>3343</v>
      </c>
      <c r="D1075" s="79" t="s">
        <v>3344</v>
      </c>
      <c r="E1075" s="79"/>
    </row>
    <row r="1076" spans="1:5" ht="14.85" customHeight="1" outlineLevel="1" x14ac:dyDescent="0.25">
      <c r="A1076" s="101" t="s">
        <v>1502</v>
      </c>
      <c r="B1076" s="193" t="str">
        <f>"26.0799"</f>
        <v>26.0799</v>
      </c>
      <c r="C1076" s="58" t="s">
        <v>3345</v>
      </c>
      <c r="D1076" s="79" t="s">
        <v>3346</v>
      </c>
      <c r="E1076" s="79"/>
    </row>
    <row r="1077" spans="1:5" ht="14.85" customHeight="1" outlineLevel="1" x14ac:dyDescent="0.25">
      <c r="A1077" s="101" t="s">
        <v>1502</v>
      </c>
      <c r="B1077" s="193" t="str">
        <f>"26.08"</f>
        <v>26.08</v>
      </c>
      <c r="C1077" s="58" t="s">
        <v>3347</v>
      </c>
      <c r="D1077" s="79" t="s">
        <v>3348</v>
      </c>
      <c r="E1077" s="79"/>
    </row>
    <row r="1078" spans="1:5" ht="14.85" customHeight="1" outlineLevel="1" x14ac:dyDescent="0.25">
      <c r="A1078" s="101" t="s">
        <v>1502</v>
      </c>
      <c r="B1078" s="193" t="str">
        <f>"26.0801"</f>
        <v>26.0801</v>
      </c>
      <c r="C1078" s="58" t="s">
        <v>3349</v>
      </c>
      <c r="D1078" s="79" t="s">
        <v>3350</v>
      </c>
      <c r="E1078" s="79"/>
    </row>
    <row r="1079" spans="1:5" ht="14.85" customHeight="1" outlineLevel="1" x14ac:dyDescent="0.25">
      <c r="A1079" s="101" t="s">
        <v>1502</v>
      </c>
      <c r="B1079" s="193" t="str">
        <f>"26.0802"</f>
        <v>26.0802</v>
      </c>
      <c r="C1079" s="58" t="s">
        <v>3351</v>
      </c>
      <c r="D1079" s="79" t="s">
        <v>3352</v>
      </c>
      <c r="E1079" s="79"/>
    </row>
    <row r="1080" spans="1:5" ht="14.85" customHeight="1" outlineLevel="1" x14ac:dyDescent="0.25">
      <c r="A1080" s="101" t="s">
        <v>1502</v>
      </c>
      <c r="B1080" s="193" t="str">
        <f>"26.0803"</f>
        <v>26.0803</v>
      </c>
      <c r="C1080" s="58" t="s">
        <v>3353</v>
      </c>
      <c r="D1080" s="79" t="s">
        <v>3354</v>
      </c>
      <c r="E1080" s="79"/>
    </row>
    <row r="1081" spans="1:5" ht="14.85" customHeight="1" outlineLevel="1" x14ac:dyDescent="0.25">
      <c r="A1081" s="101" t="s">
        <v>1502</v>
      </c>
      <c r="B1081" s="193" t="str">
        <f>"26.0804"</f>
        <v>26.0804</v>
      </c>
      <c r="C1081" s="58" t="s">
        <v>3355</v>
      </c>
      <c r="D1081" s="79" t="s">
        <v>3356</v>
      </c>
      <c r="E1081" s="79"/>
    </row>
    <row r="1082" spans="1:5" ht="14.85" customHeight="1" outlineLevel="1" x14ac:dyDescent="0.25">
      <c r="A1082" s="101" t="s">
        <v>1502</v>
      </c>
      <c r="B1082" s="193" t="str">
        <f>"26.0805"</f>
        <v>26.0805</v>
      </c>
      <c r="C1082" s="58" t="s">
        <v>3357</v>
      </c>
      <c r="D1082" s="79" t="s">
        <v>3358</v>
      </c>
      <c r="E1082" s="79"/>
    </row>
    <row r="1083" spans="1:5" ht="14.85" customHeight="1" outlineLevel="1" x14ac:dyDescent="0.25">
      <c r="A1083" s="101" t="s">
        <v>1502</v>
      </c>
      <c r="B1083" s="193" t="str">
        <f>"26.0806"</f>
        <v>26.0806</v>
      </c>
      <c r="C1083" s="58" t="s">
        <v>3359</v>
      </c>
      <c r="D1083" s="79" t="s">
        <v>3360</v>
      </c>
      <c r="E1083" s="79"/>
    </row>
    <row r="1084" spans="1:5" ht="14.85" customHeight="1" outlineLevel="1" x14ac:dyDescent="0.25">
      <c r="A1084" s="101" t="s">
        <v>1502</v>
      </c>
      <c r="B1084" s="193" t="str">
        <f>"26.0807"</f>
        <v>26.0807</v>
      </c>
      <c r="C1084" s="58" t="s">
        <v>3361</v>
      </c>
      <c r="D1084" s="79" t="s">
        <v>3362</v>
      </c>
      <c r="E1084" s="79"/>
    </row>
    <row r="1085" spans="1:5" ht="14.85" customHeight="1" outlineLevel="1" x14ac:dyDescent="0.25">
      <c r="A1085" s="101" t="s">
        <v>1502</v>
      </c>
      <c r="B1085" s="193" t="str">
        <f>"26.0899"</f>
        <v>26.0899</v>
      </c>
      <c r="C1085" s="58" t="s">
        <v>3363</v>
      </c>
      <c r="D1085" s="79" t="s">
        <v>3364</v>
      </c>
      <c r="E1085" s="79"/>
    </row>
    <row r="1086" spans="1:5" ht="14.85" customHeight="1" outlineLevel="1" x14ac:dyDescent="0.25">
      <c r="A1086" s="101" t="s">
        <v>1502</v>
      </c>
      <c r="B1086" s="193" t="str">
        <f>"26.09"</f>
        <v>26.09</v>
      </c>
      <c r="C1086" s="58" t="s">
        <v>3365</v>
      </c>
      <c r="D1086" s="79" t="s">
        <v>3366</v>
      </c>
      <c r="E1086" s="79"/>
    </row>
    <row r="1087" spans="1:5" ht="14.85" customHeight="1" outlineLevel="1" x14ac:dyDescent="0.25">
      <c r="A1087" s="101" t="s">
        <v>1502</v>
      </c>
      <c r="B1087" s="193" t="str">
        <f>"26.0901"</f>
        <v>26.0901</v>
      </c>
      <c r="C1087" s="58" t="s">
        <v>3367</v>
      </c>
      <c r="D1087" s="79" t="s">
        <v>3368</v>
      </c>
      <c r="E1087" s="79"/>
    </row>
    <row r="1088" spans="1:5" ht="14.85" customHeight="1" outlineLevel="1" x14ac:dyDescent="0.25">
      <c r="A1088" s="101" t="s">
        <v>1502</v>
      </c>
      <c r="B1088" s="193" t="str">
        <f>"26.0902"</f>
        <v>26.0902</v>
      </c>
      <c r="C1088" s="58" t="s">
        <v>3369</v>
      </c>
      <c r="D1088" s="79" t="s">
        <v>3370</v>
      </c>
      <c r="E1088" s="79"/>
    </row>
    <row r="1089" spans="1:5" ht="14.85" customHeight="1" outlineLevel="1" x14ac:dyDescent="0.25">
      <c r="A1089" s="101" t="s">
        <v>1502</v>
      </c>
      <c r="B1089" s="193" t="str">
        <f>"26.0903"</f>
        <v>26.0903</v>
      </c>
      <c r="C1089" s="58" t="s">
        <v>3371</v>
      </c>
      <c r="D1089" s="79" t="s">
        <v>3372</v>
      </c>
      <c r="E1089" s="79"/>
    </row>
    <row r="1090" spans="1:5" ht="14.85" customHeight="1" outlineLevel="1" x14ac:dyDescent="0.25">
      <c r="A1090" s="101" t="s">
        <v>1502</v>
      </c>
      <c r="B1090" s="193" t="str">
        <f>"26.0904"</f>
        <v>26.0904</v>
      </c>
      <c r="C1090" s="58" t="s">
        <v>3373</v>
      </c>
      <c r="D1090" s="79" t="s">
        <v>3374</v>
      </c>
      <c r="E1090" s="79"/>
    </row>
    <row r="1091" spans="1:5" ht="14.85" customHeight="1" outlineLevel="1" x14ac:dyDescent="0.25">
      <c r="A1091" s="101" t="s">
        <v>1502</v>
      </c>
      <c r="B1091" s="193" t="str">
        <f>"26.0905"</f>
        <v>26.0905</v>
      </c>
      <c r="C1091" s="58" t="s">
        <v>3375</v>
      </c>
      <c r="D1091" s="79" t="s">
        <v>3376</v>
      </c>
      <c r="E1091" s="79"/>
    </row>
    <row r="1092" spans="1:5" ht="14.85" customHeight="1" outlineLevel="1" x14ac:dyDescent="0.25">
      <c r="A1092" s="101" t="s">
        <v>1502</v>
      </c>
      <c r="B1092" s="193" t="str">
        <f>"26.0907"</f>
        <v>26.0907</v>
      </c>
      <c r="C1092" s="58" t="s">
        <v>3377</v>
      </c>
      <c r="D1092" s="79" t="s">
        <v>3378</v>
      </c>
      <c r="E1092" s="79"/>
    </row>
    <row r="1093" spans="1:5" ht="14.85" customHeight="1" outlineLevel="1" x14ac:dyDescent="0.25">
      <c r="A1093" s="101" t="s">
        <v>1502</v>
      </c>
      <c r="B1093" s="193" t="str">
        <f>"26.0908"</f>
        <v>26.0908</v>
      </c>
      <c r="C1093" s="58" t="s">
        <v>3379</v>
      </c>
      <c r="D1093" s="79" t="s">
        <v>3380</v>
      </c>
      <c r="E1093" s="79"/>
    </row>
    <row r="1094" spans="1:5" ht="14.85" customHeight="1" outlineLevel="1" x14ac:dyDescent="0.25">
      <c r="A1094" s="101" t="s">
        <v>1502</v>
      </c>
      <c r="B1094" s="193" t="str">
        <f>"26.0909"</f>
        <v>26.0909</v>
      </c>
      <c r="C1094" s="58" t="s">
        <v>3381</v>
      </c>
      <c r="D1094" s="79" t="s">
        <v>3382</v>
      </c>
      <c r="E1094" s="79"/>
    </row>
    <row r="1095" spans="1:5" ht="14.85" customHeight="1" outlineLevel="1" x14ac:dyDescent="0.25">
      <c r="A1095" s="101" t="s">
        <v>1502</v>
      </c>
      <c r="B1095" s="193" t="str">
        <f>"26.0910"</f>
        <v>26.0910</v>
      </c>
      <c r="C1095" s="58" t="s">
        <v>3383</v>
      </c>
      <c r="D1095" s="79" t="s">
        <v>3384</v>
      </c>
      <c r="E1095" s="79"/>
    </row>
    <row r="1096" spans="1:5" s="3" customFormat="1" ht="14.85" customHeight="1" outlineLevel="1" collapsed="1" x14ac:dyDescent="0.25">
      <c r="A1096" s="101" t="s">
        <v>1502</v>
      </c>
      <c r="B1096" s="193" t="str">
        <f>"26.0911"</f>
        <v>26.0911</v>
      </c>
      <c r="C1096" s="58" t="s">
        <v>3385</v>
      </c>
      <c r="D1096" s="79" t="s">
        <v>3386</v>
      </c>
      <c r="E1096" s="79"/>
    </row>
    <row r="1097" spans="1:5" ht="14.85" customHeight="1" outlineLevel="1" x14ac:dyDescent="0.25">
      <c r="A1097" s="101" t="s">
        <v>1502</v>
      </c>
      <c r="B1097" s="193" t="str">
        <f>"26.0912"</f>
        <v>26.0912</v>
      </c>
      <c r="C1097" s="58" t="s">
        <v>3387</v>
      </c>
      <c r="D1097" s="79" t="s">
        <v>3388</v>
      </c>
      <c r="E1097" s="79"/>
    </row>
    <row r="1098" spans="1:5" ht="14.85" customHeight="1" outlineLevel="1" x14ac:dyDescent="0.25">
      <c r="A1098" s="101" t="s">
        <v>1502</v>
      </c>
      <c r="B1098" s="193" t="str">
        <f>"26.0913"</f>
        <v>26.0913</v>
      </c>
      <c r="C1098" s="58" t="s">
        <v>3389</v>
      </c>
      <c r="D1098" s="79" t="s">
        <v>3390</v>
      </c>
      <c r="E1098" s="79"/>
    </row>
    <row r="1099" spans="1:5" ht="14.85" customHeight="1" outlineLevel="1" x14ac:dyDescent="0.25">
      <c r="A1099" s="101" t="s">
        <v>1502</v>
      </c>
      <c r="B1099" s="193" t="str">
        <f>"26.0999"</f>
        <v>26.0999</v>
      </c>
      <c r="C1099" s="58" t="s">
        <v>3391</v>
      </c>
      <c r="D1099" s="79" t="s">
        <v>3392</v>
      </c>
      <c r="E1099" s="79"/>
    </row>
    <row r="1100" spans="1:5" ht="14.85" customHeight="1" outlineLevel="1" x14ac:dyDescent="0.25">
      <c r="A1100" s="101" t="s">
        <v>1502</v>
      </c>
      <c r="B1100" s="193" t="str">
        <f>"26.10"</f>
        <v>26.10</v>
      </c>
      <c r="C1100" s="58" t="s">
        <v>3393</v>
      </c>
      <c r="D1100" s="79" t="s">
        <v>3394</v>
      </c>
      <c r="E1100" s="79"/>
    </row>
    <row r="1101" spans="1:5" ht="14.85" customHeight="1" outlineLevel="1" x14ac:dyDescent="0.25">
      <c r="A1101" s="101" t="s">
        <v>1502</v>
      </c>
      <c r="B1101" s="193" t="str">
        <f>"26.1001"</f>
        <v>26.1001</v>
      </c>
      <c r="C1101" s="58" t="s">
        <v>3395</v>
      </c>
      <c r="D1101" s="79" t="s">
        <v>3396</v>
      </c>
      <c r="E1101" s="79"/>
    </row>
    <row r="1102" spans="1:5" ht="14.85" customHeight="1" outlineLevel="1" x14ac:dyDescent="0.25">
      <c r="A1102" s="101" t="s">
        <v>1502</v>
      </c>
      <c r="B1102" s="193" t="str">
        <f>"26.1002"</f>
        <v>26.1002</v>
      </c>
      <c r="C1102" s="58" t="s">
        <v>3397</v>
      </c>
      <c r="D1102" s="79" t="s">
        <v>3398</v>
      </c>
      <c r="E1102" s="79"/>
    </row>
    <row r="1103" spans="1:5" ht="14.85" customHeight="1" outlineLevel="1" x14ac:dyDescent="0.25">
      <c r="A1103" s="101" t="s">
        <v>1502</v>
      </c>
      <c r="B1103" s="193" t="str">
        <f>"26.1003"</f>
        <v>26.1003</v>
      </c>
      <c r="C1103" s="58" t="s">
        <v>3399</v>
      </c>
      <c r="D1103" s="79" t="s">
        <v>3400</v>
      </c>
      <c r="E1103" s="79"/>
    </row>
    <row r="1104" spans="1:5" ht="14.85" customHeight="1" outlineLevel="1" x14ac:dyDescent="0.25">
      <c r="A1104" s="101" t="s">
        <v>1502</v>
      </c>
      <c r="B1104" s="193" t="str">
        <f>"26.1004"</f>
        <v>26.1004</v>
      </c>
      <c r="C1104" s="58" t="s">
        <v>3401</v>
      </c>
      <c r="D1104" s="79" t="s">
        <v>3402</v>
      </c>
      <c r="E1104" s="79"/>
    </row>
    <row r="1105" spans="1:5" ht="14.85" customHeight="1" outlineLevel="1" x14ac:dyDescent="0.25">
      <c r="A1105" s="101" t="s">
        <v>1502</v>
      </c>
      <c r="B1105" s="193" t="str">
        <f>"26.1005"</f>
        <v>26.1005</v>
      </c>
      <c r="C1105" s="58" t="s">
        <v>3403</v>
      </c>
      <c r="D1105" s="79" t="s">
        <v>3404</v>
      </c>
      <c r="E1105" s="79"/>
    </row>
    <row r="1106" spans="1:5" ht="14.85" customHeight="1" outlineLevel="1" x14ac:dyDescent="0.25">
      <c r="A1106" s="101" t="s">
        <v>1502</v>
      </c>
      <c r="B1106" s="193" t="str">
        <f>"26.1006"</f>
        <v>26.1006</v>
      </c>
      <c r="C1106" s="58" t="s">
        <v>3405</v>
      </c>
      <c r="D1106" s="79" t="s">
        <v>3406</v>
      </c>
      <c r="E1106" s="79"/>
    </row>
    <row r="1107" spans="1:5" ht="14.85" customHeight="1" outlineLevel="1" x14ac:dyDescent="0.25">
      <c r="A1107" s="101" t="s">
        <v>1502</v>
      </c>
      <c r="B1107" s="193" t="str">
        <f>"26.1007"</f>
        <v>26.1007</v>
      </c>
      <c r="C1107" s="58" t="s">
        <v>3393</v>
      </c>
      <c r="D1107" s="79" t="s">
        <v>3407</v>
      </c>
      <c r="E1107" s="79"/>
    </row>
    <row r="1108" spans="1:5" ht="14.85" customHeight="1" outlineLevel="1" x14ac:dyDescent="0.25">
      <c r="A1108" s="101" t="s">
        <v>1502</v>
      </c>
      <c r="B1108" s="193" t="str">
        <f>"26.1099"</f>
        <v>26.1099</v>
      </c>
      <c r="C1108" s="58" t="s">
        <v>3408</v>
      </c>
      <c r="D1108" s="79" t="s">
        <v>3409</v>
      </c>
      <c r="E1108" s="79"/>
    </row>
    <row r="1109" spans="1:5" ht="14.85" customHeight="1" outlineLevel="1" x14ac:dyDescent="0.25">
      <c r="A1109" s="101" t="s">
        <v>1502</v>
      </c>
      <c r="B1109" s="193" t="str">
        <f>"26.11"</f>
        <v>26.11</v>
      </c>
      <c r="C1109" s="58" t="s">
        <v>3410</v>
      </c>
      <c r="D1109" s="79" t="s">
        <v>3411</v>
      </c>
      <c r="E1109" s="79"/>
    </row>
    <row r="1110" spans="1:5" ht="14.85" customHeight="1" outlineLevel="1" x14ac:dyDescent="0.25">
      <c r="A1110" s="101" t="s">
        <v>1502</v>
      </c>
      <c r="B1110" s="193" t="str">
        <f>"26.1101"</f>
        <v>26.1101</v>
      </c>
      <c r="C1110" s="58" t="s">
        <v>3412</v>
      </c>
      <c r="D1110" s="79" t="s">
        <v>3413</v>
      </c>
      <c r="E1110" s="79"/>
    </row>
    <row r="1111" spans="1:5" ht="14.85" customHeight="1" outlineLevel="1" x14ac:dyDescent="0.25">
      <c r="A1111" s="101" t="s">
        <v>1502</v>
      </c>
      <c r="B1111" s="193" t="str">
        <f>"26.1102"</f>
        <v>26.1102</v>
      </c>
      <c r="C1111" s="58" t="s">
        <v>3414</v>
      </c>
      <c r="D1111" s="79" t="s">
        <v>3415</v>
      </c>
      <c r="E1111" s="79"/>
    </row>
    <row r="1112" spans="1:5" ht="14.85" customHeight="1" outlineLevel="1" x14ac:dyDescent="0.25">
      <c r="A1112" s="101" t="s">
        <v>1502</v>
      </c>
      <c r="B1112" s="193" t="str">
        <f>"26.1103"</f>
        <v>26.1103</v>
      </c>
      <c r="C1112" s="58" t="s">
        <v>3416</v>
      </c>
      <c r="D1112" s="79" t="s">
        <v>3417</v>
      </c>
      <c r="E1112" s="79"/>
    </row>
    <row r="1113" spans="1:5" ht="14.85" customHeight="1" outlineLevel="1" x14ac:dyDescent="0.25">
      <c r="A1113" s="101" t="s">
        <v>1502</v>
      </c>
      <c r="B1113" s="193" t="str">
        <f>"26.1104"</f>
        <v>26.1104</v>
      </c>
      <c r="C1113" s="58" t="s">
        <v>3418</v>
      </c>
      <c r="D1113" s="79" t="s">
        <v>3419</v>
      </c>
      <c r="E1113" s="79"/>
    </row>
    <row r="1114" spans="1:5" ht="14.85" customHeight="1" outlineLevel="1" x14ac:dyDescent="0.25">
      <c r="A1114" s="101" t="s">
        <v>1502</v>
      </c>
      <c r="B1114" s="193" t="str">
        <f>"26.1199"</f>
        <v>26.1199</v>
      </c>
      <c r="C1114" s="58" t="s">
        <v>3420</v>
      </c>
      <c r="D1114" s="79" t="s">
        <v>3421</v>
      </c>
      <c r="E1114" s="79"/>
    </row>
    <row r="1115" spans="1:5" ht="14.85" customHeight="1" outlineLevel="1" x14ac:dyDescent="0.25">
      <c r="A1115" s="101" t="s">
        <v>1502</v>
      </c>
      <c r="B1115" s="193" t="str">
        <f>"26.12"</f>
        <v>26.12</v>
      </c>
      <c r="C1115" s="58" t="s">
        <v>3422</v>
      </c>
      <c r="D1115" s="79" t="s">
        <v>3423</v>
      </c>
      <c r="E1115" s="79"/>
    </row>
    <row r="1116" spans="1:5" ht="14.85" customHeight="1" outlineLevel="1" x14ac:dyDescent="0.25">
      <c r="A1116" s="101" t="s">
        <v>1502</v>
      </c>
      <c r="B1116" s="193" t="str">
        <f>"26.1201"</f>
        <v>26.1201</v>
      </c>
      <c r="C1116" s="58" t="s">
        <v>3422</v>
      </c>
      <c r="D1116" s="79" t="s">
        <v>3424</v>
      </c>
      <c r="E1116" s="79"/>
    </row>
    <row r="1117" spans="1:5" ht="14.85" customHeight="1" outlineLevel="1" x14ac:dyDescent="0.25">
      <c r="A1117" s="101" t="s">
        <v>1502</v>
      </c>
      <c r="B1117" s="193" t="str">
        <f>"26.13"</f>
        <v>26.13</v>
      </c>
      <c r="C1117" s="58" t="s">
        <v>3425</v>
      </c>
      <c r="D1117" s="79" t="s">
        <v>3426</v>
      </c>
      <c r="E1117" s="79"/>
    </row>
    <row r="1118" spans="1:5" ht="14.85" customHeight="1" outlineLevel="1" x14ac:dyDescent="0.25">
      <c r="A1118" s="101" t="s">
        <v>1502</v>
      </c>
      <c r="B1118" s="193" t="str">
        <f>"26.1301"</f>
        <v>26.1301</v>
      </c>
      <c r="C1118" s="58" t="s">
        <v>3427</v>
      </c>
      <c r="D1118" s="79" t="s">
        <v>3428</v>
      </c>
      <c r="E1118" s="79"/>
    </row>
    <row r="1119" spans="1:5" ht="14.85" customHeight="1" outlineLevel="1" x14ac:dyDescent="0.25">
      <c r="A1119" s="101" t="s">
        <v>1502</v>
      </c>
      <c r="B1119" s="193" t="str">
        <f>"26.1302"</f>
        <v>26.1302</v>
      </c>
      <c r="C1119" s="58" t="s">
        <v>3429</v>
      </c>
      <c r="D1119" s="79" t="s">
        <v>3430</v>
      </c>
      <c r="E1119" s="79"/>
    </row>
    <row r="1120" spans="1:5" ht="14.85" customHeight="1" outlineLevel="1" x14ac:dyDescent="0.25">
      <c r="A1120" s="101" t="s">
        <v>1502</v>
      </c>
      <c r="B1120" s="193" t="str">
        <f>"26.1303"</f>
        <v>26.1303</v>
      </c>
      <c r="C1120" s="58" t="s">
        <v>3431</v>
      </c>
      <c r="D1120" s="79" t="s">
        <v>3432</v>
      </c>
      <c r="E1120" s="79"/>
    </row>
    <row r="1121" spans="1:5" ht="14.85" customHeight="1" outlineLevel="1" x14ac:dyDescent="0.25">
      <c r="A1121" s="101" t="s">
        <v>1502</v>
      </c>
      <c r="B1121" s="193" t="str">
        <f>"26.1304"</f>
        <v>26.1304</v>
      </c>
      <c r="C1121" s="58" t="s">
        <v>3433</v>
      </c>
      <c r="D1121" s="79" t="s">
        <v>3434</v>
      </c>
      <c r="E1121" s="79"/>
    </row>
    <row r="1122" spans="1:5" ht="14.85" customHeight="1" outlineLevel="1" x14ac:dyDescent="0.25">
      <c r="A1122" s="101" t="s">
        <v>1502</v>
      </c>
      <c r="B1122" s="193" t="str">
        <f>"26.1305"</f>
        <v>26.1305</v>
      </c>
      <c r="C1122" s="58" t="s">
        <v>3435</v>
      </c>
      <c r="D1122" s="79" t="s">
        <v>3436</v>
      </c>
      <c r="E1122" s="79"/>
    </row>
    <row r="1123" spans="1:5" ht="14.85" customHeight="1" outlineLevel="1" x14ac:dyDescent="0.25">
      <c r="A1123" s="101" t="s">
        <v>1502</v>
      </c>
      <c r="B1123" s="193" t="str">
        <f>"26.1306"</f>
        <v>26.1306</v>
      </c>
      <c r="C1123" s="58" t="s">
        <v>3437</v>
      </c>
      <c r="D1123" s="79" t="s">
        <v>3438</v>
      </c>
      <c r="E1123" s="79"/>
    </row>
    <row r="1124" spans="1:5" ht="14.85" customHeight="1" outlineLevel="1" x14ac:dyDescent="0.25">
      <c r="A1124" s="101" t="s">
        <v>1502</v>
      </c>
      <c r="B1124" s="193" t="str">
        <f>"26.1307"</f>
        <v>26.1307</v>
      </c>
      <c r="C1124" s="58" t="s">
        <v>3439</v>
      </c>
      <c r="D1124" s="79" t="s">
        <v>3440</v>
      </c>
      <c r="E1124" s="79"/>
    </row>
    <row r="1125" spans="1:5" ht="14.85" customHeight="1" outlineLevel="1" x14ac:dyDescent="0.25">
      <c r="A1125" s="101" t="s">
        <v>1502</v>
      </c>
      <c r="B1125" s="193" t="str">
        <f>"26.1308"</f>
        <v>26.1308</v>
      </c>
      <c r="C1125" s="58" t="s">
        <v>3441</v>
      </c>
      <c r="D1125" s="79" t="s">
        <v>3442</v>
      </c>
      <c r="E1125" s="79"/>
    </row>
    <row r="1126" spans="1:5" ht="14.85" customHeight="1" outlineLevel="1" x14ac:dyDescent="0.25">
      <c r="A1126" s="101" t="s">
        <v>1502</v>
      </c>
      <c r="B1126" s="193" t="str">
        <f>"26.1309"</f>
        <v>26.1309</v>
      </c>
      <c r="C1126" s="58" t="s">
        <v>3443</v>
      </c>
      <c r="D1126" s="79" t="s">
        <v>3444</v>
      </c>
      <c r="E1126" s="79"/>
    </row>
    <row r="1127" spans="1:5" ht="14.85" customHeight="1" outlineLevel="1" x14ac:dyDescent="0.25">
      <c r="A1127" s="101" t="s">
        <v>1502</v>
      </c>
      <c r="B1127" s="193" t="str">
        <f>"26.1310"</f>
        <v>26.1310</v>
      </c>
      <c r="C1127" s="58" t="s">
        <v>3445</v>
      </c>
      <c r="D1127" s="79" t="s">
        <v>3446</v>
      </c>
      <c r="E1127" s="79"/>
    </row>
    <row r="1128" spans="1:5" ht="14.85" customHeight="1" outlineLevel="1" x14ac:dyDescent="0.25">
      <c r="A1128" s="101" t="s">
        <v>1502</v>
      </c>
      <c r="B1128" s="193" t="str">
        <f>"26.1311"</f>
        <v>26.1311</v>
      </c>
      <c r="C1128" s="58" t="s">
        <v>3447</v>
      </c>
      <c r="D1128" s="79" t="s">
        <v>3448</v>
      </c>
      <c r="E1128" s="79"/>
    </row>
    <row r="1129" spans="1:5" ht="14.85" customHeight="1" outlineLevel="1" x14ac:dyDescent="0.25">
      <c r="A1129" s="101" t="s">
        <v>1502</v>
      </c>
      <c r="B1129" s="193" t="str">
        <f>"26.1399"</f>
        <v>26.1399</v>
      </c>
      <c r="C1129" s="58" t="s">
        <v>3449</v>
      </c>
      <c r="D1129" s="79" t="s">
        <v>3450</v>
      </c>
      <c r="E1129" s="79"/>
    </row>
    <row r="1130" spans="1:5" ht="14.85" customHeight="1" outlineLevel="1" x14ac:dyDescent="0.25">
      <c r="A1130" s="101" t="s">
        <v>1502</v>
      </c>
      <c r="B1130" s="193" t="str">
        <f>"26.14"</f>
        <v>26.14</v>
      </c>
      <c r="C1130" s="58" t="s">
        <v>3451</v>
      </c>
      <c r="D1130" s="79" t="s">
        <v>3452</v>
      </c>
      <c r="E1130" s="79"/>
    </row>
    <row r="1131" spans="1:5" ht="14.85" customHeight="1" outlineLevel="1" x14ac:dyDescent="0.25">
      <c r="A1131" s="101" t="s">
        <v>1502</v>
      </c>
      <c r="B1131" s="193" t="str">
        <f>"26.1401"</f>
        <v>26.1401</v>
      </c>
      <c r="C1131" s="58" t="s">
        <v>3451</v>
      </c>
      <c r="D1131" s="79" t="s">
        <v>3453</v>
      </c>
      <c r="E1131" s="79"/>
    </row>
    <row r="1132" spans="1:5" ht="14.85" customHeight="1" outlineLevel="1" x14ac:dyDescent="0.25">
      <c r="A1132" s="101" t="s">
        <v>1502</v>
      </c>
      <c r="B1132" s="193" t="str">
        <f>"26.15"</f>
        <v>26.15</v>
      </c>
      <c r="C1132" s="58" t="s">
        <v>3454</v>
      </c>
      <c r="D1132" s="79" t="s">
        <v>3455</v>
      </c>
      <c r="E1132" s="79"/>
    </row>
    <row r="1133" spans="1:5" ht="14.85" customHeight="1" outlineLevel="1" x14ac:dyDescent="0.25">
      <c r="A1133" s="101" t="s">
        <v>1502</v>
      </c>
      <c r="B1133" s="193" t="str">
        <f>"26.1501"</f>
        <v>26.1501</v>
      </c>
      <c r="C1133" s="58" t="s">
        <v>3456</v>
      </c>
      <c r="D1133" s="79" t="s">
        <v>3457</v>
      </c>
      <c r="E1133" s="79"/>
    </row>
    <row r="1134" spans="1:5" ht="14.85" customHeight="1" outlineLevel="1" x14ac:dyDescent="0.25">
      <c r="A1134" s="101" t="s">
        <v>1502</v>
      </c>
      <c r="B1134" s="193" t="str">
        <f>"26.1502"</f>
        <v>26.1502</v>
      </c>
      <c r="C1134" s="58" t="s">
        <v>3458</v>
      </c>
      <c r="D1134" s="79" t="s">
        <v>3459</v>
      </c>
      <c r="E1134" s="79"/>
    </row>
    <row r="1135" spans="1:5" ht="14.85" customHeight="1" outlineLevel="1" x14ac:dyDescent="0.25">
      <c r="A1135" s="101" t="s">
        <v>1502</v>
      </c>
      <c r="B1135" s="193" t="str">
        <f>"26.1503"</f>
        <v>26.1503</v>
      </c>
      <c r="C1135" s="58" t="s">
        <v>3460</v>
      </c>
      <c r="D1135" s="79" t="s">
        <v>3461</v>
      </c>
      <c r="E1135" s="79"/>
    </row>
    <row r="1136" spans="1:5" ht="14.85" customHeight="1" outlineLevel="1" x14ac:dyDescent="0.25">
      <c r="A1136" s="101" t="s">
        <v>1502</v>
      </c>
      <c r="B1136" s="193" t="str">
        <f>"26.1504"</f>
        <v>26.1504</v>
      </c>
      <c r="C1136" s="58" t="s">
        <v>3462</v>
      </c>
      <c r="D1136" s="79" t="s">
        <v>3463</v>
      </c>
      <c r="E1136" s="79"/>
    </row>
    <row r="1137" spans="1:5" ht="14.85" customHeight="1" outlineLevel="1" x14ac:dyDescent="0.25">
      <c r="A1137" s="101" t="s">
        <v>1502</v>
      </c>
      <c r="B1137" s="193" t="str">
        <f>"26.1599"</f>
        <v>26.1599</v>
      </c>
      <c r="C1137" s="58" t="s">
        <v>3464</v>
      </c>
      <c r="D1137" s="79" t="s">
        <v>3465</v>
      </c>
      <c r="E1137" s="79"/>
    </row>
    <row r="1138" spans="1:5" ht="14.85" customHeight="1" outlineLevel="1" x14ac:dyDescent="0.25">
      <c r="A1138" s="101" t="s">
        <v>1502</v>
      </c>
      <c r="B1138" s="193" t="str">
        <f>"26.99"</f>
        <v>26.99</v>
      </c>
      <c r="C1138" s="58" t="s">
        <v>3466</v>
      </c>
      <c r="D1138" s="79" t="s">
        <v>3467</v>
      </c>
      <c r="E1138" s="79"/>
    </row>
    <row r="1139" spans="1:5" ht="14.85" customHeight="1" outlineLevel="1" x14ac:dyDescent="0.25">
      <c r="A1139" s="101" t="s">
        <v>1502</v>
      </c>
      <c r="B1139" s="193" t="str">
        <f>"26.9999"</f>
        <v>26.9999</v>
      </c>
      <c r="C1139" s="58" t="s">
        <v>3466</v>
      </c>
      <c r="D1139" s="79" t="s">
        <v>3468</v>
      </c>
      <c r="E1139" s="79"/>
    </row>
    <row r="1140" spans="1:5" ht="14.85" customHeight="1" outlineLevel="1" x14ac:dyDescent="0.25">
      <c r="A1140" s="101" t="s">
        <v>1502</v>
      </c>
      <c r="B1140" s="193" t="str">
        <f>"27"</f>
        <v>27</v>
      </c>
      <c r="C1140" s="58" t="s">
        <v>3469</v>
      </c>
      <c r="D1140" s="79" t="s">
        <v>3470</v>
      </c>
      <c r="E1140" s="79"/>
    </row>
    <row r="1141" spans="1:5" ht="14.85" customHeight="1" outlineLevel="1" x14ac:dyDescent="0.25">
      <c r="A1141" s="101" t="s">
        <v>1502</v>
      </c>
      <c r="B1141" s="193" t="str">
        <f>"27.01"</f>
        <v>27.01</v>
      </c>
      <c r="C1141" s="58" t="s">
        <v>3471</v>
      </c>
      <c r="D1141" s="79" t="s">
        <v>3472</v>
      </c>
      <c r="E1141" s="79"/>
    </row>
    <row r="1142" spans="1:5" ht="14.85" customHeight="1" outlineLevel="1" x14ac:dyDescent="0.25">
      <c r="A1142" s="101" t="s">
        <v>1502</v>
      </c>
      <c r="B1142" s="193" t="str">
        <f>"27.0101"</f>
        <v>27.0101</v>
      </c>
      <c r="C1142" s="58" t="s">
        <v>3473</v>
      </c>
      <c r="D1142" s="79" t="s">
        <v>3474</v>
      </c>
      <c r="E1142" s="79"/>
    </row>
    <row r="1143" spans="1:5" ht="14.85" customHeight="1" outlineLevel="1" x14ac:dyDescent="0.25">
      <c r="A1143" s="101" t="s">
        <v>1502</v>
      </c>
      <c r="B1143" s="193" t="str">
        <f>"27.0102"</f>
        <v>27.0102</v>
      </c>
      <c r="C1143" s="58" t="s">
        <v>3475</v>
      </c>
      <c r="D1143" s="79" t="s">
        <v>3476</v>
      </c>
      <c r="E1143" s="79"/>
    </row>
    <row r="1144" spans="1:5" ht="14.85" customHeight="1" outlineLevel="1" x14ac:dyDescent="0.25">
      <c r="A1144" s="101" t="s">
        <v>1502</v>
      </c>
      <c r="B1144" s="193" t="str">
        <f>"27.0103"</f>
        <v>27.0103</v>
      </c>
      <c r="C1144" s="58" t="s">
        <v>3477</v>
      </c>
      <c r="D1144" s="79" t="s">
        <v>3478</v>
      </c>
      <c r="E1144" s="79"/>
    </row>
    <row r="1145" spans="1:5" ht="14.85" customHeight="1" outlineLevel="1" x14ac:dyDescent="0.25">
      <c r="A1145" s="101" t="s">
        <v>1502</v>
      </c>
      <c r="B1145" s="193" t="str">
        <f>"27.0104"</f>
        <v>27.0104</v>
      </c>
      <c r="C1145" s="58" t="s">
        <v>3479</v>
      </c>
      <c r="D1145" s="79" t="s">
        <v>3480</v>
      </c>
      <c r="E1145" s="79"/>
    </row>
    <row r="1146" spans="1:5" ht="14.85" customHeight="1" outlineLevel="1" x14ac:dyDescent="0.25">
      <c r="A1146" s="101" t="s">
        <v>1502</v>
      </c>
      <c r="B1146" s="193" t="str">
        <f>"27.0105"</f>
        <v>27.0105</v>
      </c>
      <c r="C1146" s="58" t="s">
        <v>3481</v>
      </c>
      <c r="D1146" s="79" t="s">
        <v>3482</v>
      </c>
      <c r="E1146" s="79"/>
    </row>
    <row r="1147" spans="1:5" ht="14.85" customHeight="1" outlineLevel="1" x14ac:dyDescent="0.25">
      <c r="A1147" s="101" t="s">
        <v>1502</v>
      </c>
      <c r="B1147" s="193" t="str">
        <f>"27.0199"</f>
        <v>27.0199</v>
      </c>
      <c r="C1147" s="58" t="s">
        <v>3483</v>
      </c>
      <c r="D1147" s="79" t="s">
        <v>3484</v>
      </c>
      <c r="E1147" s="79"/>
    </row>
    <row r="1148" spans="1:5" ht="14.85" customHeight="1" outlineLevel="1" x14ac:dyDescent="0.25">
      <c r="A1148" s="101" t="s">
        <v>1502</v>
      </c>
      <c r="B1148" s="193" t="str">
        <f>"27.03"</f>
        <v>27.03</v>
      </c>
      <c r="C1148" s="58" t="s">
        <v>3485</v>
      </c>
      <c r="D1148" s="79" t="s">
        <v>3486</v>
      </c>
      <c r="E1148" s="79"/>
    </row>
    <row r="1149" spans="1:5" ht="14.85" customHeight="1" outlineLevel="1" x14ac:dyDescent="0.25">
      <c r="A1149" s="101" t="s">
        <v>1502</v>
      </c>
      <c r="B1149" s="193" t="str">
        <f>"27.0301"</f>
        <v>27.0301</v>
      </c>
      <c r="C1149" s="58" t="s">
        <v>3487</v>
      </c>
      <c r="D1149" s="79" t="s">
        <v>3488</v>
      </c>
      <c r="E1149" s="79"/>
    </row>
    <row r="1150" spans="1:5" ht="14.85" customHeight="1" outlineLevel="1" x14ac:dyDescent="0.25">
      <c r="A1150" s="101" t="s">
        <v>1502</v>
      </c>
      <c r="B1150" s="193" t="str">
        <f>"27.0303"</f>
        <v>27.0303</v>
      </c>
      <c r="C1150" s="58" t="s">
        <v>3489</v>
      </c>
      <c r="D1150" s="79" t="s">
        <v>3490</v>
      </c>
      <c r="E1150" s="79"/>
    </row>
    <row r="1151" spans="1:5" ht="14.85" customHeight="1" outlineLevel="1" x14ac:dyDescent="0.25">
      <c r="A1151" s="101" t="s">
        <v>1502</v>
      </c>
      <c r="B1151" s="193" t="str">
        <f>"27.0304"</f>
        <v>27.0304</v>
      </c>
      <c r="C1151" s="58" t="s">
        <v>3491</v>
      </c>
      <c r="D1151" s="79" t="s">
        <v>3492</v>
      </c>
      <c r="E1151" s="79"/>
    </row>
    <row r="1152" spans="1:5" ht="14.85" customHeight="1" outlineLevel="1" x14ac:dyDescent="0.25">
      <c r="A1152" s="101" t="s">
        <v>1502</v>
      </c>
      <c r="B1152" s="193" t="str">
        <f>"27.0305"</f>
        <v>27.0305</v>
      </c>
      <c r="C1152" s="58" t="s">
        <v>3493</v>
      </c>
      <c r="D1152" s="79" t="s">
        <v>3494</v>
      </c>
      <c r="E1152" s="79"/>
    </row>
    <row r="1153" spans="1:5" ht="14.85" customHeight="1" outlineLevel="1" x14ac:dyDescent="0.25">
      <c r="A1153" s="101" t="s">
        <v>1502</v>
      </c>
      <c r="B1153" s="193" t="str">
        <f>"27.0306"</f>
        <v>27.0306</v>
      </c>
      <c r="C1153" s="58" t="s">
        <v>3495</v>
      </c>
      <c r="D1153" s="79" t="s">
        <v>3496</v>
      </c>
      <c r="E1153" s="79"/>
    </row>
    <row r="1154" spans="1:5" ht="14.85" customHeight="1" outlineLevel="1" x14ac:dyDescent="0.25">
      <c r="A1154" s="101" t="s">
        <v>1502</v>
      </c>
      <c r="B1154" s="193" t="str">
        <f>"27.0399"</f>
        <v>27.0399</v>
      </c>
      <c r="C1154" s="58" t="s">
        <v>3497</v>
      </c>
      <c r="D1154" s="79" t="s">
        <v>3498</v>
      </c>
      <c r="E1154" s="79"/>
    </row>
    <row r="1155" spans="1:5" ht="14.85" customHeight="1" outlineLevel="1" x14ac:dyDescent="0.25">
      <c r="A1155" s="101" t="s">
        <v>1502</v>
      </c>
      <c r="B1155" s="193" t="str">
        <f>"27.05"</f>
        <v>27.05</v>
      </c>
      <c r="C1155" s="58" t="s">
        <v>3499</v>
      </c>
      <c r="D1155" s="79" t="s">
        <v>3500</v>
      </c>
      <c r="E1155" s="79"/>
    </row>
    <row r="1156" spans="1:5" ht="14.85" customHeight="1" outlineLevel="1" x14ac:dyDescent="0.25">
      <c r="A1156" s="101" t="s">
        <v>1502</v>
      </c>
      <c r="B1156" s="193" t="str">
        <f>"27.0501"</f>
        <v>27.0501</v>
      </c>
      <c r="C1156" s="58" t="s">
        <v>3501</v>
      </c>
      <c r="D1156" s="79" t="s">
        <v>3502</v>
      </c>
      <c r="E1156" s="79"/>
    </row>
    <row r="1157" spans="1:5" ht="14.85" customHeight="1" outlineLevel="1" x14ac:dyDescent="0.25">
      <c r="A1157" s="101" t="s">
        <v>1502</v>
      </c>
      <c r="B1157" s="193" t="str">
        <f>"27.0502"</f>
        <v>27.0502</v>
      </c>
      <c r="C1157" s="58" t="s">
        <v>3503</v>
      </c>
      <c r="D1157" s="79" t="s">
        <v>3504</v>
      </c>
      <c r="E1157" s="79"/>
    </row>
    <row r="1158" spans="1:5" ht="14.85" customHeight="1" outlineLevel="1" x14ac:dyDescent="0.25">
      <c r="A1158" s="101" t="s">
        <v>1502</v>
      </c>
      <c r="B1158" s="193" t="str">
        <f>"27.0503"</f>
        <v>27.0503</v>
      </c>
      <c r="C1158" s="58" t="s">
        <v>3505</v>
      </c>
      <c r="D1158" s="79" t="s">
        <v>3506</v>
      </c>
      <c r="E1158" s="79"/>
    </row>
    <row r="1159" spans="1:5" ht="14.85" customHeight="1" outlineLevel="1" x14ac:dyDescent="0.25">
      <c r="A1159" s="101" t="s">
        <v>1502</v>
      </c>
      <c r="B1159" s="193" t="str">
        <f>"27.0599"</f>
        <v>27.0599</v>
      </c>
      <c r="C1159" s="58" t="s">
        <v>3507</v>
      </c>
      <c r="D1159" s="79" t="s">
        <v>3508</v>
      </c>
      <c r="E1159" s="79"/>
    </row>
    <row r="1160" spans="1:5" ht="14.85" customHeight="1" outlineLevel="1" x14ac:dyDescent="0.25">
      <c r="A1160" s="101" t="s">
        <v>1502</v>
      </c>
      <c r="B1160" s="193" t="str">
        <f>"27.06"</f>
        <v>27.06</v>
      </c>
      <c r="C1160" s="58" t="s">
        <v>3509</v>
      </c>
      <c r="D1160" s="79" t="s">
        <v>3510</v>
      </c>
      <c r="E1160" s="79"/>
    </row>
    <row r="1161" spans="1:5" ht="14.85" customHeight="1" outlineLevel="1" x14ac:dyDescent="0.25">
      <c r="A1161" s="101" t="s">
        <v>1502</v>
      </c>
      <c r="B1161" s="193" t="str">
        <f>"27.0601"</f>
        <v>27.0601</v>
      </c>
      <c r="C1161" s="58" t="s">
        <v>3511</v>
      </c>
      <c r="D1161" s="79" t="s">
        <v>3512</v>
      </c>
      <c r="E1161" s="79"/>
    </row>
    <row r="1162" spans="1:5" ht="14.85" customHeight="1" outlineLevel="1" x14ac:dyDescent="0.25">
      <c r="A1162" s="101" t="s">
        <v>1502</v>
      </c>
      <c r="B1162" s="193" t="str">
        <f>"27.99"</f>
        <v>27.99</v>
      </c>
      <c r="C1162" s="58" t="s">
        <v>3513</v>
      </c>
      <c r="D1162" s="79" t="s">
        <v>3514</v>
      </c>
      <c r="E1162" s="79"/>
    </row>
    <row r="1163" spans="1:5" ht="14.85" customHeight="1" outlineLevel="1" x14ac:dyDescent="0.25">
      <c r="A1163" s="101" t="s">
        <v>1502</v>
      </c>
      <c r="B1163" s="193" t="str">
        <f>"27.9999"</f>
        <v>27.9999</v>
      </c>
      <c r="C1163" s="58" t="s">
        <v>3513</v>
      </c>
      <c r="D1163" s="79" t="s">
        <v>3515</v>
      </c>
      <c r="E1163" s="79"/>
    </row>
    <row r="1164" spans="1:5" ht="14.85" customHeight="1" outlineLevel="1" x14ac:dyDescent="0.25">
      <c r="A1164" s="101" t="s">
        <v>1502</v>
      </c>
      <c r="B1164" s="193" t="str">
        <f>"28"</f>
        <v>28</v>
      </c>
      <c r="C1164" s="58" t="s">
        <v>3516</v>
      </c>
      <c r="D1164" s="79" t="s">
        <v>3517</v>
      </c>
      <c r="E1164" s="79"/>
    </row>
    <row r="1165" spans="1:5" ht="14.85" customHeight="1" outlineLevel="1" x14ac:dyDescent="0.25">
      <c r="A1165" s="101" t="s">
        <v>1502</v>
      </c>
      <c r="B1165" s="193" t="str">
        <f>"28.01"</f>
        <v>28.01</v>
      </c>
      <c r="C1165" s="58" t="s">
        <v>3518</v>
      </c>
      <c r="D1165" s="79" t="s">
        <v>3519</v>
      </c>
      <c r="E1165" s="79"/>
    </row>
    <row r="1166" spans="1:5" ht="14.85" customHeight="1" outlineLevel="1" x14ac:dyDescent="0.25">
      <c r="A1166" s="101" t="s">
        <v>1502</v>
      </c>
      <c r="B1166" s="193" t="str">
        <f>"28.0101"</f>
        <v>28.0101</v>
      </c>
      <c r="C1166" s="58" t="s">
        <v>3520</v>
      </c>
      <c r="D1166" s="79" t="s">
        <v>3521</v>
      </c>
      <c r="E1166" s="79"/>
    </row>
    <row r="1167" spans="1:5" ht="14.85" customHeight="1" outlineLevel="1" x14ac:dyDescent="0.25">
      <c r="A1167" s="101" t="s">
        <v>1502</v>
      </c>
      <c r="B1167" s="193" t="str">
        <f>"28.0199"</f>
        <v>28.0199</v>
      </c>
      <c r="C1167" s="58" t="s">
        <v>3522</v>
      </c>
      <c r="D1167" s="79" t="s">
        <v>3523</v>
      </c>
      <c r="E1167" s="79"/>
    </row>
    <row r="1168" spans="1:5" ht="14.85" customHeight="1" outlineLevel="1" x14ac:dyDescent="0.25">
      <c r="A1168" s="101" t="s">
        <v>1502</v>
      </c>
      <c r="B1168" s="193" t="str">
        <f>"28.03"</f>
        <v>28.03</v>
      </c>
      <c r="C1168" s="58" t="s">
        <v>3524</v>
      </c>
      <c r="D1168" s="79" t="s">
        <v>3525</v>
      </c>
      <c r="E1168" s="79"/>
    </row>
    <row r="1169" spans="1:5" ht="14.85" customHeight="1" outlineLevel="1" x14ac:dyDescent="0.25">
      <c r="A1169" s="101" t="s">
        <v>1502</v>
      </c>
      <c r="B1169" s="193" t="str">
        <f>"28.0301"</f>
        <v>28.0301</v>
      </c>
      <c r="C1169" s="58" t="s">
        <v>3526</v>
      </c>
      <c r="D1169" s="79" t="s">
        <v>3527</v>
      </c>
      <c r="E1169" s="79"/>
    </row>
    <row r="1170" spans="1:5" ht="14.85" customHeight="1" outlineLevel="1" x14ac:dyDescent="0.25">
      <c r="A1170" s="101" t="s">
        <v>1502</v>
      </c>
      <c r="B1170" s="193" t="str">
        <f>"28.0399"</f>
        <v>28.0399</v>
      </c>
      <c r="C1170" s="58" t="s">
        <v>3528</v>
      </c>
      <c r="D1170" s="79" t="s">
        <v>3529</v>
      </c>
      <c r="E1170" s="79"/>
    </row>
    <row r="1171" spans="1:5" ht="14.85" customHeight="1" outlineLevel="1" x14ac:dyDescent="0.25">
      <c r="A1171" s="101" t="s">
        <v>1502</v>
      </c>
      <c r="B1171" s="193" t="str">
        <f>"28.04"</f>
        <v>28.04</v>
      </c>
      <c r="C1171" s="58" t="s">
        <v>3530</v>
      </c>
      <c r="D1171" s="79" t="s">
        <v>3531</v>
      </c>
      <c r="E1171" s="79"/>
    </row>
    <row r="1172" spans="1:5" ht="14.85" customHeight="1" outlineLevel="1" x14ac:dyDescent="0.25">
      <c r="A1172" s="101" t="s">
        <v>1502</v>
      </c>
      <c r="B1172" s="193" t="str">
        <f>"28.0401"</f>
        <v>28.0401</v>
      </c>
      <c r="C1172" s="58" t="s">
        <v>3532</v>
      </c>
      <c r="D1172" s="79" t="s">
        <v>3533</v>
      </c>
      <c r="E1172" s="79"/>
    </row>
    <row r="1173" spans="1:5" ht="14.85" customHeight="1" outlineLevel="1" x14ac:dyDescent="0.25">
      <c r="A1173" s="101" t="s">
        <v>1502</v>
      </c>
      <c r="B1173" s="193" t="str">
        <f>"28.0499"</f>
        <v>28.0499</v>
      </c>
      <c r="C1173" s="58" t="s">
        <v>3534</v>
      </c>
      <c r="D1173" s="79" t="s">
        <v>3535</v>
      </c>
      <c r="E1173" s="79"/>
    </row>
    <row r="1174" spans="1:5" ht="14.85" customHeight="1" outlineLevel="1" x14ac:dyDescent="0.25">
      <c r="A1174" s="101" t="s">
        <v>1502</v>
      </c>
      <c r="B1174" s="193" t="str">
        <f>"28.05"</f>
        <v>28.05</v>
      </c>
      <c r="C1174" s="58" t="s">
        <v>3536</v>
      </c>
      <c r="D1174" s="79" t="s">
        <v>3537</v>
      </c>
      <c r="E1174" s="79"/>
    </row>
    <row r="1175" spans="1:5" ht="14.85" customHeight="1" outlineLevel="1" x14ac:dyDescent="0.25">
      <c r="A1175" s="101" t="s">
        <v>1502</v>
      </c>
      <c r="B1175" s="193" t="str">
        <f>"28.0501"</f>
        <v>28.0501</v>
      </c>
      <c r="C1175" s="58" t="s">
        <v>3538</v>
      </c>
      <c r="D1175" s="79" t="s">
        <v>3539</v>
      </c>
      <c r="E1175" s="79"/>
    </row>
    <row r="1176" spans="1:5" ht="14.85" customHeight="1" outlineLevel="1" x14ac:dyDescent="0.25">
      <c r="A1176" s="101" t="s">
        <v>1502</v>
      </c>
      <c r="B1176" s="193" t="str">
        <f>"28.0502"</f>
        <v>28.0502</v>
      </c>
      <c r="C1176" s="58" t="s">
        <v>3540</v>
      </c>
      <c r="D1176" s="79" t="s">
        <v>3541</v>
      </c>
      <c r="E1176" s="79"/>
    </row>
    <row r="1177" spans="1:5" ht="14.85" customHeight="1" outlineLevel="1" x14ac:dyDescent="0.25">
      <c r="A1177" s="101" t="s">
        <v>1502</v>
      </c>
      <c r="B1177" s="193" t="str">
        <f>"28.0503"</f>
        <v>28.0503</v>
      </c>
      <c r="C1177" s="58" t="s">
        <v>3542</v>
      </c>
      <c r="D1177" s="79" t="s">
        <v>3543</v>
      </c>
      <c r="E1177" s="79"/>
    </row>
    <row r="1178" spans="1:5" ht="14.85" customHeight="1" outlineLevel="1" x14ac:dyDescent="0.25">
      <c r="A1178" s="101" t="s">
        <v>1502</v>
      </c>
      <c r="B1178" s="193" t="str">
        <f>"28.0504"</f>
        <v>28.0504</v>
      </c>
      <c r="C1178" s="58" t="s">
        <v>3544</v>
      </c>
      <c r="D1178" s="79" t="s">
        <v>3545</v>
      </c>
      <c r="E1178" s="79"/>
    </row>
    <row r="1179" spans="1:5" ht="14.85" customHeight="1" outlineLevel="1" x14ac:dyDescent="0.25">
      <c r="A1179" s="101" t="s">
        <v>1502</v>
      </c>
      <c r="B1179" s="193" t="str">
        <f>"28.0505"</f>
        <v>28.0505</v>
      </c>
      <c r="C1179" s="58" t="s">
        <v>3546</v>
      </c>
      <c r="D1179" s="79" t="s">
        <v>3547</v>
      </c>
      <c r="E1179" s="79"/>
    </row>
    <row r="1180" spans="1:5" ht="14.85" customHeight="1" outlineLevel="1" x14ac:dyDescent="0.25">
      <c r="A1180" s="101" t="s">
        <v>1502</v>
      </c>
      <c r="B1180" s="193" t="str">
        <f>"28.0506"</f>
        <v>28.0506</v>
      </c>
      <c r="C1180" s="58" t="s">
        <v>3548</v>
      </c>
      <c r="D1180" s="79" t="s">
        <v>3549</v>
      </c>
      <c r="E1180" s="79"/>
    </row>
    <row r="1181" spans="1:5" ht="14.85" customHeight="1" outlineLevel="1" x14ac:dyDescent="0.25">
      <c r="A1181" s="101" t="s">
        <v>1502</v>
      </c>
      <c r="B1181" s="193" t="str">
        <f>"28.0599"</f>
        <v>28.0599</v>
      </c>
      <c r="C1181" s="58" t="s">
        <v>3550</v>
      </c>
      <c r="D1181" s="79" t="s">
        <v>3551</v>
      </c>
      <c r="E1181" s="79"/>
    </row>
    <row r="1182" spans="1:5" ht="14.85" customHeight="1" outlineLevel="1" x14ac:dyDescent="0.25">
      <c r="A1182" s="101" t="s">
        <v>1502</v>
      </c>
      <c r="B1182" s="193" t="str">
        <f>"28.06"</f>
        <v>28.06</v>
      </c>
      <c r="C1182" s="58" t="s">
        <v>3552</v>
      </c>
      <c r="D1182" s="79" t="s">
        <v>3553</v>
      </c>
      <c r="E1182" s="79"/>
    </row>
    <row r="1183" spans="1:5" ht="14.85" customHeight="1" outlineLevel="1" x14ac:dyDescent="0.25">
      <c r="A1183" s="101" t="s">
        <v>1502</v>
      </c>
      <c r="B1183" s="193" t="str">
        <f>"28.0601"</f>
        <v>28.0601</v>
      </c>
      <c r="C1183" s="58" t="s">
        <v>3554</v>
      </c>
      <c r="D1183" s="79" t="s">
        <v>3555</v>
      </c>
      <c r="E1183" s="79"/>
    </row>
    <row r="1184" spans="1:5" ht="14.85" customHeight="1" outlineLevel="1" x14ac:dyDescent="0.25">
      <c r="A1184" s="101" t="s">
        <v>1502</v>
      </c>
      <c r="B1184" s="193" t="str">
        <f>"28.0602"</f>
        <v>28.0602</v>
      </c>
      <c r="C1184" s="58" t="s">
        <v>3556</v>
      </c>
      <c r="D1184" s="79" t="s">
        <v>3557</v>
      </c>
      <c r="E1184" s="79"/>
    </row>
    <row r="1185" spans="1:5" ht="14.85" customHeight="1" outlineLevel="1" x14ac:dyDescent="0.25">
      <c r="A1185" s="101" t="s">
        <v>1502</v>
      </c>
      <c r="B1185" s="193" t="str">
        <f>"28.0603"</f>
        <v>28.0603</v>
      </c>
      <c r="C1185" s="58" t="s">
        <v>3558</v>
      </c>
      <c r="D1185" s="79" t="s">
        <v>3559</v>
      </c>
      <c r="E1185" s="79"/>
    </row>
    <row r="1186" spans="1:5" ht="14.85" customHeight="1" outlineLevel="1" x14ac:dyDescent="0.25">
      <c r="A1186" s="101" t="s">
        <v>1502</v>
      </c>
      <c r="B1186" s="193" t="str">
        <f>"28.0604"</f>
        <v>28.0604</v>
      </c>
      <c r="C1186" s="58" t="s">
        <v>3560</v>
      </c>
      <c r="D1186" s="79" t="s">
        <v>3561</v>
      </c>
      <c r="E1186" s="79"/>
    </row>
    <row r="1187" spans="1:5" ht="14.85" customHeight="1" outlineLevel="1" x14ac:dyDescent="0.25">
      <c r="A1187" s="101" t="s">
        <v>1502</v>
      </c>
      <c r="B1187" s="193" t="str">
        <f>"28.0605"</f>
        <v>28.0605</v>
      </c>
      <c r="C1187" s="58" t="s">
        <v>3562</v>
      </c>
      <c r="D1187" s="79" t="s">
        <v>3563</v>
      </c>
      <c r="E1187" s="79"/>
    </row>
    <row r="1188" spans="1:5" ht="14.85" customHeight="1" outlineLevel="1" x14ac:dyDescent="0.25">
      <c r="A1188" s="101" t="s">
        <v>1502</v>
      </c>
      <c r="B1188" s="193" t="str">
        <f>"28.0699"</f>
        <v>28.0699</v>
      </c>
      <c r="C1188" s="58" t="s">
        <v>3564</v>
      </c>
      <c r="D1188" s="79" t="s">
        <v>3565</v>
      </c>
      <c r="E1188" s="79"/>
    </row>
    <row r="1189" spans="1:5" ht="14.85" customHeight="1" outlineLevel="1" x14ac:dyDescent="0.25">
      <c r="A1189" s="101" t="s">
        <v>1502</v>
      </c>
      <c r="B1189" s="193" t="str">
        <f>"28.07"</f>
        <v>28.07</v>
      </c>
      <c r="C1189" s="58" t="s">
        <v>3566</v>
      </c>
      <c r="D1189" s="79" t="s">
        <v>3567</v>
      </c>
      <c r="E1189" s="79"/>
    </row>
    <row r="1190" spans="1:5" ht="14.85" customHeight="1" outlineLevel="1" x14ac:dyDescent="0.25">
      <c r="A1190" s="101" t="s">
        <v>1502</v>
      </c>
      <c r="B1190" s="193" t="str">
        <f>"28.0701"</f>
        <v>28.0701</v>
      </c>
      <c r="C1190" s="58" t="s">
        <v>3568</v>
      </c>
      <c r="D1190" s="79" t="s">
        <v>3569</v>
      </c>
      <c r="E1190" s="79"/>
    </row>
    <row r="1191" spans="1:5" ht="14.85" customHeight="1" outlineLevel="1" x14ac:dyDescent="0.25">
      <c r="A1191" s="101" t="s">
        <v>1502</v>
      </c>
      <c r="B1191" s="193" t="str">
        <f>"28.0702"</f>
        <v>28.0702</v>
      </c>
      <c r="C1191" s="58" t="s">
        <v>3570</v>
      </c>
      <c r="D1191" s="79" t="s">
        <v>3571</v>
      </c>
      <c r="E1191" s="79"/>
    </row>
    <row r="1192" spans="1:5" ht="14.85" customHeight="1" outlineLevel="1" x14ac:dyDescent="0.25">
      <c r="A1192" s="101" t="s">
        <v>1502</v>
      </c>
      <c r="B1192" s="193" t="str">
        <f>"28.0703"</f>
        <v>28.0703</v>
      </c>
      <c r="C1192" s="58" t="s">
        <v>3572</v>
      </c>
      <c r="D1192" s="79" t="s">
        <v>3573</v>
      </c>
      <c r="E1192" s="79"/>
    </row>
    <row r="1193" spans="1:5" ht="14.85" customHeight="1" outlineLevel="1" x14ac:dyDescent="0.25">
      <c r="A1193" s="101" t="s">
        <v>1502</v>
      </c>
      <c r="B1193" s="193" t="str">
        <f>"28.0799"</f>
        <v>28.0799</v>
      </c>
      <c r="C1193" s="58" t="s">
        <v>3574</v>
      </c>
      <c r="D1193" s="79" t="s">
        <v>3575</v>
      </c>
      <c r="E1193" s="79"/>
    </row>
    <row r="1194" spans="1:5" ht="14.85" customHeight="1" outlineLevel="1" x14ac:dyDescent="0.25">
      <c r="A1194" s="101" t="s">
        <v>1502</v>
      </c>
      <c r="B1194" s="193" t="str">
        <f>"28.08"</f>
        <v>28.08</v>
      </c>
      <c r="C1194" s="58" t="s">
        <v>1559</v>
      </c>
      <c r="D1194" s="79" t="s">
        <v>3576</v>
      </c>
      <c r="E1194" s="79"/>
    </row>
    <row r="1195" spans="1:5" ht="14.85" customHeight="1" outlineLevel="1" x14ac:dyDescent="0.25">
      <c r="A1195" s="101" t="s">
        <v>1502</v>
      </c>
      <c r="B1195" s="193" t="str">
        <f>"28.0801"</f>
        <v>28.0801</v>
      </c>
      <c r="C1195" s="58" t="s">
        <v>1559</v>
      </c>
      <c r="D1195" s="79" t="s">
        <v>1560</v>
      </c>
      <c r="E1195" s="79"/>
    </row>
    <row r="1196" spans="1:5" ht="14.85" customHeight="1" outlineLevel="1" x14ac:dyDescent="0.25">
      <c r="A1196" s="101" t="s">
        <v>1502</v>
      </c>
      <c r="B1196" s="193" t="str">
        <f>"28.99"</f>
        <v>28.99</v>
      </c>
      <c r="C1196" s="58" t="s">
        <v>3577</v>
      </c>
      <c r="D1196" s="79" t="s">
        <v>3578</v>
      </c>
      <c r="E1196" s="79"/>
    </row>
    <row r="1197" spans="1:5" ht="14.85" customHeight="1" outlineLevel="1" x14ac:dyDescent="0.25">
      <c r="A1197" s="101" t="s">
        <v>1502</v>
      </c>
      <c r="B1197" s="193" t="str">
        <f>"28.9999"</f>
        <v>28.9999</v>
      </c>
      <c r="C1197" s="58" t="s">
        <v>3577</v>
      </c>
      <c r="D1197" s="79" t="s">
        <v>3579</v>
      </c>
      <c r="E1197" s="79"/>
    </row>
    <row r="1198" spans="1:5" ht="14.85" customHeight="1" outlineLevel="1" x14ac:dyDescent="0.25">
      <c r="A1198" s="101" t="s">
        <v>1502</v>
      </c>
      <c r="B1198" s="193" t="str">
        <f>"29"</f>
        <v>29</v>
      </c>
      <c r="C1198" s="58" t="s">
        <v>3580</v>
      </c>
      <c r="D1198" s="79" t="s">
        <v>3581</v>
      </c>
      <c r="E1198" s="79"/>
    </row>
    <row r="1199" spans="1:5" ht="14.85" customHeight="1" outlineLevel="1" x14ac:dyDescent="0.25">
      <c r="A1199" s="101" t="s">
        <v>1502</v>
      </c>
      <c r="B1199" s="193" t="str">
        <f>"29.02"</f>
        <v>29.02</v>
      </c>
      <c r="C1199" s="58" t="s">
        <v>3582</v>
      </c>
      <c r="D1199" s="79" t="s">
        <v>3583</v>
      </c>
      <c r="E1199" s="79"/>
    </row>
    <row r="1200" spans="1:5" ht="14.85" customHeight="1" outlineLevel="1" x14ac:dyDescent="0.25">
      <c r="A1200" s="101" t="s">
        <v>1502</v>
      </c>
      <c r="B1200" s="193" t="str">
        <f>"29.0201"</f>
        <v>29.0201</v>
      </c>
      <c r="C1200" s="58" t="s">
        <v>3584</v>
      </c>
      <c r="D1200" s="79" t="s">
        <v>3585</v>
      </c>
      <c r="E1200" s="79"/>
    </row>
    <row r="1201" spans="1:5" ht="14.85" customHeight="1" outlineLevel="1" x14ac:dyDescent="0.25">
      <c r="A1201" s="101" t="s">
        <v>1502</v>
      </c>
      <c r="B1201" s="193" t="str">
        <f>"29.0202"</f>
        <v>29.0202</v>
      </c>
      <c r="C1201" s="58" t="s">
        <v>3586</v>
      </c>
      <c r="D1201" s="79" t="s">
        <v>3587</v>
      </c>
      <c r="E1201" s="79"/>
    </row>
    <row r="1202" spans="1:5" ht="14.85" customHeight="1" outlineLevel="1" x14ac:dyDescent="0.25">
      <c r="A1202" s="101" t="s">
        <v>1502</v>
      </c>
      <c r="B1202" s="193" t="str">
        <f>"29.0203"</f>
        <v>29.0203</v>
      </c>
      <c r="C1202" s="58" t="s">
        <v>3588</v>
      </c>
      <c r="D1202" s="79" t="s">
        <v>3589</v>
      </c>
      <c r="E1202" s="79"/>
    </row>
    <row r="1203" spans="1:5" ht="14.85" customHeight="1" outlineLevel="1" x14ac:dyDescent="0.25">
      <c r="A1203" s="101" t="s">
        <v>1502</v>
      </c>
      <c r="B1203" s="193" t="str">
        <f>"29.0204"</f>
        <v>29.0204</v>
      </c>
      <c r="C1203" s="58" t="s">
        <v>3590</v>
      </c>
      <c r="D1203" s="79" t="s">
        <v>3591</v>
      </c>
      <c r="E1203" s="79"/>
    </row>
    <row r="1204" spans="1:5" ht="14.85" customHeight="1" outlineLevel="1" x14ac:dyDescent="0.25">
      <c r="A1204" s="101" t="s">
        <v>1502</v>
      </c>
      <c r="B1204" s="193" t="str">
        <f>"29.0205"</f>
        <v>29.0205</v>
      </c>
      <c r="C1204" s="58" t="s">
        <v>3592</v>
      </c>
      <c r="D1204" s="79" t="s">
        <v>3593</v>
      </c>
      <c r="E1204" s="79"/>
    </row>
    <row r="1205" spans="1:5" ht="14.85" customHeight="1" outlineLevel="1" x14ac:dyDescent="0.25">
      <c r="A1205" s="101" t="s">
        <v>1502</v>
      </c>
      <c r="B1205" s="193" t="str">
        <f>"29.0206"</f>
        <v>29.0206</v>
      </c>
      <c r="C1205" s="58" t="s">
        <v>3594</v>
      </c>
      <c r="D1205" s="79" t="s">
        <v>3595</v>
      </c>
      <c r="E1205" s="79"/>
    </row>
    <row r="1206" spans="1:5" ht="14.85" customHeight="1" outlineLevel="1" x14ac:dyDescent="0.25">
      <c r="A1206" s="101" t="s">
        <v>1502</v>
      </c>
      <c r="B1206" s="193" t="str">
        <f>"29.0207"</f>
        <v>29.0207</v>
      </c>
      <c r="C1206" s="58" t="s">
        <v>3596</v>
      </c>
      <c r="D1206" s="79" t="s">
        <v>3597</v>
      </c>
      <c r="E1206" s="79"/>
    </row>
    <row r="1207" spans="1:5" ht="14.85" customHeight="1" outlineLevel="1" x14ac:dyDescent="0.25">
      <c r="A1207" s="101" t="s">
        <v>1502</v>
      </c>
      <c r="B1207" s="193" t="str">
        <f>"29.0299"</f>
        <v>29.0299</v>
      </c>
      <c r="C1207" s="58" t="s">
        <v>3598</v>
      </c>
      <c r="D1207" s="79" t="s">
        <v>3599</v>
      </c>
      <c r="E1207" s="79"/>
    </row>
    <row r="1208" spans="1:5" ht="14.85" customHeight="1" outlineLevel="1" x14ac:dyDescent="0.25">
      <c r="A1208" s="101" t="s">
        <v>1502</v>
      </c>
      <c r="B1208" s="193" t="str">
        <f>"29.03"</f>
        <v>29.03</v>
      </c>
      <c r="C1208" s="58" t="s">
        <v>3600</v>
      </c>
      <c r="D1208" s="79" t="s">
        <v>3601</v>
      </c>
      <c r="E1208" s="79"/>
    </row>
    <row r="1209" spans="1:5" ht="14.85" customHeight="1" outlineLevel="1" x14ac:dyDescent="0.25">
      <c r="A1209" s="101" t="s">
        <v>1502</v>
      </c>
      <c r="B1209" s="193" t="str">
        <f>"29.0301"</f>
        <v>29.0301</v>
      </c>
      <c r="C1209" s="58" t="s">
        <v>3602</v>
      </c>
      <c r="D1209" s="79" t="s">
        <v>3603</v>
      </c>
      <c r="E1209" s="79"/>
    </row>
    <row r="1210" spans="1:5" ht="14.85" customHeight="1" outlineLevel="1" x14ac:dyDescent="0.25">
      <c r="A1210" s="101" t="s">
        <v>1502</v>
      </c>
      <c r="B1210" s="193" t="str">
        <f>"29.0302"</f>
        <v>29.0302</v>
      </c>
      <c r="C1210" s="58" t="s">
        <v>3604</v>
      </c>
      <c r="D1210" s="79" t="s">
        <v>3605</v>
      </c>
      <c r="E1210" s="79"/>
    </row>
    <row r="1211" spans="1:5" ht="14.85" customHeight="1" outlineLevel="1" x14ac:dyDescent="0.25">
      <c r="A1211" s="101" t="s">
        <v>1502</v>
      </c>
      <c r="B1211" s="193" t="str">
        <f>"29.0303"</f>
        <v>29.0303</v>
      </c>
      <c r="C1211" s="58" t="s">
        <v>3606</v>
      </c>
      <c r="D1211" s="79" t="s">
        <v>3607</v>
      </c>
      <c r="E1211" s="79"/>
    </row>
    <row r="1212" spans="1:5" ht="14.85" customHeight="1" outlineLevel="1" x14ac:dyDescent="0.25">
      <c r="A1212" s="101" t="s">
        <v>1502</v>
      </c>
      <c r="B1212" s="193" t="str">
        <f>"29.0304"</f>
        <v>29.0304</v>
      </c>
      <c r="C1212" s="58" t="s">
        <v>3608</v>
      </c>
      <c r="D1212" s="79" t="s">
        <v>3609</v>
      </c>
      <c r="E1212" s="79"/>
    </row>
    <row r="1213" spans="1:5" ht="14.85" customHeight="1" outlineLevel="1" x14ac:dyDescent="0.25">
      <c r="A1213" s="101" t="s">
        <v>1502</v>
      </c>
      <c r="B1213" s="193" t="str">
        <f>"29.0305"</f>
        <v>29.0305</v>
      </c>
      <c r="C1213" s="58" t="s">
        <v>3610</v>
      </c>
      <c r="D1213" s="79" t="s">
        <v>3611</v>
      </c>
      <c r="E1213" s="79"/>
    </row>
    <row r="1214" spans="1:5" ht="14.85" customHeight="1" outlineLevel="1" x14ac:dyDescent="0.25">
      <c r="A1214" s="101" t="s">
        <v>1502</v>
      </c>
      <c r="B1214" s="193" t="str">
        <f>"29.0306"</f>
        <v>29.0306</v>
      </c>
      <c r="C1214" s="58" t="s">
        <v>3612</v>
      </c>
      <c r="D1214" s="79" t="s">
        <v>3613</v>
      </c>
      <c r="E1214" s="79"/>
    </row>
    <row r="1215" spans="1:5" ht="14.85" customHeight="1" outlineLevel="1" x14ac:dyDescent="0.25">
      <c r="A1215" s="101" t="s">
        <v>1502</v>
      </c>
      <c r="B1215" s="193" t="str">
        <f>"29.0307"</f>
        <v>29.0307</v>
      </c>
      <c r="C1215" s="58" t="s">
        <v>3614</v>
      </c>
      <c r="D1215" s="79" t="s">
        <v>3615</v>
      </c>
      <c r="E1215" s="79"/>
    </row>
    <row r="1216" spans="1:5" ht="14.85" customHeight="1" outlineLevel="1" x14ac:dyDescent="0.25">
      <c r="A1216" s="101" t="s">
        <v>1502</v>
      </c>
      <c r="B1216" s="193" t="str">
        <f>"29.0399"</f>
        <v>29.0399</v>
      </c>
      <c r="C1216" s="58" t="s">
        <v>3616</v>
      </c>
      <c r="D1216" s="79" t="s">
        <v>3617</v>
      </c>
      <c r="E1216" s="79"/>
    </row>
    <row r="1217" spans="1:5" ht="14.85" customHeight="1" outlineLevel="1" x14ac:dyDescent="0.25">
      <c r="A1217" s="101" t="s">
        <v>1502</v>
      </c>
      <c r="B1217" s="193" t="str">
        <f>"29.04"</f>
        <v>29.04</v>
      </c>
      <c r="C1217" s="58" t="s">
        <v>3618</v>
      </c>
      <c r="D1217" s="79" t="s">
        <v>3619</v>
      </c>
      <c r="E1217" s="79"/>
    </row>
    <row r="1218" spans="1:5" ht="14.85" customHeight="1" outlineLevel="1" x14ac:dyDescent="0.25">
      <c r="A1218" s="101" t="s">
        <v>1502</v>
      </c>
      <c r="B1218" s="193" t="str">
        <f>"29.0401"</f>
        <v>29.0401</v>
      </c>
      <c r="C1218" s="58" t="s">
        <v>3620</v>
      </c>
      <c r="D1218" s="79" t="s">
        <v>3621</v>
      </c>
      <c r="E1218" s="79"/>
    </row>
    <row r="1219" spans="1:5" ht="14.85" customHeight="1" outlineLevel="1" x14ac:dyDescent="0.25">
      <c r="A1219" s="101" t="s">
        <v>1502</v>
      </c>
      <c r="B1219" s="193" t="str">
        <f>"29.0402"</f>
        <v>29.0402</v>
      </c>
      <c r="C1219" s="58" t="s">
        <v>3622</v>
      </c>
      <c r="D1219" s="79" t="s">
        <v>3623</v>
      </c>
      <c r="E1219" s="79"/>
    </row>
    <row r="1220" spans="1:5" ht="14.85" customHeight="1" outlineLevel="1" x14ac:dyDescent="0.25">
      <c r="A1220" s="101" t="s">
        <v>1502</v>
      </c>
      <c r="B1220" s="193" t="str">
        <f>"29.0403"</f>
        <v>29.0403</v>
      </c>
      <c r="C1220" s="58" t="s">
        <v>3624</v>
      </c>
      <c r="D1220" s="79" t="s">
        <v>3625</v>
      </c>
      <c r="E1220" s="79"/>
    </row>
    <row r="1221" spans="1:5" ht="14.85" customHeight="1" outlineLevel="1" x14ac:dyDescent="0.25">
      <c r="A1221" s="101" t="s">
        <v>1502</v>
      </c>
      <c r="B1221" s="193" t="str">
        <f>"29.0404"</f>
        <v>29.0404</v>
      </c>
      <c r="C1221" s="58" t="s">
        <v>3626</v>
      </c>
      <c r="D1221" s="79" t="s">
        <v>3627</v>
      </c>
      <c r="E1221" s="79"/>
    </row>
    <row r="1222" spans="1:5" ht="14.85" customHeight="1" outlineLevel="1" x14ac:dyDescent="0.25">
      <c r="A1222" s="101" t="s">
        <v>1502</v>
      </c>
      <c r="B1222" s="193" t="str">
        <f>"29.0405"</f>
        <v>29.0405</v>
      </c>
      <c r="C1222" s="58" t="s">
        <v>3628</v>
      </c>
      <c r="D1222" s="79" t="s">
        <v>3629</v>
      </c>
      <c r="E1222" s="79"/>
    </row>
    <row r="1223" spans="1:5" ht="14.85" customHeight="1" outlineLevel="1" x14ac:dyDescent="0.25">
      <c r="A1223" s="101" t="s">
        <v>1502</v>
      </c>
      <c r="B1223" s="193" t="str">
        <f>"29.0406"</f>
        <v>29.0406</v>
      </c>
      <c r="C1223" s="58" t="s">
        <v>3630</v>
      </c>
      <c r="D1223" s="79" t="s">
        <v>3631</v>
      </c>
      <c r="E1223" s="79"/>
    </row>
    <row r="1224" spans="1:5" ht="14.85" customHeight="1" outlineLevel="1" x14ac:dyDescent="0.25">
      <c r="A1224" s="101" t="s">
        <v>1502</v>
      </c>
      <c r="B1224" s="193" t="str">
        <f>"29.0407"</f>
        <v>29.0407</v>
      </c>
      <c r="C1224" s="58" t="s">
        <v>3632</v>
      </c>
      <c r="D1224" s="79" t="s">
        <v>3633</v>
      </c>
      <c r="E1224" s="79"/>
    </row>
    <row r="1225" spans="1:5" ht="14.85" customHeight="1" outlineLevel="1" x14ac:dyDescent="0.25">
      <c r="A1225" s="101" t="s">
        <v>1502</v>
      </c>
      <c r="B1225" s="193" t="str">
        <f>"29.0408"</f>
        <v>29.0408</v>
      </c>
      <c r="C1225" s="58" t="s">
        <v>3634</v>
      </c>
      <c r="D1225" s="79" t="s">
        <v>3635</v>
      </c>
      <c r="E1225" s="79"/>
    </row>
    <row r="1226" spans="1:5" ht="14.85" customHeight="1" outlineLevel="1" x14ac:dyDescent="0.25">
      <c r="A1226" s="101" t="s">
        <v>1502</v>
      </c>
      <c r="B1226" s="193" t="str">
        <f>"29.0409"</f>
        <v>29.0409</v>
      </c>
      <c r="C1226" s="58" t="s">
        <v>3636</v>
      </c>
      <c r="D1226" s="79" t="s">
        <v>3637</v>
      </c>
      <c r="E1226" s="79"/>
    </row>
    <row r="1227" spans="1:5" ht="14.85" customHeight="1" outlineLevel="1" x14ac:dyDescent="0.25">
      <c r="A1227" s="101" t="s">
        <v>1502</v>
      </c>
      <c r="B1227" s="193" t="str">
        <f>"29.0499"</f>
        <v>29.0499</v>
      </c>
      <c r="C1227" s="58" t="s">
        <v>3638</v>
      </c>
      <c r="D1227" s="79" t="s">
        <v>3639</v>
      </c>
      <c r="E1227" s="79"/>
    </row>
    <row r="1228" spans="1:5" ht="14.85" customHeight="1" outlineLevel="1" x14ac:dyDescent="0.25">
      <c r="A1228" s="101" t="s">
        <v>1502</v>
      </c>
      <c r="B1228" s="193" t="str">
        <f>"29.05"</f>
        <v>29.05</v>
      </c>
      <c r="C1228" s="58" t="s">
        <v>1559</v>
      </c>
      <c r="D1228" s="79" t="s">
        <v>3640</v>
      </c>
      <c r="E1228" s="79"/>
    </row>
    <row r="1229" spans="1:5" ht="14.85" customHeight="1" outlineLevel="1" x14ac:dyDescent="0.25">
      <c r="A1229" s="101" t="s">
        <v>1502</v>
      </c>
      <c r="B1229" s="193" t="str">
        <f>"29.0501"</f>
        <v>29.0501</v>
      </c>
      <c r="C1229" s="58" t="s">
        <v>1559</v>
      </c>
      <c r="D1229" s="79" t="s">
        <v>1560</v>
      </c>
      <c r="E1229" s="79"/>
    </row>
    <row r="1230" spans="1:5" ht="14.85" customHeight="1" outlineLevel="1" x14ac:dyDescent="0.25">
      <c r="A1230" s="101" t="s">
        <v>1502</v>
      </c>
      <c r="B1230" s="193" t="str">
        <f>"29.06"</f>
        <v>29.06</v>
      </c>
      <c r="C1230" s="58" t="s">
        <v>3641</v>
      </c>
      <c r="D1230" s="79" t="s">
        <v>3642</v>
      </c>
      <c r="E1230" s="79"/>
    </row>
    <row r="1231" spans="1:5" ht="14.85" customHeight="1" outlineLevel="1" x14ac:dyDescent="0.25">
      <c r="A1231" s="101" t="s">
        <v>1502</v>
      </c>
      <c r="B1231" s="193" t="str">
        <f>"29.0601"</f>
        <v>29.0601</v>
      </c>
      <c r="C1231" s="58" t="s">
        <v>3641</v>
      </c>
      <c r="D1231" s="79" t="s">
        <v>3643</v>
      </c>
      <c r="E1231" s="79"/>
    </row>
    <row r="1232" spans="1:5" ht="14.85" customHeight="1" outlineLevel="1" x14ac:dyDescent="0.25">
      <c r="A1232" s="101" t="s">
        <v>1502</v>
      </c>
      <c r="B1232" s="193" t="str">
        <f>"29.99"</f>
        <v>29.99</v>
      </c>
      <c r="C1232" s="58" t="s">
        <v>3644</v>
      </c>
      <c r="D1232" s="79" t="s">
        <v>3645</v>
      </c>
      <c r="E1232" s="79"/>
    </row>
    <row r="1233" spans="1:5" ht="14.85" customHeight="1" outlineLevel="1" x14ac:dyDescent="0.25">
      <c r="A1233" s="101" t="s">
        <v>1502</v>
      </c>
      <c r="B1233" s="193" t="str">
        <f>"29.9999"</f>
        <v>29.9999</v>
      </c>
      <c r="C1233" s="58" t="s">
        <v>3644</v>
      </c>
      <c r="D1233" s="79" t="s">
        <v>3646</v>
      </c>
      <c r="E1233" s="79"/>
    </row>
    <row r="1234" spans="1:5" ht="14.85" customHeight="1" outlineLevel="1" x14ac:dyDescent="0.25">
      <c r="A1234" s="101" t="s">
        <v>1502</v>
      </c>
      <c r="B1234" s="193" t="str">
        <f>"30"</f>
        <v>30</v>
      </c>
      <c r="C1234" s="58" t="s">
        <v>3647</v>
      </c>
      <c r="D1234" s="79" t="s">
        <v>3648</v>
      </c>
      <c r="E1234" s="79"/>
    </row>
    <row r="1235" spans="1:5" ht="14.85" customHeight="1" outlineLevel="1" x14ac:dyDescent="0.25">
      <c r="A1235" s="101" t="s">
        <v>1502</v>
      </c>
      <c r="B1235" s="193" t="str">
        <f>"30.00"</f>
        <v>30.00</v>
      </c>
      <c r="C1235" s="58" t="s">
        <v>3649</v>
      </c>
      <c r="D1235" s="79" t="s">
        <v>3650</v>
      </c>
      <c r="E1235" s="79"/>
    </row>
    <row r="1236" spans="1:5" ht="14.85" customHeight="1" outlineLevel="1" x14ac:dyDescent="0.25">
      <c r="A1236" s="101" t="s">
        <v>1502</v>
      </c>
      <c r="B1236" s="193" t="str">
        <f>"30.0000"</f>
        <v>30.0000</v>
      </c>
      <c r="C1236" s="58" t="s">
        <v>3649</v>
      </c>
      <c r="D1236" s="79" t="s">
        <v>3651</v>
      </c>
      <c r="E1236" s="79"/>
    </row>
    <row r="1237" spans="1:5" ht="14.85" customHeight="1" outlineLevel="1" x14ac:dyDescent="0.25">
      <c r="A1237" s="101" t="s">
        <v>1502</v>
      </c>
      <c r="B1237" s="193" t="str">
        <f>"30.0001"</f>
        <v>30.0001</v>
      </c>
      <c r="C1237" s="58" t="s">
        <v>3652</v>
      </c>
      <c r="D1237" s="79" t="s">
        <v>3653</v>
      </c>
      <c r="E1237" s="79"/>
    </row>
    <row r="1238" spans="1:5" ht="14.85" customHeight="1" outlineLevel="1" x14ac:dyDescent="0.25">
      <c r="A1238" s="101" t="s">
        <v>1502</v>
      </c>
      <c r="B1238" s="193" t="str">
        <f>"30.01"</f>
        <v>30.01</v>
      </c>
      <c r="C1238" s="58" t="s">
        <v>3654</v>
      </c>
      <c r="D1238" s="79" t="s">
        <v>3655</v>
      </c>
      <c r="E1238" s="79"/>
    </row>
    <row r="1239" spans="1:5" ht="14.85" customHeight="1" outlineLevel="1" x14ac:dyDescent="0.25">
      <c r="A1239" s="101" t="s">
        <v>1502</v>
      </c>
      <c r="B1239" s="193" t="str">
        <f>"30.0101"</f>
        <v>30.0101</v>
      </c>
      <c r="C1239" s="58" t="s">
        <v>3654</v>
      </c>
      <c r="D1239" s="79" t="s">
        <v>3656</v>
      </c>
      <c r="E1239" s="79"/>
    </row>
    <row r="1240" spans="1:5" ht="14.85" customHeight="1" outlineLevel="1" x14ac:dyDescent="0.25">
      <c r="A1240" s="101" t="s">
        <v>1502</v>
      </c>
      <c r="B1240" s="193" t="str">
        <f>"30.05"</f>
        <v>30.05</v>
      </c>
      <c r="C1240" s="58" t="s">
        <v>3657</v>
      </c>
      <c r="D1240" s="79" t="s">
        <v>3658</v>
      </c>
      <c r="E1240" s="79"/>
    </row>
    <row r="1241" spans="1:5" ht="14.85" customHeight="1" outlineLevel="1" x14ac:dyDescent="0.25">
      <c r="A1241" s="101" t="s">
        <v>1502</v>
      </c>
      <c r="B1241" s="193" t="str">
        <f>"30.0501"</f>
        <v>30.0501</v>
      </c>
      <c r="C1241" s="58" t="s">
        <v>3657</v>
      </c>
      <c r="D1241" s="79" t="s">
        <v>3659</v>
      </c>
      <c r="E1241" s="79"/>
    </row>
    <row r="1242" spans="1:5" ht="14.85" customHeight="1" outlineLevel="1" x14ac:dyDescent="0.25">
      <c r="A1242" s="101" t="s">
        <v>1502</v>
      </c>
      <c r="B1242" s="193" t="str">
        <f>"30.06"</f>
        <v>30.06</v>
      </c>
      <c r="C1242" s="58" t="s">
        <v>3660</v>
      </c>
      <c r="D1242" s="79" t="s">
        <v>3661</v>
      </c>
      <c r="E1242" s="79"/>
    </row>
    <row r="1243" spans="1:5" ht="14.85" customHeight="1" outlineLevel="1" x14ac:dyDescent="0.25">
      <c r="A1243" s="101" t="s">
        <v>1502</v>
      </c>
      <c r="B1243" s="193" t="str">
        <f>"30.0601"</f>
        <v>30.0601</v>
      </c>
      <c r="C1243" s="58" t="s">
        <v>3660</v>
      </c>
      <c r="D1243" s="79" t="s">
        <v>3662</v>
      </c>
      <c r="E1243" s="79"/>
    </row>
    <row r="1244" spans="1:5" ht="14.85" customHeight="1" outlineLevel="1" x14ac:dyDescent="0.25">
      <c r="A1244" s="101" t="s">
        <v>1502</v>
      </c>
      <c r="B1244" s="193" t="str">
        <f>"30.08"</f>
        <v>30.08</v>
      </c>
      <c r="C1244" s="58" t="s">
        <v>3663</v>
      </c>
      <c r="D1244" s="79" t="s">
        <v>3664</v>
      </c>
      <c r="E1244" s="79"/>
    </row>
    <row r="1245" spans="1:5" ht="14.85" customHeight="1" outlineLevel="1" x14ac:dyDescent="0.25">
      <c r="A1245" s="101" t="s">
        <v>1502</v>
      </c>
      <c r="B1245" s="193" t="str">
        <f>"30.0801"</f>
        <v>30.0801</v>
      </c>
      <c r="C1245" s="58" t="s">
        <v>3663</v>
      </c>
      <c r="D1245" s="79" t="s">
        <v>3665</v>
      </c>
      <c r="E1245" s="79"/>
    </row>
    <row r="1246" spans="1:5" ht="14.85" customHeight="1" outlineLevel="1" x14ac:dyDescent="0.25">
      <c r="A1246" s="101" t="s">
        <v>1502</v>
      </c>
      <c r="B1246" s="193" t="str">
        <f>"30.10"</f>
        <v>30.10</v>
      </c>
      <c r="C1246" s="58" t="s">
        <v>3666</v>
      </c>
      <c r="D1246" s="79" t="s">
        <v>3667</v>
      </c>
      <c r="E1246" s="79"/>
    </row>
    <row r="1247" spans="1:5" ht="14.85" customHeight="1" outlineLevel="1" x14ac:dyDescent="0.25">
      <c r="A1247" s="101" t="s">
        <v>1502</v>
      </c>
      <c r="B1247" s="193" t="str">
        <f>"30.1001"</f>
        <v>30.1001</v>
      </c>
      <c r="C1247" s="58" t="s">
        <v>3666</v>
      </c>
      <c r="D1247" s="79" t="s">
        <v>3668</v>
      </c>
      <c r="E1247" s="79"/>
    </row>
    <row r="1248" spans="1:5" ht="14.85" customHeight="1" outlineLevel="1" x14ac:dyDescent="0.25">
      <c r="A1248" s="101" t="s">
        <v>1502</v>
      </c>
      <c r="B1248" s="193" t="str">
        <f>"30.11"</f>
        <v>30.11</v>
      </c>
      <c r="C1248" s="58" t="s">
        <v>3669</v>
      </c>
      <c r="D1248" s="79" t="s">
        <v>3670</v>
      </c>
      <c r="E1248" s="79"/>
    </row>
    <row r="1249" spans="1:5" ht="14.85" customHeight="1" outlineLevel="1" x14ac:dyDescent="0.25">
      <c r="A1249" s="101" t="s">
        <v>1502</v>
      </c>
      <c r="B1249" s="193" t="str">
        <f>"30.1101"</f>
        <v>30.1101</v>
      </c>
      <c r="C1249" s="58" t="s">
        <v>3669</v>
      </c>
      <c r="D1249" s="79" t="s">
        <v>3671</v>
      </c>
      <c r="E1249" s="79"/>
    </row>
    <row r="1250" spans="1:5" ht="14.85" customHeight="1" outlineLevel="1" x14ac:dyDescent="0.25">
      <c r="A1250" s="101" t="s">
        <v>1502</v>
      </c>
      <c r="B1250" s="193" t="str">
        <f>"30.12"</f>
        <v>30.12</v>
      </c>
      <c r="C1250" s="58" t="s">
        <v>3672</v>
      </c>
      <c r="D1250" s="79" t="s">
        <v>3673</v>
      </c>
      <c r="E1250" s="79"/>
    </row>
    <row r="1251" spans="1:5" ht="14.85" customHeight="1" outlineLevel="1" x14ac:dyDescent="0.25">
      <c r="A1251" s="101" t="s">
        <v>1502</v>
      </c>
      <c r="B1251" s="193" t="str">
        <f>"30.1201"</f>
        <v>30.1201</v>
      </c>
      <c r="C1251" s="58" t="s">
        <v>3674</v>
      </c>
      <c r="D1251" s="79" t="s">
        <v>3675</v>
      </c>
      <c r="E1251" s="79"/>
    </row>
    <row r="1252" spans="1:5" ht="14.85" customHeight="1" outlineLevel="1" x14ac:dyDescent="0.25">
      <c r="A1252" s="101" t="s">
        <v>1502</v>
      </c>
      <c r="B1252" s="193" t="str">
        <f>"30.1202"</f>
        <v>30.1202</v>
      </c>
      <c r="C1252" s="58" t="s">
        <v>3676</v>
      </c>
      <c r="D1252" s="79" t="s">
        <v>3677</v>
      </c>
      <c r="E1252" s="79"/>
    </row>
    <row r="1253" spans="1:5" ht="14.85" customHeight="1" outlineLevel="1" x14ac:dyDescent="0.25">
      <c r="A1253" s="101" t="s">
        <v>1502</v>
      </c>
      <c r="B1253" s="193" t="str">
        <f>"30.1299"</f>
        <v>30.1299</v>
      </c>
      <c r="C1253" s="58" t="s">
        <v>3678</v>
      </c>
      <c r="D1253" s="79" t="s">
        <v>3679</v>
      </c>
      <c r="E1253" s="79"/>
    </row>
    <row r="1254" spans="1:5" ht="14.85" customHeight="1" outlineLevel="1" x14ac:dyDescent="0.25">
      <c r="A1254" s="101" t="s">
        <v>1502</v>
      </c>
      <c r="B1254" s="193" t="str">
        <f>"30.13"</f>
        <v>30.13</v>
      </c>
      <c r="C1254" s="58" t="s">
        <v>3680</v>
      </c>
      <c r="D1254" s="79" t="s">
        <v>3681</v>
      </c>
      <c r="E1254" s="79"/>
    </row>
    <row r="1255" spans="1:5" ht="14.85" customHeight="1" outlineLevel="1" x14ac:dyDescent="0.25">
      <c r="A1255" s="101" t="s">
        <v>1502</v>
      </c>
      <c r="B1255" s="193" t="str">
        <f>"30.1301"</f>
        <v>30.1301</v>
      </c>
      <c r="C1255" s="58" t="s">
        <v>3680</v>
      </c>
      <c r="D1255" s="79" t="s">
        <v>3682</v>
      </c>
      <c r="E1255" s="79"/>
    </row>
    <row r="1256" spans="1:5" ht="14.85" customHeight="1" outlineLevel="1" x14ac:dyDescent="0.25">
      <c r="A1256" s="101" t="s">
        <v>1502</v>
      </c>
      <c r="B1256" s="193" t="str">
        <f>"30.14"</f>
        <v>30.14</v>
      </c>
      <c r="C1256" s="58" t="s">
        <v>3683</v>
      </c>
      <c r="D1256" s="79" t="s">
        <v>3684</v>
      </c>
      <c r="E1256" s="79"/>
    </row>
    <row r="1257" spans="1:5" ht="14.85" customHeight="1" outlineLevel="1" x14ac:dyDescent="0.25">
      <c r="A1257" s="101" t="s">
        <v>1502</v>
      </c>
      <c r="B1257" s="193" t="str">
        <f>"30.1401"</f>
        <v>30.1401</v>
      </c>
      <c r="C1257" s="58" t="s">
        <v>3683</v>
      </c>
      <c r="D1257" s="79" t="s">
        <v>3685</v>
      </c>
      <c r="E1257" s="79"/>
    </row>
    <row r="1258" spans="1:5" ht="14.85" customHeight="1" outlineLevel="1" x14ac:dyDescent="0.25">
      <c r="A1258" s="101" t="s">
        <v>1502</v>
      </c>
      <c r="B1258" s="193" t="str">
        <f>"30.15"</f>
        <v>30.15</v>
      </c>
      <c r="C1258" s="58" t="s">
        <v>3686</v>
      </c>
      <c r="D1258" s="79" t="s">
        <v>3687</v>
      </c>
      <c r="E1258" s="79"/>
    </row>
    <row r="1259" spans="1:5" ht="14.85" customHeight="1" outlineLevel="1" x14ac:dyDescent="0.25">
      <c r="A1259" s="101" t="s">
        <v>1502</v>
      </c>
      <c r="B1259" s="193" t="str">
        <f>"30.1501"</f>
        <v>30.1501</v>
      </c>
      <c r="C1259" s="58" t="s">
        <v>3686</v>
      </c>
      <c r="D1259" s="79" t="s">
        <v>3688</v>
      </c>
      <c r="E1259" s="79"/>
    </row>
    <row r="1260" spans="1:5" ht="14.85" customHeight="1" outlineLevel="1" x14ac:dyDescent="0.25">
      <c r="A1260" s="101" t="s">
        <v>1502</v>
      </c>
      <c r="B1260" s="193" t="str">
        <f>"30.16"</f>
        <v>30.16</v>
      </c>
      <c r="C1260" s="58" t="s">
        <v>3689</v>
      </c>
      <c r="D1260" s="79" t="s">
        <v>3690</v>
      </c>
      <c r="E1260" s="79"/>
    </row>
    <row r="1261" spans="1:5" ht="14.85" customHeight="1" outlineLevel="1" x14ac:dyDescent="0.25">
      <c r="A1261" s="101" t="s">
        <v>1502</v>
      </c>
      <c r="B1261" s="193" t="str">
        <f>"30.1601"</f>
        <v>30.1601</v>
      </c>
      <c r="C1261" s="58" t="s">
        <v>3689</v>
      </c>
      <c r="D1261" s="79" t="s">
        <v>3691</v>
      </c>
      <c r="E1261" s="79"/>
    </row>
    <row r="1262" spans="1:5" ht="14.85" customHeight="1" outlineLevel="1" x14ac:dyDescent="0.25">
      <c r="A1262" s="101" t="s">
        <v>1502</v>
      </c>
      <c r="B1262" s="193" t="str">
        <f>"30.17"</f>
        <v>30.17</v>
      </c>
      <c r="C1262" s="58" t="s">
        <v>3692</v>
      </c>
      <c r="D1262" s="79" t="s">
        <v>3693</v>
      </c>
      <c r="E1262" s="79"/>
    </row>
    <row r="1263" spans="1:5" ht="14.85" customHeight="1" outlineLevel="1" x14ac:dyDescent="0.25">
      <c r="A1263" s="101" t="s">
        <v>1502</v>
      </c>
      <c r="B1263" s="193" t="str">
        <f>"30.1701"</f>
        <v>30.1701</v>
      </c>
      <c r="C1263" s="58" t="s">
        <v>3692</v>
      </c>
      <c r="D1263" s="79" t="s">
        <v>3694</v>
      </c>
      <c r="E1263" s="79"/>
    </row>
    <row r="1264" spans="1:5" ht="14.85" customHeight="1" outlineLevel="1" x14ac:dyDescent="0.25">
      <c r="A1264" s="101" t="s">
        <v>1502</v>
      </c>
      <c r="B1264" s="193" t="str">
        <f>"30.18"</f>
        <v>30.18</v>
      </c>
      <c r="C1264" s="58" t="s">
        <v>3695</v>
      </c>
      <c r="D1264" s="79" t="s">
        <v>3696</v>
      </c>
      <c r="E1264" s="79"/>
    </row>
    <row r="1265" spans="1:5" ht="14.85" customHeight="1" outlineLevel="1" x14ac:dyDescent="0.25">
      <c r="A1265" s="101" t="s">
        <v>1502</v>
      </c>
      <c r="B1265" s="193" t="str">
        <f>"30.1801"</f>
        <v>30.1801</v>
      </c>
      <c r="C1265" s="58" t="s">
        <v>3695</v>
      </c>
      <c r="D1265" s="79" t="s">
        <v>3697</v>
      </c>
      <c r="E1265" s="79"/>
    </row>
    <row r="1266" spans="1:5" ht="14.85" customHeight="1" outlineLevel="1" x14ac:dyDescent="0.25">
      <c r="A1266" s="101" t="s">
        <v>1502</v>
      </c>
      <c r="B1266" s="193" t="str">
        <f>"30.19"</f>
        <v>30.19</v>
      </c>
      <c r="C1266" s="58" t="s">
        <v>3698</v>
      </c>
      <c r="D1266" s="79" t="s">
        <v>3699</v>
      </c>
      <c r="E1266" s="79"/>
    </row>
    <row r="1267" spans="1:5" ht="14.85" customHeight="1" outlineLevel="1" x14ac:dyDescent="0.25">
      <c r="A1267" s="101" t="s">
        <v>1502</v>
      </c>
      <c r="B1267" s="193" t="str">
        <f>"30.1901"</f>
        <v>30.1901</v>
      </c>
      <c r="C1267" s="58" t="s">
        <v>3698</v>
      </c>
      <c r="D1267" s="79" t="s">
        <v>3700</v>
      </c>
      <c r="E1267" s="79"/>
    </row>
    <row r="1268" spans="1:5" ht="14.85" customHeight="1" outlineLevel="1" x14ac:dyDescent="0.25">
      <c r="A1268" s="101" t="s">
        <v>1502</v>
      </c>
      <c r="B1268" s="193" t="str">
        <f>"30.20"</f>
        <v>30.20</v>
      </c>
      <c r="C1268" s="58" t="s">
        <v>3701</v>
      </c>
      <c r="D1268" s="79" t="s">
        <v>3702</v>
      </c>
      <c r="E1268" s="79"/>
    </row>
    <row r="1269" spans="1:5" ht="14.85" customHeight="1" outlineLevel="1" x14ac:dyDescent="0.25">
      <c r="A1269" s="101" t="s">
        <v>1502</v>
      </c>
      <c r="B1269" s="193" t="str">
        <f>"30.2001"</f>
        <v>30.2001</v>
      </c>
      <c r="C1269" s="58" t="s">
        <v>3701</v>
      </c>
      <c r="D1269" s="79" t="s">
        <v>3703</v>
      </c>
      <c r="E1269" s="79"/>
    </row>
    <row r="1270" spans="1:5" ht="14.85" customHeight="1" outlineLevel="1" x14ac:dyDescent="0.25">
      <c r="A1270" s="101" t="s">
        <v>1502</v>
      </c>
      <c r="B1270" s="193" t="str">
        <f>"30.21"</f>
        <v>30.21</v>
      </c>
      <c r="C1270" s="58" t="s">
        <v>3704</v>
      </c>
      <c r="D1270" s="79" t="s">
        <v>3705</v>
      </c>
      <c r="E1270" s="79"/>
    </row>
    <row r="1271" spans="1:5" ht="14.85" customHeight="1" outlineLevel="1" x14ac:dyDescent="0.25">
      <c r="A1271" s="101" t="s">
        <v>1502</v>
      </c>
      <c r="B1271" s="193" t="str">
        <f>"30.2101"</f>
        <v>30.2101</v>
      </c>
      <c r="C1271" s="58" t="s">
        <v>3704</v>
      </c>
      <c r="D1271" s="79" t="s">
        <v>3706</v>
      </c>
      <c r="E1271" s="79"/>
    </row>
    <row r="1272" spans="1:5" ht="14.85" customHeight="1" outlineLevel="1" x14ac:dyDescent="0.25">
      <c r="A1272" s="101" t="s">
        <v>1502</v>
      </c>
      <c r="B1272" s="193" t="str">
        <f>"30.22"</f>
        <v>30.22</v>
      </c>
      <c r="C1272" s="58" t="s">
        <v>3707</v>
      </c>
      <c r="D1272" s="79" t="s">
        <v>3708</v>
      </c>
      <c r="E1272" s="79"/>
    </row>
    <row r="1273" spans="1:5" ht="14.85" customHeight="1" outlineLevel="1" x14ac:dyDescent="0.25">
      <c r="A1273" s="101" t="s">
        <v>1502</v>
      </c>
      <c r="B1273" s="193" t="str">
        <f>"30.2201"</f>
        <v>30.2201</v>
      </c>
      <c r="C1273" s="58" t="s">
        <v>3709</v>
      </c>
      <c r="D1273" s="79" t="s">
        <v>3710</v>
      </c>
      <c r="E1273" s="79"/>
    </row>
    <row r="1274" spans="1:5" ht="14.85" customHeight="1" outlineLevel="1" x14ac:dyDescent="0.25">
      <c r="A1274" s="101" t="s">
        <v>1502</v>
      </c>
      <c r="B1274" s="193" t="str">
        <f>"30.2202"</f>
        <v>30.2202</v>
      </c>
      <c r="C1274" s="58" t="s">
        <v>3711</v>
      </c>
      <c r="D1274" s="79" t="s">
        <v>3712</v>
      </c>
      <c r="E1274" s="79"/>
    </row>
    <row r="1275" spans="1:5" ht="14.85" customHeight="1" outlineLevel="1" x14ac:dyDescent="0.25">
      <c r="A1275" s="101" t="s">
        <v>1502</v>
      </c>
      <c r="B1275" s="193" t="str">
        <f>"30.2299"</f>
        <v>30.2299</v>
      </c>
      <c r="C1275" s="58" t="s">
        <v>3713</v>
      </c>
      <c r="D1275" s="79" t="s">
        <v>3714</v>
      </c>
      <c r="E1275" s="79"/>
    </row>
    <row r="1276" spans="1:5" ht="14.85" customHeight="1" outlineLevel="1" x14ac:dyDescent="0.25">
      <c r="A1276" s="101" t="s">
        <v>1502</v>
      </c>
      <c r="B1276" s="193" t="str">
        <f>"30.23"</f>
        <v>30.23</v>
      </c>
      <c r="C1276" s="58" t="s">
        <v>3715</v>
      </c>
      <c r="D1276" s="79" t="s">
        <v>3716</v>
      </c>
      <c r="E1276" s="79"/>
    </row>
    <row r="1277" spans="1:5" ht="14.85" customHeight="1" outlineLevel="1" x14ac:dyDescent="0.25">
      <c r="A1277" s="101" t="s">
        <v>1502</v>
      </c>
      <c r="B1277" s="193" t="str">
        <f>"30.2301"</f>
        <v>30.2301</v>
      </c>
      <c r="C1277" s="58" t="s">
        <v>3715</v>
      </c>
      <c r="D1277" s="79" t="s">
        <v>3717</v>
      </c>
      <c r="E1277" s="79"/>
    </row>
    <row r="1278" spans="1:5" ht="14.85" customHeight="1" outlineLevel="1" x14ac:dyDescent="0.25">
      <c r="A1278" s="101" t="s">
        <v>1502</v>
      </c>
      <c r="B1278" s="193" t="str">
        <f>"30.25"</f>
        <v>30.25</v>
      </c>
      <c r="C1278" s="58" t="s">
        <v>3718</v>
      </c>
      <c r="D1278" s="79" t="s">
        <v>3719</v>
      </c>
      <c r="E1278" s="79"/>
    </row>
    <row r="1279" spans="1:5" ht="14.85" customHeight="1" outlineLevel="1" x14ac:dyDescent="0.25">
      <c r="A1279" s="101" t="s">
        <v>1502</v>
      </c>
      <c r="B1279" s="193" t="str">
        <f>"30.2501"</f>
        <v>30.2501</v>
      </c>
      <c r="C1279" s="58" t="s">
        <v>3720</v>
      </c>
      <c r="D1279" s="79" t="s">
        <v>3721</v>
      </c>
      <c r="E1279" s="79"/>
    </row>
    <row r="1280" spans="1:5" ht="14.85" customHeight="1" outlineLevel="1" x14ac:dyDescent="0.25">
      <c r="A1280" s="101" t="s">
        <v>1502</v>
      </c>
      <c r="B1280" s="193" t="str">
        <f>"30.2502"</f>
        <v>30.2502</v>
      </c>
      <c r="C1280" s="58" t="s">
        <v>3722</v>
      </c>
      <c r="D1280" s="79" t="s">
        <v>3723</v>
      </c>
      <c r="E1280" s="79"/>
    </row>
    <row r="1281" spans="1:5" ht="14.85" customHeight="1" outlineLevel="1" x14ac:dyDescent="0.25">
      <c r="A1281" s="101" t="s">
        <v>1502</v>
      </c>
      <c r="B1281" s="193" t="str">
        <f>"30.2599"</f>
        <v>30.2599</v>
      </c>
      <c r="C1281" s="58" t="s">
        <v>3724</v>
      </c>
      <c r="D1281" s="79" t="s">
        <v>3725</v>
      </c>
      <c r="E1281" s="79"/>
    </row>
    <row r="1282" spans="1:5" ht="14.85" customHeight="1" outlineLevel="1" x14ac:dyDescent="0.25">
      <c r="A1282" s="101" t="s">
        <v>1502</v>
      </c>
      <c r="B1282" s="193" t="str">
        <f>"30.26"</f>
        <v>30.26</v>
      </c>
      <c r="C1282" s="58" t="s">
        <v>3726</v>
      </c>
      <c r="D1282" s="79" t="s">
        <v>3727</v>
      </c>
      <c r="E1282" s="79"/>
    </row>
    <row r="1283" spans="1:5" ht="14.85" customHeight="1" outlineLevel="1" x14ac:dyDescent="0.25">
      <c r="A1283" s="101" t="s">
        <v>1502</v>
      </c>
      <c r="B1283" s="193" t="str">
        <f>"30.2601"</f>
        <v>30.2601</v>
      </c>
      <c r="C1283" s="58" t="s">
        <v>3726</v>
      </c>
      <c r="D1283" s="79" t="s">
        <v>3728</v>
      </c>
      <c r="E1283" s="79"/>
    </row>
    <row r="1284" spans="1:5" ht="14.85" customHeight="1" outlineLevel="1" x14ac:dyDescent="0.25">
      <c r="A1284" s="101" t="s">
        <v>1502</v>
      </c>
      <c r="B1284" s="193" t="str">
        <f>"30.27"</f>
        <v>30.27</v>
      </c>
      <c r="C1284" s="58" t="s">
        <v>3729</v>
      </c>
      <c r="D1284" s="79" t="s">
        <v>3730</v>
      </c>
      <c r="E1284" s="79"/>
    </row>
    <row r="1285" spans="1:5" ht="14.85" customHeight="1" outlineLevel="1" x14ac:dyDescent="0.25">
      <c r="A1285" s="101" t="s">
        <v>1502</v>
      </c>
      <c r="B1285" s="193" t="str">
        <f>"30.2701"</f>
        <v>30.2701</v>
      </c>
      <c r="C1285" s="58" t="s">
        <v>3729</v>
      </c>
      <c r="D1285" s="79" t="s">
        <v>3731</v>
      </c>
      <c r="E1285" s="79"/>
    </row>
    <row r="1286" spans="1:5" ht="14.85" customHeight="1" outlineLevel="1" x14ac:dyDescent="0.25">
      <c r="A1286" s="101" t="s">
        <v>1502</v>
      </c>
      <c r="B1286" s="193" t="str">
        <f>"30.28"</f>
        <v>30.28</v>
      </c>
      <c r="C1286" s="58" t="s">
        <v>3732</v>
      </c>
      <c r="D1286" s="79" t="s">
        <v>3733</v>
      </c>
      <c r="E1286" s="79"/>
    </row>
    <row r="1287" spans="1:5" ht="14.85" customHeight="1" outlineLevel="1" x14ac:dyDescent="0.25">
      <c r="A1287" s="101" t="s">
        <v>1502</v>
      </c>
      <c r="B1287" s="193" t="str">
        <f>"30.2801"</f>
        <v>30.2801</v>
      </c>
      <c r="C1287" s="58" t="s">
        <v>3732</v>
      </c>
      <c r="D1287" s="79" t="s">
        <v>3734</v>
      </c>
      <c r="E1287" s="79"/>
    </row>
    <row r="1288" spans="1:5" ht="14.85" customHeight="1" outlineLevel="1" x14ac:dyDescent="0.25">
      <c r="A1288" s="101" t="s">
        <v>1502</v>
      </c>
      <c r="B1288" s="193" t="str">
        <f>"30.29"</f>
        <v>30.29</v>
      </c>
      <c r="C1288" s="58" t="s">
        <v>3735</v>
      </c>
      <c r="D1288" s="79" t="s">
        <v>3736</v>
      </c>
      <c r="E1288" s="79"/>
    </row>
    <row r="1289" spans="1:5" ht="14.85" customHeight="1" outlineLevel="1" x14ac:dyDescent="0.25">
      <c r="A1289" s="101" t="s">
        <v>1502</v>
      </c>
      <c r="B1289" s="193" t="str">
        <f>"30.2901"</f>
        <v>30.2901</v>
      </c>
      <c r="C1289" s="58" t="s">
        <v>3735</v>
      </c>
      <c r="D1289" s="79" t="s">
        <v>3737</v>
      </c>
      <c r="E1289" s="79"/>
    </row>
    <row r="1290" spans="1:5" ht="14.85" customHeight="1" outlineLevel="1" x14ac:dyDescent="0.25">
      <c r="A1290" s="101" t="s">
        <v>1502</v>
      </c>
      <c r="B1290" s="193" t="str">
        <f>"30.30"</f>
        <v>30.30</v>
      </c>
      <c r="C1290" s="58" t="s">
        <v>3738</v>
      </c>
      <c r="D1290" s="79" t="s">
        <v>3739</v>
      </c>
      <c r="E1290" s="79"/>
    </row>
    <row r="1291" spans="1:5" ht="14.85" customHeight="1" outlineLevel="1" x14ac:dyDescent="0.25">
      <c r="A1291" s="101" t="s">
        <v>1502</v>
      </c>
      <c r="B1291" s="193" t="str">
        <f>"30.3001"</f>
        <v>30.3001</v>
      </c>
      <c r="C1291" s="58" t="s">
        <v>3738</v>
      </c>
      <c r="D1291" s="79" t="s">
        <v>3740</v>
      </c>
      <c r="E1291" s="79"/>
    </row>
    <row r="1292" spans="1:5" ht="14.85" customHeight="1" outlineLevel="1" x14ac:dyDescent="0.25">
      <c r="A1292" s="101" t="s">
        <v>1502</v>
      </c>
      <c r="B1292" s="193" t="str">
        <f>"30.31"</f>
        <v>30.31</v>
      </c>
      <c r="C1292" s="58" t="s">
        <v>3741</v>
      </c>
      <c r="D1292" s="79" t="s">
        <v>3742</v>
      </c>
      <c r="E1292" s="79"/>
    </row>
    <row r="1293" spans="1:5" ht="14.85" customHeight="1" outlineLevel="1" x14ac:dyDescent="0.25">
      <c r="A1293" s="101" t="s">
        <v>1502</v>
      </c>
      <c r="B1293" s="193" t="str">
        <f>"30.3101"</f>
        <v>30.3101</v>
      </c>
      <c r="C1293" s="58" t="s">
        <v>3741</v>
      </c>
      <c r="D1293" s="79" t="s">
        <v>3743</v>
      </c>
      <c r="E1293" s="79"/>
    </row>
    <row r="1294" spans="1:5" ht="14.85" customHeight="1" outlineLevel="1" x14ac:dyDescent="0.25">
      <c r="A1294" s="101" t="s">
        <v>1502</v>
      </c>
      <c r="B1294" s="193" t="str">
        <f>"30.32"</f>
        <v>30.32</v>
      </c>
      <c r="C1294" s="58" t="s">
        <v>3744</v>
      </c>
      <c r="D1294" s="79" t="s">
        <v>3745</v>
      </c>
      <c r="E1294" s="79"/>
    </row>
    <row r="1295" spans="1:5" ht="14.85" customHeight="1" outlineLevel="1" x14ac:dyDescent="0.25">
      <c r="A1295" s="101" t="s">
        <v>1502</v>
      </c>
      <c r="B1295" s="193" t="str">
        <f>"30.3201"</f>
        <v>30.3201</v>
      </c>
      <c r="C1295" s="58" t="s">
        <v>3744</v>
      </c>
      <c r="D1295" s="79" t="s">
        <v>3746</v>
      </c>
      <c r="E1295" s="79"/>
    </row>
    <row r="1296" spans="1:5" ht="14.85" customHeight="1" outlineLevel="1" x14ac:dyDescent="0.25">
      <c r="A1296" s="101" t="s">
        <v>1502</v>
      </c>
      <c r="B1296" s="193" t="str">
        <f>"30.33"</f>
        <v>30.33</v>
      </c>
      <c r="C1296" s="58" t="s">
        <v>3747</v>
      </c>
      <c r="D1296" s="79" t="s">
        <v>3748</v>
      </c>
      <c r="E1296" s="79"/>
    </row>
    <row r="1297" spans="1:5" ht="14.85" customHeight="1" outlineLevel="1" x14ac:dyDescent="0.25">
      <c r="A1297" s="101" t="s">
        <v>1502</v>
      </c>
      <c r="B1297" s="193" t="str">
        <f>"30.3301"</f>
        <v>30.3301</v>
      </c>
      <c r="C1297" s="58" t="s">
        <v>3747</v>
      </c>
      <c r="D1297" s="79" t="s">
        <v>3749</v>
      </c>
      <c r="E1297" s="79"/>
    </row>
    <row r="1298" spans="1:5" ht="14.85" customHeight="1" outlineLevel="1" x14ac:dyDescent="0.25">
      <c r="A1298" s="101" t="s">
        <v>1502</v>
      </c>
      <c r="B1298" s="193" t="str">
        <f>"30.34"</f>
        <v>30.34</v>
      </c>
      <c r="C1298" s="58" t="s">
        <v>3750</v>
      </c>
      <c r="D1298" s="79" t="s">
        <v>3751</v>
      </c>
      <c r="E1298" s="79"/>
    </row>
    <row r="1299" spans="1:5" ht="14.85" customHeight="1" outlineLevel="1" x14ac:dyDescent="0.25">
      <c r="A1299" s="101" t="s">
        <v>1502</v>
      </c>
      <c r="B1299" s="193" t="str">
        <f>"30.3401"</f>
        <v>30.3401</v>
      </c>
      <c r="C1299" s="58" t="s">
        <v>3750</v>
      </c>
      <c r="D1299" s="79" t="s">
        <v>3752</v>
      </c>
      <c r="E1299" s="79"/>
    </row>
    <row r="1300" spans="1:5" ht="14.85" customHeight="1" outlineLevel="1" x14ac:dyDescent="0.25">
      <c r="A1300" s="101" t="s">
        <v>1502</v>
      </c>
      <c r="B1300" s="193" t="str">
        <f>"30.35"</f>
        <v>30.35</v>
      </c>
      <c r="C1300" s="58" t="s">
        <v>3753</v>
      </c>
      <c r="D1300" s="79" t="s">
        <v>3754</v>
      </c>
      <c r="E1300" s="79"/>
    </row>
    <row r="1301" spans="1:5" ht="14.85" customHeight="1" outlineLevel="1" x14ac:dyDescent="0.25">
      <c r="A1301" s="101" t="s">
        <v>1502</v>
      </c>
      <c r="B1301" s="193" t="str">
        <f>"30.3501"</f>
        <v>30.3501</v>
      </c>
      <c r="C1301" s="58" t="s">
        <v>3753</v>
      </c>
      <c r="D1301" s="79" t="s">
        <v>3755</v>
      </c>
      <c r="E1301" s="79"/>
    </row>
    <row r="1302" spans="1:5" ht="14.85" customHeight="1" outlineLevel="1" x14ac:dyDescent="0.25">
      <c r="A1302" s="101" t="s">
        <v>1502</v>
      </c>
      <c r="B1302" s="193" t="str">
        <f>"30.36"</f>
        <v>30.36</v>
      </c>
      <c r="C1302" s="58" t="s">
        <v>3756</v>
      </c>
      <c r="D1302" s="79" t="s">
        <v>3757</v>
      </c>
      <c r="E1302" s="79"/>
    </row>
    <row r="1303" spans="1:5" ht="14.85" customHeight="1" outlineLevel="1" x14ac:dyDescent="0.25">
      <c r="A1303" s="101" t="s">
        <v>1502</v>
      </c>
      <c r="B1303" s="193" t="str">
        <f>"30.3601"</f>
        <v>30.3601</v>
      </c>
      <c r="C1303" s="58" t="s">
        <v>3756</v>
      </c>
      <c r="D1303" s="79" t="s">
        <v>3758</v>
      </c>
      <c r="E1303" s="79"/>
    </row>
    <row r="1304" spans="1:5" ht="14.85" customHeight="1" outlineLevel="1" x14ac:dyDescent="0.25">
      <c r="A1304" s="101" t="s">
        <v>1502</v>
      </c>
      <c r="B1304" s="193" t="str">
        <f>"30.37"</f>
        <v>30.37</v>
      </c>
      <c r="C1304" s="58" t="s">
        <v>3759</v>
      </c>
      <c r="D1304" s="79" t="s">
        <v>3760</v>
      </c>
      <c r="E1304" s="79"/>
    </row>
    <row r="1305" spans="1:5" ht="14.85" customHeight="1" outlineLevel="1" x14ac:dyDescent="0.25">
      <c r="A1305" s="101" t="s">
        <v>1502</v>
      </c>
      <c r="B1305" s="193" t="str">
        <f>"30.3701"</f>
        <v>30.3701</v>
      </c>
      <c r="C1305" s="58" t="s">
        <v>3759</v>
      </c>
      <c r="D1305" s="79" t="s">
        <v>3761</v>
      </c>
      <c r="E1305" s="79"/>
    </row>
    <row r="1306" spans="1:5" ht="14.85" customHeight="1" outlineLevel="1" x14ac:dyDescent="0.25">
      <c r="A1306" s="101" t="s">
        <v>1502</v>
      </c>
      <c r="B1306" s="193" t="str">
        <f>"30.38"</f>
        <v>30.38</v>
      </c>
      <c r="C1306" s="58" t="s">
        <v>3762</v>
      </c>
      <c r="D1306" s="79" t="s">
        <v>3763</v>
      </c>
      <c r="E1306" s="79"/>
    </row>
    <row r="1307" spans="1:5" ht="14.85" customHeight="1" outlineLevel="1" x14ac:dyDescent="0.25">
      <c r="A1307" s="101" t="s">
        <v>1502</v>
      </c>
      <c r="B1307" s="193" t="str">
        <f>"30.3801"</f>
        <v>30.3801</v>
      </c>
      <c r="C1307" s="58" t="s">
        <v>3762</v>
      </c>
      <c r="D1307" s="79" t="s">
        <v>3764</v>
      </c>
      <c r="E1307" s="79"/>
    </row>
    <row r="1308" spans="1:5" ht="14.85" customHeight="1" outlineLevel="1" x14ac:dyDescent="0.25">
      <c r="A1308" s="101" t="s">
        <v>1502</v>
      </c>
      <c r="B1308" s="193" t="str">
        <f>"30.39"</f>
        <v>30.39</v>
      </c>
      <c r="C1308" s="58" t="s">
        <v>3765</v>
      </c>
      <c r="D1308" s="79" t="s">
        <v>3766</v>
      </c>
      <c r="E1308" s="79"/>
    </row>
    <row r="1309" spans="1:5" ht="14.85" customHeight="1" outlineLevel="1" x14ac:dyDescent="0.25">
      <c r="A1309" s="101" t="s">
        <v>1502</v>
      </c>
      <c r="B1309" s="193" t="str">
        <f>"30.3901"</f>
        <v>30.3901</v>
      </c>
      <c r="C1309" s="58" t="s">
        <v>3765</v>
      </c>
      <c r="D1309" s="79" t="s">
        <v>3767</v>
      </c>
      <c r="E1309" s="79"/>
    </row>
    <row r="1310" spans="1:5" ht="14.85" customHeight="1" outlineLevel="1" x14ac:dyDescent="0.25">
      <c r="A1310" s="101" t="s">
        <v>1502</v>
      </c>
      <c r="B1310" s="193" t="str">
        <f>"30.40"</f>
        <v>30.40</v>
      </c>
      <c r="C1310" s="58" t="s">
        <v>3768</v>
      </c>
      <c r="D1310" s="79" t="s">
        <v>3769</v>
      </c>
      <c r="E1310" s="79"/>
    </row>
    <row r="1311" spans="1:5" ht="14.85" customHeight="1" outlineLevel="1" x14ac:dyDescent="0.25">
      <c r="A1311" s="101" t="s">
        <v>1502</v>
      </c>
      <c r="B1311" s="193" t="str">
        <f>"30.4001"</f>
        <v>30.4001</v>
      </c>
      <c r="C1311" s="58" t="s">
        <v>3768</v>
      </c>
      <c r="D1311" s="79" t="s">
        <v>3770</v>
      </c>
      <c r="E1311" s="79"/>
    </row>
    <row r="1312" spans="1:5" ht="14.85" customHeight="1" outlineLevel="1" x14ac:dyDescent="0.25">
      <c r="A1312" s="101" t="s">
        <v>1502</v>
      </c>
      <c r="B1312" s="193" t="str">
        <f>"30.41"</f>
        <v>30.41</v>
      </c>
      <c r="C1312" s="58" t="s">
        <v>3771</v>
      </c>
      <c r="D1312" s="79" t="s">
        <v>3772</v>
      </c>
      <c r="E1312" s="79"/>
    </row>
    <row r="1313" spans="1:5" ht="14.85" customHeight="1" outlineLevel="1" x14ac:dyDescent="0.25">
      <c r="A1313" s="101" t="s">
        <v>1502</v>
      </c>
      <c r="B1313" s="193" t="str">
        <f>"30.4101"</f>
        <v>30.4101</v>
      </c>
      <c r="C1313" s="58" t="s">
        <v>3771</v>
      </c>
      <c r="D1313" s="79" t="s">
        <v>3773</v>
      </c>
      <c r="E1313" s="79"/>
    </row>
    <row r="1314" spans="1:5" ht="14.85" customHeight="1" outlineLevel="1" x14ac:dyDescent="0.25">
      <c r="A1314" s="101" t="s">
        <v>1502</v>
      </c>
      <c r="B1314" s="193" t="str">
        <f>"30.42"</f>
        <v>30.42</v>
      </c>
      <c r="C1314" s="58" t="s">
        <v>3774</v>
      </c>
      <c r="D1314" s="79" t="s">
        <v>3775</v>
      </c>
      <c r="E1314" s="79"/>
    </row>
    <row r="1315" spans="1:5" ht="14.85" customHeight="1" outlineLevel="1" x14ac:dyDescent="0.25">
      <c r="A1315" s="101" t="s">
        <v>1502</v>
      </c>
      <c r="B1315" s="193" t="str">
        <f>"30.4201"</f>
        <v>30.4201</v>
      </c>
      <c r="C1315" s="58" t="s">
        <v>3774</v>
      </c>
      <c r="D1315" s="79" t="s">
        <v>3776</v>
      </c>
      <c r="E1315" s="79"/>
    </row>
    <row r="1316" spans="1:5" ht="14.85" customHeight="1" outlineLevel="1" x14ac:dyDescent="0.25">
      <c r="A1316" s="101" t="s">
        <v>1502</v>
      </c>
      <c r="B1316" s="193" t="str">
        <f>"30.43"</f>
        <v>30.43</v>
      </c>
      <c r="C1316" s="58" t="s">
        <v>3777</v>
      </c>
      <c r="D1316" s="79" t="s">
        <v>3778</v>
      </c>
      <c r="E1316" s="79"/>
    </row>
    <row r="1317" spans="1:5" ht="14.85" customHeight="1" outlineLevel="1" x14ac:dyDescent="0.25">
      <c r="A1317" s="101" t="s">
        <v>1502</v>
      </c>
      <c r="B1317" s="193" t="str">
        <f>"30.4301"</f>
        <v>30.4301</v>
      </c>
      <c r="C1317" s="58" t="s">
        <v>3777</v>
      </c>
      <c r="D1317" s="79" t="s">
        <v>3779</v>
      </c>
      <c r="E1317" s="79"/>
    </row>
    <row r="1318" spans="1:5" ht="14.85" customHeight="1" outlineLevel="1" x14ac:dyDescent="0.25">
      <c r="A1318" s="101" t="s">
        <v>1502</v>
      </c>
      <c r="B1318" s="193" t="str">
        <f>"30.44"</f>
        <v>30.44</v>
      </c>
      <c r="C1318" s="58" t="s">
        <v>3780</v>
      </c>
      <c r="D1318" s="79" t="s">
        <v>3781</v>
      </c>
      <c r="E1318" s="79"/>
    </row>
    <row r="1319" spans="1:5" ht="14.85" customHeight="1" outlineLevel="1" x14ac:dyDescent="0.25">
      <c r="A1319" s="101" t="s">
        <v>1502</v>
      </c>
      <c r="B1319" s="193" t="str">
        <f>"30.4401"</f>
        <v>30.4401</v>
      </c>
      <c r="C1319" s="58" t="s">
        <v>3780</v>
      </c>
      <c r="D1319" s="79" t="s">
        <v>3782</v>
      </c>
      <c r="E1319" s="79"/>
    </row>
    <row r="1320" spans="1:5" ht="14.85" customHeight="1" outlineLevel="1" x14ac:dyDescent="0.25">
      <c r="A1320" s="101" t="s">
        <v>1502</v>
      </c>
      <c r="B1320" s="193" t="str">
        <f>"30.45"</f>
        <v>30.45</v>
      </c>
      <c r="C1320" s="58" t="s">
        <v>3783</v>
      </c>
      <c r="D1320" s="79" t="s">
        <v>3784</v>
      </c>
      <c r="E1320" s="79"/>
    </row>
    <row r="1321" spans="1:5" ht="14.85" customHeight="1" outlineLevel="1" x14ac:dyDescent="0.25">
      <c r="A1321" s="101" t="s">
        <v>1502</v>
      </c>
      <c r="B1321" s="193" t="str">
        <f>"30.4501"</f>
        <v>30.4501</v>
      </c>
      <c r="C1321" s="58" t="s">
        <v>3783</v>
      </c>
      <c r="D1321" s="79" t="s">
        <v>3785</v>
      </c>
      <c r="E1321" s="79"/>
    </row>
    <row r="1322" spans="1:5" ht="14.85" customHeight="1" outlineLevel="1" x14ac:dyDescent="0.25">
      <c r="A1322" s="101" t="s">
        <v>1502</v>
      </c>
      <c r="B1322" s="193" t="str">
        <f>"30.46"</f>
        <v>30.46</v>
      </c>
      <c r="C1322" s="58" t="s">
        <v>3786</v>
      </c>
      <c r="D1322" s="79" t="s">
        <v>3787</v>
      </c>
      <c r="E1322" s="79"/>
    </row>
    <row r="1323" spans="1:5" ht="14.85" customHeight="1" outlineLevel="1" x14ac:dyDescent="0.25">
      <c r="A1323" s="101" t="s">
        <v>1502</v>
      </c>
      <c r="B1323" s="193" t="str">
        <f>"30.4601"</f>
        <v>30.4601</v>
      </c>
      <c r="C1323" s="58" t="s">
        <v>3786</v>
      </c>
      <c r="D1323" s="79" t="s">
        <v>3788</v>
      </c>
      <c r="E1323" s="79"/>
    </row>
    <row r="1324" spans="1:5" ht="14.85" customHeight="1" outlineLevel="1" x14ac:dyDescent="0.25">
      <c r="A1324" s="101" t="s">
        <v>1502</v>
      </c>
      <c r="B1324" s="193" t="str">
        <f>"30.47"</f>
        <v>30.47</v>
      </c>
      <c r="C1324" s="58" t="s">
        <v>3789</v>
      </c>
      <c r="D1324" s="79" t="s">
        <v>3790</v>
      </c>
      <c r="E1324" s="79"/>
    </row>
    <row r="1325" spans="1:5" ht="14.85" customHeight="1" outlineLevel="1" x14ac:dyDescent="0.25">
      <c r="A1325" s="101" t="s">
        <v>1502</v>
      </c>
      <c r="B1325" s="193" t="str">
        <f>"30.4701"</f>
        <v>30.4701</v>
      </c>
      <c r="C1325" s="58" t="s">
        <v>3789</v>
      </c>
      <c r="D1325" s="79" t="s">
        <v>3791</v>
      </c>
      <c r="E1325" s="79"/>
    </row>
    <row r="1326" spans="1:5" ht="14.85" customHeight="1" outlineLevel="1" x14ac:dyDescent="0.25">
      <c r="A1326" s="101" t="s">
        <v>1502</v>
      </c>
      <c r="B1326" s="193" t="str">
        <f>"30.48"</f>
        <v>30.48</v>
      </c>
      <c r="C1326" s="58" t="s">
        <v>3792</v>
      </c>
      <c r="D1326" s="79" t="s">
        <v>3793</v>
      </c>
      <c r="E1326" s="79"/>
    </row>
    <row r="1327" spans="1:5" ht="14.85" customHeight="1" outlineLevel="1" x14ac:dyDescent="0.25">
      <c r="A1327" s="101" t="s">
        <v>1502</v>
      </c>
      <c r="B1327" s="193" t="str">
        <f>"30.4801"</f>
        <v>30.4801</v>
      </c>
      <c r="C1327" s="58" t="s">
        <v>3792</v>
      </c>
      <c r="D1327" s="79" t="s">
        <v>3794</v>
      </c>
      <c r="E1327" s="79"/>
    </row>
    <row r="1328" spans="1:5" ht="14.85" customHeight="1" outlineLevel="1" x14ac:dyDescent="0.25">
      <c r="A1328" s="101" t="s">
        <v>1502</v>
      </c>
      <c r="B1328" s="193" t="str">
        <f>"30.49"</f>
        <v>30.49</v>
      </c>
      <c r="C1328" s="58" t="s">
        <v>3795</v>
      </c>
      <c r="D1328" s="79" t="s">
        <v>3796</v>
      </c>
      <c r="E1328" s="79"/>
    </row>
    <row r="1329" spans="1:5" ht="14.85" customHeight="1" outlineLevel="1" x14ac:dyDescent="0.25">
      <c r="A1329" s="101" t="s">
        <v>1502</v>
      </c>
      <c r="B1329" s="193" t="str">
        <f>"30.4901"</f>
        <v>30.4901</v>
      </c>
      <c r="C1329" s="58" t="s">
        <v>3795</v>
      </c>
      <c r="D1329" s="79" t="s">
        <v>3797</v>
      </c>
      <c r="E1329" s="79"/>
    </row>
    <row r="1330" spans="1:5" ht="14.85" customHeight="1" outlineLevel="1" x14ac:dyDescent="0.25">
      <c r="A1330" s="101" t="s">
        <v>1502</v>
      </c>
      <c r="B1330" s="193" t="str">
        <f>"30.50"</f>
        <v>30.50</v>
      </c>
      <c r="C1330" s="58" t="s">
        <v>3798</v>
      </c>
      <c r="D1330" s="79" t="s">
        <v>3799</v>
      </c>
      <c r="E1330" s="79"/>
    </row>
    <row r="1331" spans="1:5" ht="14.85" customHeight="1" outlineLevel="1" x14ac:dyDescent="0.25">
      <c r="A1331" s="101" t="s">
        <v>1502</v>
      </c>
      <c r="B1331" s="193" t="str">
        <f>"30.5001"</f>
        <v>30.5001</v>
      </c>
      <c r="C1331" s="58" t="s">
        <v>3798</v>
      </c>
      <c r="D1331" s="79" t="s">
        <v>3800</v>
      </c>
      <c r="E1331" s="79"/>
    </row>
    <row r="1332" spans="1:5" ht="14.85" customHeight="1" outlineLevel="1" x14ac:dyDescent="0.25">
      <c r="A1332" s="101" t="s">
        <v>1502</v>
      </c>
      <c r="B1332" s="193" t="str">
        <f>"30.51"</f>
        <v>30.51</v>
      </c>
      <c r="C1332" s="58" t="s">
        <v>3801</v>
      </c>
      <c r="D1332" s="79" t="s">
        <v>3802</v>
      </c>
      <c r="E1332" s="79"/>
    </row>
    <row r="1333" spans="1:5" ht="14.85" customHeight="1" outlineLevel="1" x14ac:dyDescent="0.25">
      <c r="A1333" s="101" t="s">
        <v>1502</v>
      </c>
      <c r="B1333" s="193" t="str">
        <f>"30.5101"</f>
        <v>30.5101</v>
      </c>
      <c r="C1333" s="58" t="s">
        <v>3801</v>
      </c>
      <c r="D1333" s="79" t="s">
        <v>3803</v>
      </c>
      <c r="E1333" s="79"/>
    </row>
    <row r="1334" spans="1:5" ht="14.85" customHeight="1" outlineLevel="1" x14ac:dyDescent="0.25">
      <c r="A1334" s="101" t="s">
        <v>1502</v>
      </c>
      <c r="B1334" s="193" t="str">
        <f>"30.52"</f>
        <v>30.52</v>
      </c>
      <c r="C1334" s="58" t="s">
        <v>3804</v>
      </c>
      <c r="D1334" s="79" t="s">
        <v>3805</v>
      </c>
      <c r="E1334" s="79"/>
    </row>
    <row r="1335" spans="1:5" ht="14.85" customHeight="1" outlineLevel="1" x14ac:dyDescent="0.25">
      <c r="A1335" s="101" t="s">
        <v>1502</v>
      </c>
      <c r="B1335" s="193" t="str">
        <f>"30.5201"</f>
        <v>30.5201</v>
      </c>
      <c r="C1335" s="58" t="s">
        <v>3806</v>
      </c>
      <c r="D1335" s="79" t="s">
        <v>3807</v>
      </c>
      <c r="E1335" s="79"/>
    </row>
    <row r="1336" spans="1:5" ht="14.85" customHeight="1" outlineLevel="1" x14ac:dyDescent="0.25">
      <c r="A1336" s="101" t="s">
        <v>1502</v>
      </c>
      <c r="B1336" s="193" t="str">
        <f>"30.5202"</f>
        <v>30.5202</v>
      </c>
      <c r="C1336" s="58" t="s">
        <v>3808</v>
      </c>
      <c r="D1336" s="79" t="s">
        <v>3809</v>
      </c>
      <c r="E1336" s="79"/>
    </row>
    <row r="1337" spans="1:5" ht="14.85" customHeight="1" outlineLevel="1" x14ac:dyDescent="0.25">
      <c r="A1337" s="101" t="s">
        <v>1502</v>
      </c>
      <c r="B1337" s="193" t="str">
        <f>"30.5203"</f>
        <v>30.5203</v>
      </c>
      <c r="C1337" s="58" t="s">
        <v>3810</v>
      </c>
      <c r="D1337" s="79" t="s">
        <v>3811</v>
      </c>
      <c r="E1337" s="79"/>
    </row>
    <row r="1338" spans="1:5" ht="14.85" customHeight="1" outlineLevel="1" x14ac:dyDescent="0.25">
      <c r="A1338" s="101" t="s">
        <v>1502</v>
      </c>
      <c r="B1338" s="193" t="str">
        <f>"30.5299"</f>
        <v>30.5299</v>
      </c>
      <c r="C1338" s="58" t="s">
        <v>3812</v>
      </c>
      <c r="D1338" s="79" t="s">
        <v>3813</v>
      </c>
      <c r="E1338" s="79"/>
    </row>
    <row r="1339" spans="1:5" ht="14.85" customHeight="1" outlineLevel="1" x14ac:dyDescent="0.25">
      <c r="A1339" s="101" t="s">
        <v>1502</v>
      </c>
      <c r="B1339" s="193" t="str">
        <f>"30.53"</f>
        <v>30.53</v>
      </c>
      <c r="C1339" s="58" t="s">
        <v>3814</v>
      </c>
      <c r="D1339" s="79" t="s">
        <v>3815</v>
      </c>
      <c r="E1339" s="79"/>
    </row>
    <row r="1340" spans="1:5" ht="14.85" customHeight="1" outlineLevel="1" x14ac:dyDescent="0.25">
      <c r="A1340" s="101" t="s">
        <v>1502</v>
      </c>
      <c r="B1340" s="193" t="str">
        <f>"30.5301"</f>
        <v>30.5301</v>
      </c>
      <c r="C1340" s="58" t="s">
        <v>3814</v>
      </c>
      <c r="D1340" s="79" t="s">
        <v>3816</v>
      </c>
      <c r="E1340" s="79"/>
    </row>
    <row r="1341" spans="1:5" ht="14.85" customHeight="1" outlineLevel="1" x14ac:dyDescent="0.25">
      <c r="A1341" s="101" t="s">
        <v>1502</v>
      </c>
      <c r="B1341" s="193" t="str">
        <f>"30.70"</f>
        <v>30.70</v>
      </c>
      <c r="C1341" s="58" t="s">
        <v>3817</v>
      </c>
      <c r="D1341" s="79" t="s">
        <v>3818</v>
      </c>
      <c r="E1341" s="79"/>
    </row>
    <row r="1342" spans="1:5" ht="14.85" customHeight="1" outlineLevel="1" x14ac:dyDescent="0.25">
      <c r="A1342" s="101" t="s">
        <v>1502</v>
      </c>
      <c r="B1342" s="193" t="str">
        <f>"30.7001"</f>
        <v>30.7001</v>
      </c>
      <c r="C1342" s="58" t="s">
        <v>3819</v>
      </c>
      <c r="D1342" s="79" t="s">
        <v>3820</v>
      </c>
      <c r="E1342" s="79"/>
    </row>
    <row r="1343" spans="1:5" ht="14.85" customHeight="1" outlineLevel="1" x14ac:dyDescent="0.25">
      <c r="A1343" s="101" t="s">
        <v>1502</v>
      </c>
      <c r="B1343" s="193" t="str">
        <f>"30.7099"</f>
        <v>30.7099</v>
      </c>
      <c r="C1343" s="58" t="s">
        <v>3821</v>
      </c>
      <c r="D1343" s="79" t="s">
        <v>3822</v>
      </c>
      <c r="E1343" s="79"/>
    </row>
    <row r="1344" spans="1:5" ht="14.85" customHeight="1" outlineLevel="1" x14ac:dyDescent="0.25">
      <c r="A1344" s="101" t="s">
        <v>1502</v>
      </c>
      <c r="B1344" s="193" t="str">
        <f>"30.71"</f>
        <v>30.71</v>
      </c>
      <c r="C1344" s="58" t="s">
        <v>3823</v>
      </c>
      <c r="D1344" s="79" t="s">
        <v>3824</v>
      </c>
      <c r="E1344" s="79"/>
    </row>
    <row r="1345" spans="1:5" ht="14.85" customHeight="1" outlineLevel="1" x14ac:dyDescent="0.25">
      <c r="A1345" s="101" t="s">
        <v>1502</v>
      </c>
      <c r="B1345" s="193" t="str">
        <f>"30.7101"</f>
        <v>30.7101</v>
      </c>
      <c r="C1345" s="58" t="s">
        <v>3825</v>
      </c>
      <c r="D1345" s="79" t="s">
        <v>3826</v>
      </c>
      <c r="E1345" s="79"/>
    </row>
    <row r="1346" spans="1:5" ht="14.85" customHeight="1" outlineLevel="1" x14ac:dyDescent="0.25">
      <c r="A1346" s="101" t="s">
        <v>1502</v>
      </c>
      <c r="B1346" s="193" t="str">
        <f>"30.7102"</f>
        <v>30.7102</v>
      </c>
      <c r="C1346" s="58" t="s">
        <v>3827</v>
      </c>
      <c r="D1346" s="79" t="s">
        <v>3828</v>
      </c>
      <c r="E1346" s="79"/>
    </row>
    <row r="1347" spans="1:5" ht="14.85" customHeight="1" outlineLevel="1" x14ac:dyDescent="0.25">
      <c r="A1347" s="101" t="s">
        <v>1502</v>
      </c>
      <c r="B1347" s="193" t="str">
        <f>"30.7103"</f>
        <v>30.7103</v>
      </c>
      <c r="C1347" s="58" t="s">
        <v>3829</v>
      </c>
      <c r="D1347" s="79" t="s">
        <v>3830</v>
      </c>
      <c r="E1347" s="79"/>
    </row>
    <row r="1348" spans="1:5" ht="14.85" customHeight="1" outlineLevel="1" x14ac:dyDescent="0.25">
      <c r="A1348" s="101" t="s">
        <v>1502</v>
      </c>
      <c r="B1348" s="193" t="str">
        <f>"30.7104"</f>
        <v>30.7104</v>
      </c>
      <c r="C1348" s="58" t="s">
        <v>3831</v>
      </c>
      <c r="D1348" s="79" t="s">
        <v>3832</v>
      </c>
      <c r="E1348" s="79"/>
    </row>
    <row r="1349" spans="1:5" ht="14.85" customHeight="1" outlineLevel="1" x14ac:dyDescent="0.25">
      <c r="A1349" s="101" t="s">
        <v>1502</v>
      </c>
      <c r="B1349" s="193" t="str">
        <f>"30.7199"</f>
        <v>30.7199</v>
      </c>
      <c r="C1349" s="58" t="s">
        <v>3833</v>
      </c>
      <c r="D1349" s="79" t="s">
        <v>3834</v>
      </c>
      <c r="E1349" s="79"/>
    </row>
    <row r="1350" spans="1:5" ht="14.85" customHeight="1" outlineLevel="1" x14ac:dyDescent="0.25">
      <c r="A1350" s="101" t="s">
        <v>1502</v>
      </c>
      <c r="B1350" s="193" t="str">
        <f>"30.99"</f>
        <v>30.99</v>
      </c>
      <c r="C1350" s="58" t="s">
        <v>3835</v>
      </c>
      <c r="D1350" s="79" t="s">
        <v>3836</v>
      </c>
      <c r="E1350" s="79"/>
    </row>
    <row r="1351" spans="1:5" ht="14.85" customHeight="1" outlineLevel="1" x14ac:dyDescent="0.25">
      <c r="A1351" s="101" t="s">
        <v>1502</v>
      </c>
      <c r="B1351" s="193" t="str">
        <f>"30.9999"</f>
        <v>30.9999</v>
      </c>
      <c r="C1351" s="58" t="s">
        <v>3837</v>
      </c>
      <c r="D1351" s="79" t="s">
        <v>3838</v>
      </c>
      <c r="E1351" s="79"/>
    </row>
    <row r="1352" spans="1:5" ht="14.85" customHeight="1" outlineLevel="1" x14ac:dyDescent="0.25">
      <c r="A1352" s="101" t="s">
        <v>1502</v>
      </c>
      <c r="B1352" s="193" t="str">
        <f>"31"</f>
        <v>31</v>
      </c>
      <c r="C1352" s="58" t="s">
        <v>3839</v>
      </c>
      <c r="D1352" s="79" t="s">
        <v>3840</v>
      </c>
      <c r="E1352" s="79"/>
    </row>
    <row r="1353" spans="1:5" ht="14.85" customHeight="1" outlineLevel="1" x14ac:dyDescent="0.25">
      <c r="A1353" s="101" t="s">
        <v>1502</v>
      </c>
      <c r="B1353" s="193" t="str">
        <f>"31.01"</f>
        <v>31.01</v>
      </c>
      <c r="C1353" s="58" t="s">
        <v>3841</v>
      </c>
      <c r="D1353" s="79" t="s">
        <v>3842</v>
      </c>
      <c r="E1353" s="79"/>
    </row>
    <row r="1354" spans="1:5" ht="14.85" customHeight="1" outlineLevel="1" x14ac:dyDescent="0.25">
      <c r="A1354" s="101" t="s">
        <v>1502</v>
      </c>
      <c r="B1354" s="193" t="str">
        <f>"31.0101"</f>
        <v>31.0101</v>
      </c>
      <c r="C1354" s="58" t="s">
        <v>3841</v>
      </c>
      <c r="D1354" s="79" t="s">
        <v>3843</v>
      </c>
      <c r="E1354" s="79"/>
    </row>
    <row r="1355" spans="1:5" ht="14.85" customHeight="1" outlineLevel="1" x14ac:dyDescent="0.25">
      <c r="A1355" s="101" t="s">
        <v>1502</v>
      </c>
      <c r="B1355" s="193" t="str">
        <f>"31.03"</f>
        <v>31.03</v>
      </c>
      <c r="C1355" s="58" t="s">
        <v>3844</v>
      </c>
      <c r="D1355" s="79" t="s">
        <v>3845</v>
      </c>
      <c r="E1355" s="79"/>
    </row>
    <row r="1356" spans="1:5" ht="14.85" customHeight="1" outlineLevel="1" x14ac:dyDescent="0.25">
      <c r="A1356" s="101" t="s">
        <v>1502</v>
      </c>
      <c r="B1356" s="193" t="str">
        <f>"31.0301"</f>
        <v>31.0301</v>
      </c>
      <c r="C1356" s="58" t="s">
        <v>3846</v>
      </c>
      <c r="D1356" s="79" t="s">
        <v>3847</v>
      </c>
      <c r="E1356" s="79"/>
    </row>
    <row r="1357" spans="1:5" ht="14.85" customHeight="1" outlineLevel="1" x14ac:dyDescent="0.25">
      <c r="A1357" s="101" t="s">
        <v>1502</v>
      </c>
      <c r="B1357" s="193" t="str">
        <f>"31.0302"</f>
        <v>31.0302</v>
      </c>
      <c r="C1357" s="58" t="s">
        <v>3848</v>
      </c>
      <c r="D1357" s="79" t="s">
        <v>3849</v>
      </c>
      <c r="E1357" s="79"/>
    </row>
    <row r="1358" spans="1:5" ht="14.85" customHeight="1" outlineLevel="1" x14ac:dyDescent="0.25">
      <c r="A1358" s="101" t="s">
        <v>1502</v>
      </c>
      <c r="B1358" s="193" t="str">
        <f>"31.0399"</f>
        <v>31.0399</v>
      </c>
      <c r="C1358" s="58" t="s">
        <v>3850</v>
      </c>
      <c r="D1358" s="79" t="s">
        <v>3851</v>
      </c>
      <c r="E1358" s="79"/>
    </row>
    <row r="1359" spans="1:5" ht="14.85" customHeight="1" outlineLevel="1" x14ac:dyDescent="0.25">
      <c r="A1359" s="101" t="s">
        <v>1502</v>
      </c>
      <c r="B1359" s="193" t="str">
        <f>"31.05"</f>
        <v>31.05</v>
      </c>
      <c r="C1359" s="58" t="s">
        <v>3852</v>
      </c>
      <c r="D1359" s="79" t="s">
        <v>3853</v>
      </c>
      <c r="E1359" s="79"/>
    </row>
    <row r="1360" spans="1:5" ht="14.85" customHeight="1" outlineLevel="1" x14ac:dyDescent="0.25">
      <c r="A1360" s="101" t="s">
        <v>1502</v>
      </c>
      <c r="B1360" s="193" t="str">
        <f>"31.0501"</f>
        <v>31.0501</v>
      </c>
      <c r="C1360" s="58" t="s">
        <v>3854</v>
      </c>
      <c r="D1360" s="79" t="s">
        <v>3855</v>
      </c>
      <c r="E1360" s="79"/>
    </row>
    <row r="1361" spans="1:5" ht="14.85" customHeight="1" outlineLevel="1" x14ac:dyDescent="0.25">
      <c r="A1361" s="101" t="s">
        <v>1502</v>
      </c>
      <c r="B1361" s="193" t="str">
        <f>"31.0504"</f>
        <v>31.0504</v>
      </c>
      <c r="C1361" s="58" t="s">
        <v>3856</v>
      </c>
      <c r="D1361" s="79" t="s">
        <v>3857</v>
      </c>
      <c r="E1361" s="79"/>
    </row>
    <row r="1362" spans="1:5" ht="14.85" customHeight="1" outlineLevel="1" x14ac:dyDescent="0.25">
      <c r="A1362" s="101" t="s">
        <v>1502</v>
      </c>
      <c r="B1362" s="193" t="str">
        <f>"31.0505"</f>
        <v>31.0505</v>
      </c>
      <c r="C1362" s="58" t="s">
        <v>3858</v>
      </c>
      <c r="D1362" s="79" t="s">
        <v>3859</v>
      </c>
      <c r="E1362" s="79"/>
    </row>
    <row r="1363" spans="1:5" ht="14.85" customHeight="1" outlineLevel="1" x14ac:dyDescent="0.25">
      <c r="A1363" s="101" t="s">
        <v>1502</v>
      </c>
      <c r="B1363" s="193" t="str">
        <f>"31.0507"</f>
        <v>31.0507</v>
      </c>
      <c r="C1363" s="58" t="s">
        <v>3860</v>
      </c>
      <c r="D1363" s="79" t="s">
        <v>3861</v>
      </c>
      <c r="E1363" s="79"/>
    </row>
    <row r="1364" spans="1:5" ht="14.85" customHeight="1" outlineLevel="1" x14ac:dyDescent="0.25">
      <c r="A1364" s="101" t="s">
        <v>1502</v>
      </c>
      <c r="B1364" s="193" t="str">
        <f>"31.0508"</f>
        <v>31.0508</v>
      </c>
      <c r="C1364" s="58" t="s">
        <v>3862</v>
      </c>
      <c r="D1364" s="79" t="s">
        <v>3863</v>
      </c>
      <c r="E1364" s="79"/>
    </row>
    <row r="1365" spans="1:5" ht="14.85" customHeight="1" outlineLevel="1" x14ac:dyDescent="0.25">
      <c r="A1365" s="101" t="s">
        <v>1502</v>
      </c>
      <c r="B1365" s="193" t="str">
        <f>"31.0599"</f>
        <v>31.0599</v>
      </c>
      <c r="C1365" s="58" t="s">
        <v>3864</v>
      </c>
      <c r="D1365" s="79" t="s">
        <v>3865</v>
      </c>
      <c r="E1365" s="79"/>
    </row>
    <row r="1366" spans="1:5" ht="14.85" customHeight="1" outlineLevel="1" x14ac:dyDescent="0.25">
      <c r="A1366" s="101" t="s">
        <v>1502</v>
      </c>
      <c r="B1366" s="193" t="str">
        <f>"31.06"</f>
        <v>31.06</v>
      </c>
      <c r="C1366" s="58" t="s">
        <v>3866</v>
      </c>
      <c r="D1366" s="79" t="s">
        <v>3867</v>
      </c>
      <c r="E1366" s="79"/>
    </row>
    <row r="1367" spans="1:5" ht="14.85" customHeight="1" outlineLevel="1" x14ac:dyDescent="0.25">
      <c r="A1367" s="101" t="s">
        <v>1502</v>
      </c>
      <c r="B1367" s="193" t="str">
        <f>"31.0601"</f>
        <v>31.0601</v>
      </c>
      <c r="C1367" s="58" t="s">
        <v>3866</v>
      </c>
      <c r="D1367" s="79" t="s">
        <v>3868</v>
      </c>
      <c r="E1367" s="79"/>
    </row>
    <row r="1368" spans="1:5" ht="14.85" customHeight="1" outlineLevel="1" x14ac:dyDescent="0.25">
      <c r="A1368" s="101" t="s">
        <v>1502</v>
      </c>
      <c r="B1368" s="193" t="str">
        <f>"31.99"</f>
        <v>31.99</v>
      </c>
      <c r="C1368" s="58" t="s">
        <v>3869</v>
      </c>
      <c r="D1368" s="79" t="s">
        <v>3870</v>
      </c>
      <c r="E1368" s="79"/>
    </row>
    <row r="1369" spans="1:5" ht="14.85" customHeight="1" outlineLevel="1" x14ac:dyDescent="0.25">
      <c r="A1369" s="101" t="s">
        <v>1502</v>
      </c>
      <c r="B1369" s="193" t="str">
        <f>"31.9999"</f>
        <v>31.9999</v>
      </c>
      <c r="C1369" s="58" t="s">
        <v>3869</v>
      </c>
      <c r="D1369" s="79" t="s">
        <v>3871</v>
      </c>
      <c r="E1369" s="79"/>
    </row>
    <row r="1370" spans="1:5" ht="14.85" customHeight="1" outlineLevel="1" x14ac:dyDescent="0.25">
      <c r="A1370" s="101" t="s">
        <v>1502</v>
      </c>
      <c r="B1370" s="193" t="str">
        <f>"32"</f>
        <v>32</v>
      </c>
      <c r="C1370" s="58" t="s">
        <v>3872</v>
      </c>
      <c r="D1370" s="79" t="s">
        <v>3873</v>
      </c>
      <c r="E1370" s="79"/>
    </row>
    <row r="1371" spans="1:5" ht="14.85" customHeight="1" outlineLevel="1" x14ac:dyDescent="0.25">
      <c r="A1371" s="101" t="s">
        <v>1502</v>
      </c>
      <c r="B1371" s="193" t="str">
        <f>"32.01"</f>
        <v>32.01</v>
      </c>
      <c r="C1371" s="58" t="s">
        <v>3874</v>
      </c>
      <c r="D1371" s="79" t="s">
        <v>3875</v>
      </c>
      <c r="E1371" s="79"/>
    </row>
    <row r="1372" spans="1:5" ht="14.85" customHeight="1" outlineLevel="1" x14ac:dyDescent="0.25">
      <c r="A1372" s="101" t="s">
        <v>1502</v>
      </c>
      <c r="B1372" s="193" t="str">
        <f>"32.0101"</f>
        <v>32.0101</v>
      </c>
      <c r="C1372" s="58" t="s">
        <v>3876</v>
      </c>
      <c r="D1372" s="79" t="s">
        <v>3877</v>
      </c>
      <c r="E1372" s="79"/>
    </row>
    <row r="1373" spans="1:5" ht="14.85" customHeight="1" outlineLevel="1" x14ac:dyDescent="0.25">
      <c r="A1373" s="101" t="s">
        <v>1502</v>
      </c>
      <c r="B1373" s="193" t="str">
        <f>"32.0104"</f>
        <v>32.0104</v>
      </c>
      <c r="C1373" s="58" t="s">
        <v>3878</v>
      </c>
      <c r="D1373" s="79" t="s">
        <v>3879</v>
      </c>
      <c r="E1373" s="79"/>
    </row>
    <row r="1374" spans="1:5" ht="14.85" customHeight="1" outlineLevel="1" x14ac:dyDescent="0.25">
      <c r="A1374" s="101" t="s">
        <v>1502</v>
      </c>
      <c r="B1374" s="193" t="str">
        <f>"32.0105"</f>
        <v>32.0105</v>
      </c>
      <c r="C1374" s="58" t="s">
        <v>3880</v>
      </c>
      <c r="D1374" s="79" t="s">
        <v>3881</v>
      </c>
      <c r="E1374" s="79"/>
    </row>
    <row r="1375" spans="1:5" ht="14.85" customHeight="1" outlineLevel="1" x14ac:dyDescent="0.25">
      <c r="A1375" s="101" t="s">
        <v>1502</v>
      </c>
      <c r="B1375" s="193" t="str">
        <f>"32.0107"</f>
        <v>32.0107</v>
      </c>
      <c r="C1375" s="58" t="s">
        <v>3882</v>
      </c>
      <c r="D1375" s="79" t="s">
        <v>3883</v>
      </c>
      <c r="E1375" s="79"/>
    </row>
    <row r="1376" spans="1:5" ht="14.85" customHeight="1" outlineLevel="1" x14ac:dyDescent="0.25">
      <c r="A1376" s="101" t="s">
        <v>1502</v>
      </c>
      <c r="B1376" s="193" t="str">
        <f>"32.0108"</f>
        <v>32.0108</v>
      </c>
      <c r="C1376" s="58" t="s">
        <v>3884</v>
      </c>
      <c r="D1376" s="79" t="s">
        <v>3885</v>
      </c>
      <c r="E1376" s="79"/>
    </row>
    <row r="1377" spans="1:5" ht="14.85" customHeight="1" outlineLevel="1" x14ac:dyDescent="0.25">
      <c r="A1377" s="101" t="s">
        <v>1502</v>
      </c>
      <c r="B1377" s="193" t="str">
        <f>"32.0109"</f>
        <v>32.0109</v>
      </c>
      <c r="C1377" s="58" t="s">
        <v>3010</v>
      </c>
      <c r="D1377" s="79" t="s">
        <v>3886</v>
      </c>
      <c r="E1377" s="79"/>
    </row>
    <row r="1378" spans="1:5" ht="14.85" customHeight="1" outlineLevel="1" x14ac:dyDescent="0.25">
      <c r="A1378" s="101" t="s">
        <v>1502</v>
      </c>
      <c r="B1378" s="193" t="str">
        <f>"32.0110"</f>
        <v>32.0110</v>
      </c>
      <c r="C1378" s="58" t="s">
        <v>3887</v>
      </c>
      <c r="D1378" s="79" t="s">
        <v>3888</v>
      </c>
      <c r="E1378" s="79"/>
    </row>
    <row r="1379" spans="1:5" ht="14.85" customHeight="1" outlineLevel="1" x14ac:dyDescent="0.25">
      <c r="A1379" s="101" t="s">
        <v>1502</v>
      </c>
      <c r="B1379" s="193" t="str">
        <f>"32.0111"</f>
        <v>32.0111</v>
      </c>
      <c r="C1379" s="58" t="s">
        <v>3889</v>
      </c>
      <c r="D1379" s="79" t="s">
        <v>3890</v>
      </c>
      <c r="E1379" s="79"/>
    </row>
    <row r="1380" spans="1:5" ht="14.85" customHeight="1" outlineLevel="1" x14ac:dyDescent="0.25">
      <c r="A1380" s="101" t="s">
        <v>1502</v>
      </c>
      <c r="B1380" s="193" t="str">
        <f>"32.0112"</f>
        <v>32.0112</v>
      </c>
      <c r="C1380" s="58" t="s">
        <v>3891</v>
      </c>
      <c r="D1380" s="79" t="s">
        <v>3892</v>
      </c>
      <c r="E1380" s="79"/>
    </row>
    <row r="1381" spans="1:5" ht="14.85" customHeight="1" outlineLevel="1" x14ac:dyDescent="0.25">
      <c r="A1381" s="101" t="s">
        <v>1502</v>
      </c>
      <c r="B1381" s="193" t="str">
        <f>"32.0199"</f>
        <v>32.0199</v>
      </c>
      <c r="C1381" s="58" t="s">
        <v>3893</v>
      </c>
      <c r="D1381" s="79" t="s">
        <v>3894</v>
      </c>
      <c r="E1381" s="79"/>
    </row>
    <row r="1382" spans="1:5" ht="14.85" customHeight="1" outlineLevel="1" x14ac:dyDescent="0.25">
      <c r="A1382" s="101" t="s">
        <v>1502</v>
      </c>
      <c r="B1382" s="193" t="str">
        <f>"32.02"</f>
        <v>32.02</v>
      </c>
      <c r="C1382" s="58" t="s">
        <v>3895</v>
      </c>
      <c r="D1382" s="79" t="s">
        <v>3896</v>
      </c>
      <c r="E1382" s="79"/>
    </row>
    <row r="1383" spans="1:5" ht="14.85" customHeight="1" outlineLevel="1" x14ac:dyDescent="0.25">
      <c r="A1383" s="101" t="s">
        <v>1502</v>
      </c>
      <c r="B1383" s="193" t="str">
        <f>"32.0201"</f>
        <v>32.0201</v>
      </c>
      <c r="C1383" s="58" t="s">
        <v>3897</v>
      </c>
      <c r="D1383" s="79" t="s">
        <v>3898</v>
      </c>
      <c r="E1383" s="79"/>
    </row>
    <row r="1384" spans="1:5" ht="14.85" customHeight="1" outlineLevel="1" x14ac:dyDescent="0.25">
      <c r="A1384" s="101" t="s">
        <v>1502</v>
      </c>
      <c r="B1384" s="193" t="str">
        <f>"32.0202"</f>
        <v>32.0202</v>
      </c>
      <c r="C1384" s="58" t="s">
        <v>3899</v>
      </c>
      <c r="D1384" s="79" t="s">
        <v>3900</v>
      </c>
      <c r="E1384" s="79"/>
    </row>
    <row r="1385" spans="1:5" ht="14.85" customHeight="1" outlineLevel="1" x14ac:dyDescent="0.25">
      <c r="A1385" s="101" t="s">
        <v>1502</v>
      </c>
      <c r="B1385" s="193" t="str">
        <f>"32.0203"</f>
        <v>32.0203</v>
      </c>
      <c r="C1385" s="58" t="s">
        <v>3901</v>
      </c>
      <c r="D1385" s="79" t="s">
        <v>3902</v>
      </c>
      <c r="E1385" s="79"/>
    </row>
    <row r="1386" spans="1:5" ht="14.85" customHeight="1" outlineLevel="1" x14ac:dyDescent="0.25">
      <c r="A1386" s="101" t="s">
        <v>1502</v>
      </c>
      <c r="B1386" s="193" t="str">
        <f>"32.0204"</f>
        <v>32.0204</v>
      </c>
      <c r="C1386" s="58" t="s">
        <v>3903</v>
      </c>
      <c r="D1386" s="79" t="s">
        <v>3904</v>
      </c>
      <c r="E1386" s="79"/>
    </row>
    <row r="1387" spans="1:5" ht="14.85" customHeight="1" outlineLevel="1" x14ac:dyDescent="0.25">
      <c r="A1387" s="101" t="s">
        <v>1502</v>
      </c>
      <c r="B1387" s="193" t="str">
        <f>"32.0205"</f>
        <v>32.0205</v>
      </c>
      <c r="C1387" s="58" t="s">
        <v>3905</v>
      </c>
      <c r="D1387" s="79" t="s">
        <v>3906</v>
      </c>
      <c r="E1387" s="79"/>
    </row>
    <row r="1388" spans="1:5" ht="14.85" customHeight="1" outlineLevel="1" x14ac:dyDescent="0.25">
      <c r="A1388" s="101" t="s">
        <v>1502</v>
      </c>
      <c r="B1388" s="193" t="str">
        <f>"32.0299"</f>
        <v>32.0299</v>
      </c>
      <c r="C1388" s="58" t="s">
        <v>3907</v>
      </c>
      <c r="D1388" s="79" t="s">
        <v>3908</v>
      </c>
      <c r="E1388" s="79"/>
    </row>
    <row r="1389" spans="1:5" ht="14.85" customHeight="1" outlineLevel="1" x14ac:dyDescent="0.25">
      <c r="A1389" s="101" t="s">
        <v>1502</v>
      </c>
      <c r="B1389" s="193" t="str">
        <f>"33"</f>
        <v>33</v>
      </c>
      <c r="C1389" s="58" t="s">
        <v>3909</v>
      </c>
      <c r="D1389" s="79" t="s">
        <v>3910</v>
      </c>
      <c r="E1389" s="79"/>
    </row>
    <row r="1390" spans="1:5" ht="14.85" customHeight="1" outlineLevel="1" x14ac:dyDescent="0.25">
      <c r="A1390" s="101" t="s">
        <v>1502</v>
      </c>
      <c r="B1390" s="193" t="str">
        <f>"33.01"</f>
        <v>33.01</v>
      </c>
      <c r="C1390" s="58" t="s">
        <v>3911</v>
      </c>
      <c r="D1390" s="79" t="s">
        <v>3912</v>
      </c>
      <c r="E1390" s="79"/>
    </row>
    <row r="1391" spans="1:5" ht="14.85" customHeight="1" outlineLevel="1" x14ac:dyDescent="0.25">
      <c r="A1391" s="101" t="s">
        <v>1502</v>
      </c>
      <c r="B1391" s="193" t="str">
        <f>"33.0101"</f>
        <v>33.0101</v>
      </c>
      <c r="C1391" s="58" t="s">
        <v>3913</v>
      </c>
      <c r="D1391" s="79" t="s">
        <v>3914</v>
      </c>
      <c r="E1391" s="79"/>
    </row>
    <row r="1392" spans="1:5" ht="14.85" customHeight="1" outlineLevel="1" x14ac:dyDescent="0.25">
      <c r="A1392" s="101" t="s">
        <v>1502</v>
      </c>
      <c r="B1392" s="193" t="str">
        <f>"33.0102"</f>
        <v>33.0102</v>
      </c>
      <c r="C1392" s="58" t="s">
        <v>3915</v>
      </c>
      <c r="D1392" s="79" t="s">
        <v>3916</v>
      </c>
      <c r="E1392" s="79"/>
    </row>
    <row r="1393" spans="1:5" ht="14.85" customHeight="1" outlineLevel="1" x14ac:dyDescent="0.25">
      <c r="A1393" s="101" t="s">
        <v>1502</v>
      </c>
      <c r="B1393" s="193" t="str">
        <f>"33.0103"</f>
        <v>33.0103</v>
      </c>
      <c r="C1393" s="58" t="s">
        <v>3917</v>
      </c>
      <c r="D1393" s="79" t="s">
        <v>3918</v>
      </c>
      <c r="E1393" s="79"/>
    </row>
    <row r="1394" spans="1:5" ht="14.85" customHeight="1" outlineLevel="1" x14ac:dyDescent="0.25">
      <c r="A1394" s="101" t="s">
        <v>1502</v>
      </c>
      <c r="B1394" s="193" t="str">
        <f>"33.0104"</f>
        <v>33.0104</v>
      </c>
      <c r="C1394" s="58" t="s">
        <v>3919</v>
      </c>
      <c r="D1394" s="79" t="s">
        <v>3920</v>
      </c>
      <c r="E1394" s="79"/>
    </row>
    <row r="1395" spans="1:5" ht="14.85" customHeight="1" outlineLevel="1" x14ac:dyDescent="0.25">
      <c r="A1395" s="101" t="s">
        <v>1502</v>
      </c>
      <c r="B1395" s="193" t="str">
        <f>"33.0105"</f>
        <v>33.0105</v>
      </c>
      <c r="C1395" s="58" t="s">
        <v>3921</v>
      </c>
      <c r="D1395" s="79" t="s">
        <v>3922</v>
      </c>
      <c r="E1395" s="79"/>
    </row>
    <row r="1396" spans="1:5" ht="14.85" customHeight="1" outlineLevel="1" x14ac:dyDescent="0.25">
      <c r="A1396" s="101" t="s">
        <v>1502</v>
      </c>
      <c r="B1396" s="193" t="str">
        <f>"33.0106"</f>
        <v>33.0106</v>
      </c>
      <c r="C1396" s="58" t="s">
        <v>3923</v>
      </c>
      <c r="D1396" s="79" t="s">
        <v>3924</v>
      </c>
      <c r="E1396" s="79"/>
    </row>
    <row r="1397" spans="1:5" ht="14.85" customHeight="1" outlineLevel="1" x14ac:dyDescent="0.25">
      <c r="A1397" s="101" t="s">
        <v>1502</v>
      </c>
      <c r="B1397" s="193" t="str">
        <f>"33.0199"</f>
        <v>33.0199</v>
      </c>
      <c r="C1397" s="58" t="s">
        <v>3925</v>
      </c>
      <c r="D1397" s="79" t="s">
        <v>3926</v>
      </c>
      <c r="E1397" s="79"/>
    </row>
    <row r="1398" spans="1:5" ht="14.85" customHeight="1" outlineLevel="1" x14ac:dyDescent="0.25">
      <c r="A1398" s="101" t="s">
        <v>1502</v>
      </c>
      <c r="B1398" s="193" t="str">
        <f>"34"</f>
        <v>34</v>
      </c>
      <c r="C1398" s="58" t="s">
        <v>3927</v>
      </c>
      <c r="D1398" s="79" t="s">
        <v>3928</v>
      </c>
      <c r="E1398" s="79"/>
    </row>
    <row r="1399" spans="1:5" ht="14.85" customHeight="1" outlineLevel="1" x14ac:dyDescent="0.25">
      <c r="A1399" s="101" t="s">
        <v>1502</v>
      </c>
      <c r="B1399" s="193" t="str">
        <f>"34.01"</f>
        <v>34.01</v>
      </c>
      <c r="C1399" s="58" t="s">
        <v>3929</v>
      </c>
      <c r="D1399" s="79" t="s">
        <v>3930</v>
      </c>
      <c r="E1399" s="79"/>
    </row>
    <row r="1400" spans="1:5" ht="14.85" customHeight="1" outlineLevel="1" x14ac:dyDescent="0.25">
      <c r="A1400" s="101" t="s">
        <v>1502</v>
      </c>
      <c r="B1400" s="193" t="str">
        <f>"34.0102"</f>
        <v>34.0102</v>
      </c>
      <c r="C1400" s="58" t="s">
        <v>3931</v>
      </c>
      <c r="D1400" s="79" t="s">
        <v>3932</v>
      </c>
      <c r="E1400" s="79"/>
    </row>
    <row r="1401" spans="1:5" ht="14.85" customHeight="1" outlineLevel="1" x14ac:dyDescent="0.25">
      <c r="A1401" s="101" t="s">
        <v>1502</v>
      </c>
      <c r="B1401" s="193" t="str">
        <f>"34.0103"</f>
        <v>34.0103</v>
      </c>
      <c r="C1401" s="58" t="s">
        <v>3933</v>
      </c>
      <c r="D1401" s="79" t="s">
        <v>3934</v>
      </c>
      <c r="E1401" s="79"/>
    </row>
    <row r="1402" spans="1:5" ht="14.85" customHeight="1" outlineLevel="1" x14ac:dyDescent="0.25">
      <c r="A1402" s="101" t="s">
        <v>1502</v>
      </c>
      <c r="B1402" s="193" t="str">
        <f>"34.0104"</f>
        <v>34.0104</v>
      </c>
      <c r="C1402" s="58" t="s">
        <v>3935</v>
      </c>
      <c r="D1402" s="79" t="s">
        <v>3936</v>
      </c>
      <c r="E1402" s="79"/>
    </row>
    <row r="1403" spans="1:5" ht="14.85" customHeight="1" outlineLevel="1" x14ac:dyDescent="0.25">
      <c r="A1403" s="101" t="s">
        <v>1502</v>
      </c>
      <c r="B1403" s="193" t="str">
        <f>"34.0105"</f>
        <v>34.0105</v>
      </c>
      <c r="C1403" s="58" t="s">
        <v>3937</v>
      </c>
      <c r="D1403" s="79" t="s">
        <v>3938</v>
      </c>
      <c r="E1403" s="79"/>
    </row>
    <row r="1404" spans="1:5" ht="14.85" customHeight="1" outlineLevel="1" x14ac:dyDescent="0.25">
      <c r="A1404" s="101" t="s">
        <v>1502</v>
      </c>
      <c r="B1404" s="193" t="str">
        <f>"34.0199"</f>
        <v>34.0199</v>
      </c>
      <c r="C1404" s="58" t="s">
        <v>3939</v>
      </c>
      <c r="D1404" s="79" t="s">
        <v>3940</v>
      </c>
      <c r="E1404" s="79"/>
    </row>
    <row r="1405" spans="1:5" ht="14.85" customHeight="1" outlineLevel="1" x14ac:dyDescent="0.25">
      <c r="A1405" s="101" t="s">
        <v>1502</v>
      </c>
      <c r="B1405" s="193" t="str">
        <f>"35"</f>
        <v>35</v>
      </c>
      <c r="C1405" s="58" t="s">
        <v>3941</v>
      </c>
      <c r="D1405" s="79" t="s">
        <v>3942</v>
      </c>
      <c r="E1405" s="79"/>
    </row>
    <row r="1406" spans="1:5" ht="14.85" customHeight="1" outlineLevel="1" x14ac:dyDescent="0.25">
      <c r="A1406" s="101" t="s">
        <v>1502</v>
      </c>
      <c r="B1406" s="193" t="str">
        <f>"35.01"</f>
        <v>35.01</v>
      </c>
      <c r="C1406" s="58" t="s">
        <v>3943</v>
      </c>
      <c r="D1406" s="79" t="s">
        <v>3944</v>
      </c>
      <c r="E1406" s="79"/>
    </row>
    <row r="1407" spans="1:5" ht="14.85" customHeight="1" outlineLevel="1" x14ac:dyDescent="0.25">
      <c r="A1407" s="101" t="s">
        <v>1502</v>
      </c>
      <c r="B1407" s="193" t="str">
        <f>"35.0101"</f>
        <v>35.0101</v>
      </c>
      <c r="C1407" s="58" t="s">
        <v>3945</v>
      </c>
      <c r="D1407" s="79" t="s">
        <v>3946</v>
      </c>
      <c r="E1407" s="79"/>
    </row>
    <row r="1408" spans="1:5" ht="14.85" customHeight="1" outlineLevel="1" x14ac:dyDescent="0.25">
      <c r="A1408" s="101" t="s">
        <v>1502</v>
      </c>
      <c r="B1408" s="193" t="str">
        <f>"35.0102"</f>
        <v>35.0102</v>
      </c>
      <c r="C1408" s="58" t="s">
        <v>3947</v>
      </c>
      <c r="D1408" s="79" t="s">
        <v>3948</v>
      </c>
      <c r="E1408" s="79"/>
    </row>
    <row r="1409" spans="1:5" ht="14.85" customHeight="1" outlineLevel="1" x14ac:dyDescent="0.25">
      <c r="A1409" s="101" t="s">
        <v>1502</v>
      </c>
      <c r="B1409" s="193" t="str">
        <f>"35.0103"</f>
        <v>35.0103</v>
      </c>
      <c r="C1409" s="58" t="s">
        <v>3949</v>
      </c>
      <c r="D1409" s="79" t="s">
        <v>3950</v>
      </c>
      <c r="E1409" s="79"/>
    </row>
    <row r="1410" spans="1:5" ht="14.85" customHeight="1" outlineLevel="1" x14ac:dyDescent="0.25">
      <c r="A1410" s="101" t="s">
        <v>1502</v>
      </c>
      <c r="B1410" s="193" t="str">
        <f>"35.0105"</f>
        <v>35.0105</v>
      </c>
      <c r="C1410" s="58" t="s">
        <v>3951</v>
      </c>
      <c r="D1410" s="79" t="s">
        <v>3952</v>
      </c>
      <c r="E1410" s="79"/>
    </row>
    <row r="1411" spans="1:5" ht="14.85" customHeight="1" outlineLevel="1" x14ac:dyDescent="0.25">
      <c r="A1411" s="101" t="s">
        <v>1502</v>
      </c>
      <c r="B1411" s="193" t="str">
        <f>"35.0199"</f>
        <v>35.0199</v>
      </c>
      <c r="C1411" s="58" t="s">
        <v>3953</v>
      </c>
      <c r="D1411" s="79" t="s">
        <v>3954</v>
      </c>
      <c r="E1411" s="79"/>
    </row>
    <row r="1412" spans="1:5" ht="14.85" customHeight="1" outlineLevel="1" x14ac:dyDescent="0.25">
      <c r="A1412" s="101" t="s">
        <v>1502</v>
      </c>
      <c r="B1412" s="193" t="str">
        <f>"36"</f>
        <v>36</v>
      </c>
      <c r="C1412" s="58" t="s">
        <v>3955</v>
      </c>
      <c r="D1412" s="79" t="s">
        <v>3956</v>
      </c>
      <c r="E1412" s="79"/>
    </row>
    <row r="1413" spans="1:5" ht="14.85" customHeight="1" outlineLevel="1" x14ac:dyDescent="0.25">
      <c r="A1413" s="101" t="s">
        <v>1502</v>
      </c>
      <c r="B1413" s="193" t="str">
        <f>"36.01"</f>
        <v>36.01</v>
      </c>
      <c r="C1413" s="58" t="s">
        <v>3957</v>
      </c>
      <c r="D1413" s="79" t="s">
        <v>3958</v>
      </c>
      <c r="E1413" s="79"/>
    </row>
    <row r="1414" spans="1:5" ht="14.85" customHeight="1" outlineLevel="1" x14ac:dyDescent="0.25">
      <c r="A1414" s="101" t="s">
        <v>1502</v>
      </c>
      <c r="B1414" s="193" t="str">
        <f>"36.0101"</f>
        <v>36.0101</v>
      </c>
      <c r="C1414" s="58" t="s">
        <v>3959</v>
      </c>
      <c r="D1414" s="79" t="s">
        <v>3960</v>
      </c>
      <c r="E1414" s="79"/>
    </row>
    <row r="1415" spans="1:5" ht="14.85" customHeight="1" outlineLevel="1" x14ac:dyDescent="0.25">
      <c r="A1415" s="101" t="s">
        <v>1502</v>
      </c>
      <c r="B1415" s="193" t="str">
        <f>"36.0102"</f>
        <v>36.0102</v>
      </c>
      <c r="C1415" s="58" t="s">
        <v>3961</v>
      </c>
      <c r="D1415" s="79" t="s">
        <v>3962</v>
      </c>
      <c r="E1415" s="79"/>
    </row>
    <row r="1416" spans="1:5" ht="14.85" customHeight="1" outlineLevel="1" x14ac:dyDescent="0.25">
      <c r="A1416" s="101" t="s">
        <v>1502</v>
      </c>
      <c r="B1416" s="193" t="str">
        <f>"36.0103"</f>
        <v>36.0103</v>
      </c>
      <c r="C1416" s="58" t="s">
        <v>3963</v>
      </c>
      <c r="D1416" s="79" t="s">
        <v>3964</v>
      </c>
      <c r="E1416" s="79"/>
    </row>
    <row r="1417" spans="1:5" ht="14.85" customHeight="1" outlineLevel="1" x14ac:dyDescent="0.25">
      <c r="A1417" s="101" t="s">
        <v>1502</v>
      </c>
      <c r="B1417" s="193" t="str">
        <f>"36.0105"</f>
        <v>36.0105</v>
      </c>
      <c r="C1417" s="58" t="s">
        <v>3965</v>
      </c>
      <c r="D1417" s="79" t="s">
        <v>3966</v>
      </c>
      <c r="E1417" s="79"/>
    </row>
    <row r="1418" spans="1:5" ht="14.85" customHeight="1" outlineLevel="1" x14ac:dyDescent="0.25">
      <c r="A1418" s="101" t="s">
        <v>1502</v>
      </c>
      <c r="B1418" s="193" t="str">
        <f>"36.0106"</f>
        <v>36.0106</v>
      </c>
      <c r="C1418" s="58" t="s">
        <v>3967</v>
      </c>
      <c r="D1418" s="79" t="s">
        <v>3968</v>
      </c>
      <c r="E1418" s="79"/>
    </row>
    <row r="1419" spans="1:5" ht="14.85" customHeight="1" outlineLevel="1" x14ac:dyDescent="0.25">
      <c r="A1419" s="101" t="s">
        <v>1502</v>
      </c>
      <c r="B1419" s="193" t="str">
        <f>"36.0107"</f>
        <v>36.0107</v>
      </c>
      <c r="C1419" s="58" t="s">
        <v>3969</v>
      </c>
      <c r="D1419" s="79" t="s">
        <v>3970</v>
      </c>
      <c r="E1419" s="79"/>
    </row>
    <row r="1420" spans="1:5" ht="14.85" customHeight="1" outlineLevel="1" x14ac:dyDescent="0.25">
      <c r="A1420" s="101" t="s">
        <v>1502</v>
      </c>
      <c r="B1420" s="193" t="str">
        <f>"36.0108"</f>
        <v>36.0108</v>
      </c>
      <c r="C1420" s="58" t="s">
        <v>3971</v>
      </c>
      <c r="D1420" s="79" t="s">
        <v>3972</v>
      </c>
      <c r="E1420" s="79"/>
    </row>
    <row r="1421" spans="1:5" ht="14.85" customHeight="1" outlineLevel="1" x14ac:dyDescent="0.25">
      <c r="A1421" s="101" t="s">
        <v>1502</v>
      </c>
      <c r="B1421" s="193" t="str">
        <f>"36.0109"</f>
        <v>36.0109</v>
      </c>
      <c r="C1421" s="58" t="s">
        <v>3973</v>
      </c>
      <c r="D1421" s="79" t="s">
        <v>3974</v>
      </c>
      <c r="E1421" s="79"/>
    </row>
    <row r="1422" spans="1:5" ht="14.85" customHeight="1" outlineLevel="1" x14ac:dyDescent="0.25">
      <c r="A1422" s="101" t="s">
        <v>1502</v>
      </c>
      <c r="B1422" s="193" t="str">
        <f>"36.0110"</f>
        <v>36.0110</v>
      </c>
      <c r="C1422" s="58" t="s">
        <v>3975</v>
      </c>
      <c r="D1422" s="79" t="s">
        <v>3976</v>
      </c>
      <c r="E1422" s="79"/>
    </row>
    <row r="1423" spans="1:5" ht="14.85" customHeight="1" outlineLevel="1" x14ac:dyDescent="0.25">
      <c r="A1423" s="101" t="s">
        <v>1502</v>
      </c>
      <c r="B1423" s="193" t="str">
        <f>"36.0111"</f>
        <v>36.0111</v>
      </c>
      <c r="C1423" s="58" t="s">
        <v>3977</v>
      </c>
      <c r="D1423" s="79" t="s">
        <v>3978</v>
      </c>
      <c r="E1423" s="79"/>
    </row>
    <row r="1424" spans="1:5" ht="14.85" customHeight="1" outlineLevel="1" x14ac:dyDescent="0.25">
      <c r="A1424" s="101" t="s">
        <v>1502</v>
      </c>
      <c r="B1424" s="193" t="str">
        <f>"36.0112"</f>
        <v>36.0112</v>
      </c>
      <c r="C1424" s="58" t="s">
        <v>3979</v>
      </c>
      <c r="D1424" s="79" t="s">
        <v>3980</v>
      </c>
      <c r="E1424" s="79"/>
    </row>
    <row r="1425" spans="1:5" ht="14.85" customHeight="1" outlineLevel="1" x14ac:dyDescent="0.25">
      <c r="A1425" s="101" t="s">
        <v>1502</v>
      </c>
      <c r="B1425" s="193" t="str">
        <f>"36.0113"</f>
        <v>36.0113</v>
      </c>
      <c r="C1425" s="58" t="s">
        <v>3981</v>
      </c>
      <c r="D1425" s="79" t="s">
        <v>3982</v>
      </c>
      <c r="E1425" s="79"/>
    </row>
    <row r="1426" spans="1:5" ht="14.85" customHeight="1" outlineLevel="1" x14ac:dyDescent="0.25">
      <c r="A1426" s="101" t="s">
        <v>1502</v>
      </c>
      <c r="B1426" s="193" t="str">
        <f>"36.0114"</f>
        <v>36.0114</v>
      </c>
      <c r="C1426" s="58" t="s">
        <v>3983</v>
      </c>
      <c r="D1426" s="79" t="s">
        <v>3984</v>
      </c>
      <c r="E1426" s="79"/>
    </row>
    <row r="1427" spans="1:5" ht="14.85" customHeight="1" outlineLevel="1" x14ac:dyDescent="0.25">
      <c r="A1427" s="101" t="s">
        <v>1502</v>
      </c>
      <c r="B1427" s="193" t="str">
        <f>"36.0115"</f>
        <v>36.0115</v>
      </c>
      <c r="C1427" s="58" t="s">
        <v>3985</v>
      </c>
      <c r="D1427" s="79" t="s">
        <v>3986</v>
      </c>
      <c r="E1427" s="79"/>
    </row>
    <row r="1428" spans="1:5" ht="14.85" customHeight="1" outlineLevel="1" x14ac:dyDescent="0.25">
      <c r="A1428" s="101" t="s">
        <v>1502</v>
      </c>
      <c r="B1428" s="193" t="str">
        <f>"36.0116"</f>
        <v>36.0116</v>
      </c>
      <c r="C1428" s="58" t="s">
        <v>3987</v>
      </c>
      <c r="D1428" s="79" t="s">
        <v>3988</v>
      </c>
      <c r="E1428" s="79"/>
    </row>
    <row r="1429" spans="1:5" ht="14.85" customHeight="1" outlineLevel="1" x14ac:dyDescent="0.25">
      <c r="A1429" s="101" t="s">
        <v>1502</v>
      </c>
      <c r="B1429" s="193" t="str">
        <f>"36.0117"</f>
        <v>36.0117</v>
      </c>
      <c r="C1429" s="58" t="s">
        <v>3989</v>
      </c>
      <c r="D1429" s="79" t="s">
        <v>3990</v>
      </c>
      <c r="E1429" s="79"/>
    </row>
    <row r="1430" spans="1:5" ht="14.85" customHeight="1" outlineLevel="1" x14ac:dyDescent="0.25">
      <c r="A1430" s="101" t="s">
        <v>1502</v>
      </c>
      <c r="B1430" s="193" t="str">
        <f>"36.0118"</f>
        <v>36.0118</v>
      </c>
      <c r="C1430" s="58" t="s">
        <v>3991</v>
      </c>
      <c r="D1430" s="79" t="s">
        <v>3992</v>
      </c>
      <c r="E1430" s="79"/>
    </row>
    <row r="1431" spans="1:5" ht="14.85" customHeight="1" outlineLevel="1" x14ac:dyDescent="0.25">
      <c r="A1431" s="101" t="s">
        <v>1502</v>
      </c>
      <c r="B1431" s="193" t="str">
        <f>"36.0120"</f>
        <v>36.0120</v>
      </c>
      <c r="C1431" s="58" t="s">
        <v>3993</v>
      </c>
      <c r="D1431" s="79" t="s">
        <v>3994</v>
      </c>
      <c r="E1431" s="79"/>
    </row>
    <row r="1432" spans="1:5" ht="14.85" customHeight="1" outlineLevel="1" x14ac:dyDescent="0.25">
      <c r="A1432" s="101" t="s">
        <v>1502</v>
      </c>
      <c r="B1432" s="193" t="str">
        <f>"36.0121"</f>
        <v>36.0121</v>
      </c>
      <c r="C1432" s="58" t="s">
        <v>3995</v>
      </c>
      <c r="D1432" s="79" t="s">
        <v>3996</v>
      </c>
      <c r="E1432" s="79"/>
    </row>
    <row r="1433" spans="1:5" ht="14.85" customHeight="1" outlineLevel="1" x14ac:dyDescent="0.25">
      <c r="A1433" s="101" t="s">
        <v>1502</v>
      </c>
      <c r="B1433" s="193" t="str">
        <f>"36.0122"</f>
        <v>36.0122</v>
      </c>
      <c r="C1433" s="58" t="s">
        <v>3997</v>
      </c>
      <c r="D1433" s="79" t="s">
        <v>3998</v>
      </c>
      <c r="E1433" s="79"/>
    </row>
    <row r="1434" spans="1:5" ht="14.85" customHeight="1" outlineLevel="1" x14ac:dyDescent="0.25">
      <c r="A1434" s="101" t="s">
        <v>1502</v>
      </c>
      <c r="B1434" s="193" t="str">
        <f>"36.0123"</f>
        <v>36.0123</v>
      </c>
      <c r="C1434" s="58" t="s">
        <v>3999</v>
      </c>
      <c r="D1434" s="79" t="s">
        <v>4000</v>
      </c>
      <c r="E1434" s="79"/>
    </row>
    <row r="1435" spans="1:5" ht="14.85" customHeight="1" outlineLevel="1" x14ac:dyDescent="0.25">
      <c r="A1435" s="101" t="s">
        <v>1502</v>
      </c>
      <c r="B1435" s="193" t="str">
        <f>"36.0199"</f>
        <v>36.0199</v>
      </c>
      <c r="C1435" s="58" t="s">
        <v>4001</v>
      </c>
      <c r="D1435" s="79" t="s">
        <v>4002</v>
      </c>
      <c r="E1435" s="79"/>
    </row>
    <row r="1436" spans="1:5" ht="14.85" customHeight="1" outlineLevel="1" x14ac:dyDescent="0.25">
      <c r="A1436" s="101" t="s">
        <v>1502</v>
      </c>
      <c r="B1436" s="193" t="str">
        <f>"36.02"</f>
        <v>36.02</v>
      </c>
      <c r="C1436" s="58" t="s">
        <v>4003</v>
      </c>
      <c r="D1436" s="79" t="s">
        <v>4004</v>
      </c>
      <c r="E1436" s="79"/>
    </row>
    <row r="1437" spans="1:5" ht="14.85" customHeight="1" outlineLevel="1" x14ac:dyDescent="0.25">
      <c r="A1437" s="101" t="s">
        <v>1502</v>
      </c>
      <c r="B1437" s="193" t="str">
        <f>"36.0202"</f>
        <v>36.0202</v>
      </c>
      <c r="C1437" s="58" t="s">
        <v>4005</v>
      </c>
      <c r="D1437" s="79" t="s">
        <v>4006</v>
      </c>
      <c r="E1437" s="79"/>
    </row>
    <row r="1438" spans="1:5" ht="14.85" customHeight="1" outlineLevel="1" x14ac:dyDescent="0.25">
      <c r="A1438" s="101" t="s">
        <v>1502</v>
      </c>
      <c r="B1438" s="193" t="str">
        <f>"36.0203"</f>
        <v>36.0203</v>
      </c>
      <c r="C1438" s="58" t="s">
        <v>4007</v>
      </c>
      <c r="D1438" s="79" t="s">
        <v>4008</v>
      </c>
      <c r="E1438" s="79"/>
    </row>
    <row r="1439" spans="1:5" ht="14.85" customHeight="1" outlineLevel="1" x14ac:dyDescent="0.25">
      <c r="A1439" s="101" t="s">
        <v>1502</v>
      </c>
      <c r="B1439" s="193" t="str">
        <f>"36.0204"</f>
        <v>36.0204</v>
      </c>
      <c r="C1439" s="58" t="s">
        <v>4009</v>
      </c>
      <c r="D1439" s="79" t="s">
        <v>4010</v>
      </c>
      <c r="E1439" s="79"/>
    </row>
    <row r="1440" spans="1:5" ht="14.85" customHeight="1" outlineLevel="1" x14ac:dyDescent="0.25">
      <c r="A1440" s="101" t="s">
        <v>1502</v>
      </c>
      <c r="B1440" s="193" t="str">
        <f>"36.0205"</f>
        <v>36.0205</v>
      </c>
      <c r="C1440" s="58" t="s">
        <v>4011</v>
      </c>
      <c r="D1440" s="79" t="s">
        <v>4012</v>
      </c>
      <c r="E1440" s="79"/>
    </row>
    <row r="1441" spans="1:5" ht="14.85" customHeight="1" outlineLevel="1" x14ac:dyDescent="0.25">
      <c r="A1441" s="101" t="s">
        <v>1502</v>
      </c>
      <c r="B1441" s="193" t="str">
        <f>"36.0206"</f>
        <v>36.0206</v>
      </c>
      <c r="C1441" s="58" t="s">
        <v>4013</v>
      </c>
      <c r="D1441" s="79" t="s">
        <v>4014</v>
      </c>
      <c r="E1441" s="79"/>
    </row>
    <row r="1442" spans="1:5" ht="14.85" customHeight="1" outlineLevel="1" x14ac:dyDescent="0.25">
      <c r="A1442" s="101" t="s">
        <v>1502</v>
      </c>
      <c r="B1442" s="193" t="str">
        <f>"36.0207"</f>
        <v>36.0207</v>
      </c>
      <c r="C1442" s="58" t="s">
        <v>4015</v>
      </c>
      <c r="D1442" s="79" t="s">
        <v>4016</v>
      </c>
      <c r="E1442" s="79"/>
    </row>
    <row r="1443" spans="1:5" ht="14.85" customHeight="1" outlineLevel="1" x14ac:dyDescent="0.25">
      <c r="A1443" s="101" t="s">
        <v>1502</v>
      </c>
      <c r="B1443" s="193" t="str">
        <f>"36.0299"</f>
        <v>36.0299</v>
      </c>
      <c r="C1443" s="58" t="s">
        <v>4017</v>
      </c>
      <c r="D1443" s="79" t="s">
        <v>4018</v>
      </c>
      <c r="E1443" s="79"/>
    </row>
    <row r="1444" spans="1:5" ht="14.85" customHeight="1" outlineLevel="1" x14ac:dyDescent="0.25">
      <c r="A1444" s="101" t="s">
        <v>1502</v>
      </c>
      <c r="B1444" s="193" t="str">
        <f>"37"</f>
        <v>37</v>
      </c>
      <c r="C1444" s="58" t="s">
        <v>4019</v>
      </c>
      <c r="D1444" s="79" t="s">
        <v>4020</v>
      </c>
      <c r="E1444" s="79"/>
    </row>
    <row r="1445" spans="1:5" ht="14.85" customHeight="1" outlineLevel="1" x14ac:dyDescent="0.25">
      <c r="A1445" s="101" t="s">
        <v>1502</v>
      </c>
      <c r="B1445" s="193" t="str">
        <f>"37.01"</f>
        <v>37.01</v>
      </c>
      <c r="C1445" s="58" t="s">
        <v>4021</v>
      </c>
      <c r="D1445" s="79" t="s">
        <v>4022</v>
      </c>
      <c r="E1445" s="79"/>
    </row>
    <row r="1446" spans="1:5" ht="14.85" customHeight="1" outlineLevel="1" x14ac:dyDescent="0.25">
      <c r="A1446" s="101" t="s">
        <v>1502</v>
      </c>
      <c r="B1446" s="193" t="str">
        <f>"37.0101"</f>
        <v>37.0101</v>
      </c>
      <c r="C1446" s="58" t="s">
        <v>4023</v>
      </c>
      <c r="D1446" s="79" t="s">
        <v>4024</v>
      </c>
      <c r="E1446" s="79"/>
    </row>
    <row r="1447" spans="1:5" ht="14.85" customHeight="1" outlineLevel="1" x14ac:dyDescent="0.25">
      <c r="A1447" s="101" t="s">
        <v>1502</v>
      </c>
      <c r="B1447" s="193" t="str">
        <f>"37.0102"</f>
        <v>37.0102</v>
      </c>
      <c r="C1447" s="58" t="s">
        <v>4025</v>
      </c>
      <c r="D1447" s="79" t="s">
        <v>4026</v>
      </c>
      <c r="E1447" s="79"/>
    </row>
    <row r="1448" spans="1:5" ht="14.85" customHeight="1" outlineLevel="1" x14ac:dyDescent="0.25">
      <c r="A1448" s="101" t="s">
        <v>1502</v>
      </c>
      <c r="B1448" s="193" t="str">
        <f>"37.0103"</f>
        <v>37.0103</v>
      </c>
      <c r="C1448" s="58" t="s">
        <v>4027</v>
      </c>
      <c r="D1448" s="79" t="s">
        <v>4028</v>
      </c>
      <c r="E1448" s="79"/>
    </row>
    <row r="1449" spans="1:5" ht="14.85" customHeight="1" outlineLevel="1" x14ac:dyDescent="0.25">
      <c r="A1449" s="101" t="s">
        <v>1502</v>
      </c>
      <c r="B1449" s="193" t="str">
        <f>"37.0104"</f>
        <v>37.0104</v>
      </c>
      <c r="C1449" s="58" t="s">
        <v>4029</v>
      </c>
      <c r="D1449" s="79" t="s">
        <v>4030</v>
      </c>
      <c r="E1449" s="79"/>
    </row>
    <row r="1450" spans="1:5" ht="14.85" customHeight="1" outlineLevel="1" x14ac:dyDescent="0.25">
      <c r="A1450" s="101" t="s">
        <v>1502</v>
      </c>
      <c r="B1450" s="193" t="str">
        <f>"37.0106"</f>
        <v>37.0106</v>
      </c>
      <c r="C1450" s="58" t="s">
        <v>4031</v>
      </c>
      <c r="D1450" s="79" t="s">
        <v>4032</v>
      </c>
      <c r="E1450" s="79"/>
    </row>
    <row r="1451" spans="1:5" ht="14.85" customHeight="1" outlineLevel="1" x14ac:dyDescent="0.25">
      <c r="A1451" s="101" t="s">
        <v>1502</v>
      </c>
      <c r="B1451" s="193" t="str">
        <f>"37.0107"</f>
        <v>37.0107</v>
      </c>
      <c r="C1451" s="58" t="s">
        <v>4033</v>
      </c>
      <c r="D1451" s="79" t="s">
        <v>4034</v>
      </c>
      <c r="E1451" s="79"/>
    </row>
    <row r="1452" spans="1:5" ht="14.85" customHeight="1" outlineLevel="1" x14ac:dyDescent="0.25">
      <c r="A1452" s="101" t="s">
        <v>1502</v>
      </c>
      <c r="B1452" s="193" t="str">
        <f>"37.0199"</f>
        <v>37.0199</v>
      </c>
      <c r="C1452" s="58" t="s">
        <v>4035</v>
      </c>
      <c r="D1452" s="79" t="s">
        <v>4036</v>
      </c>
      <c r="E1452" s="79"/>
    </row>
    <row r="1453" spans="1:5" ht="14.85" customHeight="1" outlineLevel="1" x14ac:dyDescent="0.25">
      <c r="A1453" s="101" t="s">
        <v>1502</v>
      </c>
      <c r="B1453" s="193" t="str">
        <f>"38"</f>
        <v>38</v>
      </c>
      <c r="C1453" s="58" t="s">
        <v>4037</v>
      </c>
      <c r="D1453" s="79" t="s">
        <v>4038</v>
      </c>
      <c r="E1453" s="79"/>
    </row>
    <row r="1454" spans="1:5" ht="14.85" customHeight="1" outlineLevel="1" x14ac:dyDescent="0.25">
      <c r="A1454" s="101" t="s">
        <v>1502</v>
      </c>
      <c r="B1454" s="193" t="str">
        <f>"38.00"</f>
        <v>38.00</v>
      </c>
      <c r="C1454" s="58" t="s">
        <v>4039</v>
      </c>
      <c r="D1454" s="79" t="s">
        <v>4040</v>
      </c>
      <c r="E1454" s="79"/>
    </row>
    <row r="1455" spans="1:5" ht="14.85" customHeight="1" outlineLevel="1" x14ac:dyDescent="0.25">
      <c r="A1455" s="101" t="s">
        <v>1502</v>
      </c>
      <c r="B1455" s="193" t="str">
        <f>"38.0001"</f>
        <v>38.0001</v>
      </c>
      <c r="C1455" s="58" t="s">
        <v>4039</v>
      </c>
      <c r="D1455" s="79" t="s">
        <v>4041</v>
      </c>
      <c r="E1455" s="79"/>
    </row>
    <row r="1456" spans="1:5" ht="14.85" customHeight="1" outlineLevel="1" x14ac:dyDescent="0.25">
      <c r="A1456" s="101" t="s">
        <v>1502</v>
      </c>
      <c r="B1456" s="193" t="str">
        <f>"38.01"</f>
        <v>38.01</v>
      </c>
      <c r="C1456" s="58" t="s">
        <v>4042</v>
      </c>
      <c r="D1456" s="79" t="s">
        <v>4043</v>
      </c>
      <c r="E1456" s="79"/>
    </row>
    <row r="1457" spans="1:5" ht="14.85" customHeight="1" outlineLevel="1" x14ac:dyDescent="0.25">
      <c r="A1457" s="101" t="s">
        <v>1502</v>
      </c>
      <c r="B1457" s="193" t="str">
        <f>"38.0101"</f>
        <v>38.0101</v>
      </c>
      <c r="C1457" s="58" t="s">
        <v>4042</v>
      </c>
      <c r="D1457" s="79" t="s">
        <v>4044</v>
      </c>
      <c r="E1457" s="79"/>
    </row>
    <row r="1458" spans="1:5" ht="14.85" customHeight="1" outlineLevel="1" x14ac:dyDescent="0.25">
      <c r="A1458" s="101" t="s">
        <v>1502</v>
      </c>
      <c r="B1458" s="193" t="str">
        <f>"38.0102"</f>
        <v>38.0102</v>
      </c>
      <c r="C1458" s="58" t="s">
        <v>4045</v>
      </c>
      <c r="D1458" s="79" t="s">
        <v>4046</v>
      </c>
      <c r="E1458" s="79"/>
    </row>
    <row r="1459" spans="1:5" ht="14.85" customHeight="1" outlineLevel="1" x14ac:dyDescent="0.25">
      <c r="A1459" s="101" t="s">
        <v>1502</v>
      </c>
      <c r="B1459" s="193" t="str">
        <f>"38.0103"</f>
        <v>38.0103</v>
      </c>
      <c r="C1459" s="58" t="s">
        <v>4047</v>
      </c>
      <c r="D1459" s="79" t="s">
        <v>4048</v>
      </c>
      <c r="E1459" s="79"/>
    </row>
    <row r="1460" spans="1:5" ht="14.85" customHeight="1" outlineLevel="1" x14ac:dyDescent="0.25">
      <c r="A1460" s="101" t="s">
        <v>1502</v>
      </c>
      <c r="B1460" s="193" t="str">
        <f>"38.0104"</f>
        <v>38.0104</v>
      </c>
      <c r="C1460" s="58" t="s">
        <v>4049</v>
      </c>
      <c r="D1460" s="79" t="s">
        <v>4050</v>
      </c>
      <c r="E1460" s="79"/>
    </row>
    <row r="1461" spans="1:5" ht="14.85" customHeight="1" outlineLevel="1" x14ac:dyDescent="0.25">
      <c r="A1461" s="101" t="s">
        <v>1502</v>
      </c>
      <c r="B1461" s="193" t="str">
        <f>"38.0199"</f>
        <v>38.0199</v>
      </c>
      <c r="C1461" s="58" t="s">
        <v>4051</v>
      </c>
      <c r="D1461" s="79" t="s">
        <v>4052</v>
      </c>
      <c r="E1461" s="79"/>
    </row>
    <row r="1462" spans="1:5" ht="14.85" customHeight="1" outlineLevel="1" x14ac:dyDescent="0.25">
      <c r="A1462" s="101" t="s">
        <v>1502</v>
      </c>
      <c r="B1462" s="193" t="str">
        <f>"38.02"</f>
        <v>38.02</v>
      </c>
      <c r="C1462" s="58" t="s">
        <v>4053</v>
      </c>
      <c r="D1462" s="79" t="s">
        <v>4054</v>
      </c>
      <c r="E1462" s="79"/>
    </row>
    <row r="1463" spans="1:5" ht="14.85" customHeight="1" outlineLevel="1" x14ac:dyDescent="0.25">
      <c r="A1463" s="101" t="s">
        <v>1502</v>
      </c>
      <c r="B1463" s="193" t="str">
        <f>"38.0201"</f>
        <v>38.0201</v>
      </c>
      <c r="C1463" s="58" t="s">
        <v>4053</v>
      </c>
      <c r="D1463" s="79" t="s">
        <v>4055</v>
      </c>
      <c r="E1463" s="79"/>
    </row>
    <row r="1464" spans="1:5" ht="14.85" customHeight="1" outlineLevel="1" x14ac:dyDescent="0.25">
      <c r="A1464" s="101" t="s">
        <v>1502</v>
      </c>
      <c r="B1464" s="193" t="str">
        <f>"38.0202"</f>
        <v>38.0202</v>
      </c>
      <c r="C1464" s="58" t="s">
        <v>4056</v>
      </c>
      <c r="D1464" s="79" t="s">
        <v>4057</v>
      </c>
      <c r="E1464" s="79"/>
    </row>
    <row r="1465" spans="1:5" ht="14.85" customHeight="1" outlineLevel="1" x14ac:dyDescent="0.25">
      <c r="A1465" s="101" t="s">
        <v>1502</v>
      </c>
      <c r="B1465" s="193" t="str">
        <f>"38.0203"</f>
        <v>38.0203</v>
      </c>
      <c r="C1465" s="58" t="s">
        <v>4058</v>
      </c>
      <c r="D1465" s="79" t="s">
        <v>4059</v>
      </c>
      <c r="E1465" s="79"/>
    </row>
    <row r="1466" spans="1:5" ht="14.85" customHeight="1" outlineLevel="1" x14ac:dyDescent="0.25">
      <c r="A1466" s="101" t="s">
        <v>1502</v>
      </c>
      <c r="B1466" s="193" t="str">
        <f>"38.0204"</f>
        <v>38.0204</v>
      </c>
      <c r="C1466" s="58" t="s">
        <v>4060</v>
      </c>
      <c r="D1466" s="79" t="s">
        <v>4061</v>
      </c>
      <c r="E1466" s="79"/>
    </row>
    <row r="1467" spans="1:5" ht="14.85" customHeight="1" outlineLevel="1" x14ac:dyDescent="0.25">
      <c r="A1467" s="101" t="s">
        <v>1502</v>
      </c>
      <c r="B1467" s="193" t="str">
        <f>"38.0205"</f>
        <v>38.0205</v>
      </c>
      <c r="C1467" s="58" t="s">
        <v>4062</v>
      </c>
      <c r="D1467" s="79" t="s">
        <v>4063</v>
      </c>
      <c r="E1467" s="79"/>
    </row>
    <row r="1468" spans="1:5" ht="14.85" customHeight="1" outlineLevel="1" x14ac:dyDescent="0.25">
      <c r="A1468" s="101" t="s">
        <v>1502</v>
      </c>
      <c r="B1468" s="193" t="str">
        <f>"38.0206"</f>
        <v>38.0206</v>
      </c>
      <c r="C1468" s="58" t="s">
        <v>4064</v>
      </c>
      <c r="D1468" s="79" t="s">
        <v>4065</v>
      </c>
      <c r="E1468" s="79"/>
    </row>
    <row r="1469" spans="1:5" ht="14.85" customHeight="1" outlineLevel="1" x14ac:dyDescent="0.25">
      <c r="A1469" s="101" t="s">
        <v>1502</v>
      </c>
      <c r="B1469" s="193" t="str">
        <f>"38.0207"</f>
        <v>38.0207</v>
      </c>
      <c r="C1469" s="58" t="s">
        <v>4066</v>
      </c>
      <c r="D1469" s="79" t="s">
        <v>4067</v>
      </c>
      <c r="E1469" s="79"/>
    </row>
    <row r="1470" spans="1:5" ht="14.85" customHeight="1" outlineLevel="1" x14ac:dyDescent="0.25">
      <c r="A1470" s="101" t="s">
        <v>1502</v>
      </c>
      <c r="B1470" s="193" t="str">
        <f>"38.0208"</f>
        <v>38.0208</v>
      </c>
      <c r="C1470" s="58" t="s">
        <v>4068</v>
      </c>
      <c r="D1470" s="79" t="s">
        <v>4069</v>
      </c>
      <c r="E1470" s="79"/>
    </row>
    <row r="1471" spans="1:5" ht="14.85" customHeight="1" outlineLevel="1" x14ac:dyDescent="0.25">
      <c r="A1471" s="101" t="s">
        <v>1502</v>
      </c>
      <c r="B1471" s="193" t="str">
        <f>"38.0209"</f>
        <v>38.0209</v>
      </c>
      <c r="C1471" s="58" t="s">
        <v>4070</v>
      </c>
      <c r="D1471" s="79" t="s">
        <v>4071</v>
      </c>
      <c r="E1471" s="79"/>
    </row>
    <row r="1472" spans="1:5" ht="14.85" customHeight="1" outlineLevel="1" x14ac:dyDescent="0.25">
      <c r="A1472" s="101" t="s">
        <v>1502</v>
      </c>
      <c r="B1472" s="193" t="str">
        <f>"38.0299"</f>
        <v>38.0299</v>
      </c>
      <c r="C1472" s="58" t="s">
        <v>4072</v>
      </c>
      <c r="D1472" s="79" t="s">
        <v>4073</v>
      </c>
      <c r="E1472" s="79"/>
    </row>
    <row r="1473" spans="1:5" ht="14.85" customHeight="1" outlineLevel="1" x14ac:dyDescent="0.25">
      <c r="A1473" s="101" t="s">
        <v>1502</v>
      </c>
      <c r="B1473" s="193" t="str">
        <f>"38.99"</f>
        <v>38.99</v>
      </c>
      <c r="C1473" s="58" t="s">
        <v>4074</v>
      </c>
      <c r="D1473" s="79" t="s">
        <v>4075</v>
      </c>
      <c r="E1473" s="79"/>
    </row>
    <row r="1474" spans="1:5" ht="14.85" customHeight="1" outlineLevel="1" x14ac:dyDescent="0.25">
      <c r="A1474" s="101" t="s">
        <v>1502</v>
      </c>
      <c r="B1474" s="193" t="str">
        <f>"38.9999"</f>
        <v>38.9999</v>
      </c>
      <c r="C1474" s="58" t="s">
        <v>4074</v>
      </c>
      <c r="D1474" s="79" t="s">
        <v>4076</v>
      </c>
      <c r="E1474" s="79"/>
    </row>
    <row r="1475" spans="1:5" ht="14.85" customHeight="1" outlineLevel="1" x14ac:dyDescent="0.25">
      <c r="A1475" s="101" t="s">
        <v>1502</v>
      </c>
      <c r="B1475" s="193" t="str">
        <f>"39"</f>
        <v>39</v>
      </c>
      <c r="C1475" s="58" t="s">
        <v>4077</v>
      </c>
      <c r="D1475" s="79" t="s">
        <v>4078</v>
      </c>
      <c r="E1475" s="79"/>
    </row>
    <row r="1476" spans="1:5" ht="14.85" customHeight="1" outlineLevel="1" x14ac:dyDescent="0.25">
      <c r="A1476" s="101" t="s">
        <v>1502</v>
      </c>
      <c r="B1476" s="193" t="str">
        <f>"39.02"</f>
        <v>39.02</v>
      </c>
      <c r="C1476" s="58" t="s">
        <v>4079</v>
      </c>
      <c r="D1476" s="79" t="s">
        <v>4080</v>
      </c>
      <c r="E1476" s="79"/>
    </row>
    <row r="1477" spans="1:5" ht="14.85" customHeight="1" outlineLevel="1" x14ac:dyDescent="0.25">
      <c r="A1477" s="101" t="s">
        <v>1502</v>
      </c>
      <c r="B1477" s="193" t="str">
        <f>"39.0201"</f>
        <v>39.0201</v>
      </c>
      <c r="C1477" s="58" t="s">
        <v>4079</v>
      </c>
      <c r="D1477" s="79" t="s">
        <v>4081</v>
      </c>
      <c r="E1477" s="79"/>
    </row>
    <row r="1478" spans="1:5" ht="14.85" customHeight="1" outlineLevel="1" x14ac:dyDescent="0.25">
      <c r="A1478" s="101" t="s">
        <v>1502</v>
      </c>
      <c r="B1478" s="193" t="str">
        <f>"39.03"</f>
        <v>39.03</v>
      </c>
      <c r="C1478" s="58" t="s">
        <v>4082</v>
      </c>
      <c r="D1478" s="79" t="s">
        <v>4083</v>
      </c>
      <c r="E1478" s="79"/>
    </row>
    <row r="1479" spans="1:5" ht="14.85" customHeight="1" outlineLevel="1" x14ac:dyDescent="0.25">
      <c r="A1479" s="101" t="s">
        <v>1502</v>
      </c>
      <c r="B1479" s="193" t="str">
        <f>"39.0301"</f>
        <v>39.0301</v>
      </c>
      <c r="C1479" s="58" t="s">
        <v>4084</v>
      </c>
      <c r="D1479" s="79" t="s">
        <v>4085</v>
      </c>
      <c r="E1479" s="79"/>
    </row>
    <row r="1480" spans="1:5" ht="14.85" customHeight="1" outlineLevel="1" x14ac:dyDescent="0.25">
      <c r="A1480" s="101" t="s">
        <v>1502</v>
      </c>
      <c r="B1480" s="193" t="str">
        <f>"39.0302"</f>
        <v>39.0302</v>
      </c>
      <c r="C1480" s="58" t="s">
        <v>4086</v>
      </c>
      <c r="D1480" s="79" t="s">
        <v>4087</v>
      </c>
      <c r="E1480" s="79"/>
    </row>
    <row r="1481" spans="1:5" ht="14.85" customHeight="1" outlineLevel="1" x14ac:dyDescent="0.25">
      <c r="A1481" s="101" t="s">
        <v>1502</v>
      </c>
      <c r="B1481" s="193" t="str">
        <f>"39.0399"</f>
        <v>39.0399</v>
      </c>
      <c r="C1481" s="58" t="s">
        <v>4088</v>
      </c>
      <c r="D1481" s="79" t="s">
        <v>4089</v>
      </c>
      <c r="E1481" s="79"/>
    </row>
    <row r="1482" spans="1:5" ht="14.85" customHeight="1" outlineLevel="1" x14ac:dyDescent="0.25">
      <c r="A1482" s="101" t="s">
        <v>1502</v>
      </c>
      <c r="B1482" s="193" t="str">
        <f>"39.04"</f>
        <v>39.04</v>
      </c>
      <c r="C1482" s="58" t="s">
        <v>4090</v>
      </c>
      <c r="D1482" s="79" t="s">
        <v>4091</v>
      </c>
      <c r="E1482" s="79"/>
    </row>
    <row r="1483" spans="1:5" ht="14.85" customHeight="1" outlineLevel="1" x14ac:dyDescent="0.25">
      <c r="A1483" s="101" t="s">
        <v>1502</v>
      </c>
      <c r="B1483" s="193" t="str">
        <f>"39.0401"</f>
        <v>39.0401</v>
      </c>
      <c r="C1483" s="58" t="s">
        <v>4090</v>
      </c>
      <c r="D1483" s="79" t="s">
        <v>4092</v>
      </c>
      <c r="E1483" s="79"/>
    </row>
    <row r="1484" spans="1:5" ht="14.85" customHeight="1" outlineLevel="1" x14ac:dyDescent="0.25">
      <c r="A1484" s="101" t="s">
        <v>1502</v>
      </c>
      <c r="B1484" s="193" t="str">
        <f>"39.05"</f>
        <v>39.05</v>
      </c>
      <c r="C1484" s="58" t="s">
        <v>4093</v>
      </c>
      <c r="D1484" s="79" t="s">
        <v>4094</v>
      </c>
      <c r="E1484" s="79"/>
    </row>
    <row r="1485" spans="1:5" ht="14.85" customHeight="1" outlineLevel="1" x14ac:dyDescent="0.25">
      <c r="A1485" s="101" t="s">
        <v>1502</v>
      </c>
      <c r="B1485" s="193" t="str">
        <f>"39.0501"</f>
        <v>39.0501</v>
      </c>
      <c r="C1485" s="58" t="s">
        <v>4095</v>
      </c>
      <c r="D1485" s="79" t="s">
        <v>4096</v>
      </c>
      <c r="E1485" s="79"/>
    </row>
    <row r="1486" spans="1:5" ht="14.85" customHeight="1" outlineLevel="1" x14ac:dyDescent="0.25">
      <c r="A1486" s="101" t="s">
        <v>1502</v>
      </c>
      <c r="B1486" s="193" t="str">
        <f>"39.0502"</f>
        <v>39.0502</v>
      </c>
      <c r="C1486" s="58" t="s">
        <v>4097</v>
      </c>
      <c r="D1486" s="79" t="s">
        <v>4098</v>
      </c>
      <c r="E1486" s="79"/>
    </row>
    <row r="1487" spans="1:5" ht="14.85" customHeight="1" outlineLevel="1" x14ac:dyDescent="0.25">
      <c r="A1487" s="101" t="s">
        <v>1502</v>
      </c>
      <c r="B1487" s="193" t="str">
        <f>"39.0599"</f>
        <v>39.0599</v>
      </c>
      <c r="C1487" s="58" t="s">
        <v>4099</v>
      </c>
      <c r="D1487" s="79" t="s">
        <v>4100</v>
      </c>
      <c r="E1487" s="79"/>
    </row>
    <row r="1488" spans="1:5" ht="14.85" customHeight="1" outlineLevel="1" x14ac:dyDescent="0.25">
      <c r="A1488" s="101" t="s">
        <v>1502</v>
      </c>
      <c r="B1488" s="193" t="str">
        <f>"39.06"</f>
        <v>39.06</v>
      </c>
      <c r="C1488" s="58" t="s">
        <v>4101</v>
      </c>
      <c r="D1488" s="79" t="s">
        <v>4102</v>
      </c>
      <c r="E1488" s="79"/>
    </row>
    <row r="1489" spans="1:5" ht="14.85" customHeight="1" outlineLevel="1" x14ac:dyDescent="0.25">
      <c r="A1489" s="101" t="s">
        <v>1502</v>
      </c>
      <c r="B1489" s="193" t="str">
        <f>"39.0601"</f>
        <v>39.0601</v>
      </c>
      <c r="C1489" s="58" t="s">
        <v>4103</v>
      </c>
      <c r="D1489" s="79" t="s">
        <v>4104</v>
      </c>
      <c r="E1489" s="79"/>
    </row>
    <row r="1490" spans="1:5" ht="14.85" customHeight="1" outlineLevel="1" x14ac:dyDescent="0.25">
      <c r="A1490" s="101" t="s">
        <v>1502</v>
      </c>
      <c r="B1490" s="193" t="str">
        <f>"39.0602"</f>
        <v>39.0602</v>
      </c>
      <c r="C1490" s="58" t="s">
        <v>4105</v>
      </c>
      <c r="D1490" s="79" t="s">
        <v>4106</v>
      </c>
      <c r="E1490" s="79"/>
    </row>
    <row r="1491" spans="1:5" ht="14.85" customHeight="1" outlineLevel="1" x14ac:dyDescent="0.25">
      <c r="A1491" s="101" t="s">
        <v>1502</v>
      </c>
      <c r="B1491" s="193" t="str">
        <f>"39.0604"</f>
        <v>39.0604</v>
      </c>
      <c r="C1491" s="58" t="s">
        <v>4107</v>
      </c>
      <c r="D1491" s="79" t="s">
        <v>4108</v>
      </c>
      <c r="E1491" s="79"/>
    </row>
    <row r="1492" spans="1:5" ht="14.85" customHeight="1" outlineLevel="1" x14ac:dyDescent="0.25">
      <c r="A1492" s="101" t="s">
        <v>1502</v>
      </c>
      <c r="B1492" s="193" t="str">
        <f>"39.0605"</f>
        <v>39.0605</v>
      </c>
      <c r="C1492" s="58" t="s">
        <v>4109</v>
      </c>
      <c r="D1492" s="79" t="s">
        <v>4110</v>
      </c>
      <c r="E1492" s="79"/>
    </row>
    <row r="1493" spans="1:5" ht="14.85" customHeight="1" outlineLevel="1" x14ac:dyDescent="0.25">
      <c r="A1493" s="101" t="s">
        <v>1502</v>
      </c>
      <c r="B1493" s="193" t="str">
        <f>"39.0699"</f>
        <v>39.0699</v>
      </c>
      <c r="C1493" s="58" t="s">
        <v>4111</v>
      </c>
      <c r="D1493" s="79" t="s">
        <v>4112</v>
      </c>
      <c r="E1493" s="79"/>
    </row>
    <row r="1494" spans="1:5" ht="14.85" customHeight="1" outlineLevel="1" x14ac:dyDescent="0.25">
      <c r="A1494" s="101" t="s">
        <v>1502</v>
      </c>
      <c r="B1494" s="193" t="str">
        <f>"39.07"</f>
        <v>39.07</v>
      </c>
      <c r="C1494" s="58" t="s">
        <v>4113</v>
      </c>
      <c r="D1494" s="79" t="s">
        <v>4114</v>
      </c>
      <c r="E1494" s="79"/>
    </row>
    <row r="1495" spans="1:5" ht="14.85" customHeight="1" outlineLevel="1" x14ac:dyDescent="0.25">
      <c r="A1495" s="101" t="s">
        <v>1502</v>
      </c>
      <c r="B1495" s="193" t="str">
        <f>"39.0701"</f>
        <v>39.0701</v>
      </c>
      <c r="C1495" s="58" t="s">
        <v>4115</v>
      </c>
      <c r="D1495" s="79" t="s">
        <v>4116</v>
      </c>
      <c r="E1495" s="79"/>
    </row>
    <row r="1496" spans="1:5" ht="14.85" customHeight="1" outlineLevel="1" x14ac:dyDescent="0.25">
      <c r="A1496" s="101" t="s">
        <v>1502</v>
      </c>
      <c r="B1496" s="193" t="str">
        <f>"39.0702"</f>
        <v>39.0702</v>
      </c>
      <c r="C1496" s="58" t="s">
        <v>4117</v>
      </c>
      <c r="D1496" s="79" t="s">
        <v>4118</v>
      </c>
      <c r="E1496" s="79"/>
    </row>
    <row r="1497" spans="1:5" ht="14.85" customHeight="1" outlineLevel="1" x14ac:dyDescent="0.25">
      <c r="A1497" s="101" t="s">
        <v>1502</v>
      </c>
      <c r="B1497" s="193" t="str">
        <f>"39.0703"</f>
        <v>39.0703</v>
      </c>
      <c r="C1497" s="58" t="s">
        <v>4119</v>
      </c>
      <c r="D1497" s="79" t="s">
        <v>4120</v>
      </c>
      <c r="E1497" s="79"/>
    </row>
    <row r="1498" spans="1:5" ht="14.85" customHeight="1" outlineLevel="1" x14ac:dyDescent="0.25">
      <c r="A1498" s="101" t="s">
        <v>1502</v>
      </c>
      <c r="B1498" s="193" t="str">
        <f>"39.0704"</f>
        <v>39.0704</v>
      </c>
      <c r="C1498" s="58" t="s">
        <v>4121</v>
      </c>
      <c r="D1498" s="79" t="s">
        <v>4122</v>
      </c>
      <c r="E1498" s="79"/>
    </row>
    <row r="1499" spans="1:5" ht="14.85" customHeight="1" outlineLevel="1" x14ac:dyDescent="0.25">
      <c r="A1499" s="101" t="s">
        <v>1502</v>
      </c>
      <c r="B1499" s="193" t="str">
        <f>"39.0705"</f>
        <v>39.0705</v>
      </c>
      <c r="C1499" s="58" t="s">
        <v>4123</v>
      </c>
      <c r="D1499" s="79" t="s">
        <v>4124</v>
      </c>
      <c r="E1499" s="79"/>
    </row>
    <row r="1500" spans="1:5" ht="14.85" customHeight="1" outlineLevel="1" x14ac:dyDescent="0.25">
      <c r="A1500" s="101" t="s">
        <v>1502</v>
      </c>
      <c r="B1500" s="193" t="str">
        <f>"39.0706"</f>
        <v>39.0706</v>
      </c>
      <c r="C1500" s="58" t="s">
        <v>4125</v>
      </c>
      <c r="D1500" s="79" t="s">
        <v>4126</v>
      </c>
      <c r="E1500" s="79"/>
    </row>
    <row r="1501" spans="1:5" ht="14.85" customHeight="1" outlineLevel="1" x14ac:dyDescent="0.25">
      <c r="A1501" s="101" t="s">
        <v>1502</v>
      </c>
      <c r="B1501" s="193" t="str">
        <f>"39.0799"</f>
        <v>39.0799</v>
      </c>
      <c r="C1501" s="58" t="s">
        <v>4127</v>
      </c>
      <c r="D1501" s="79" t="s">
        <v>4128</v>
      </c>
      <c r="E1501" s="79"/>
    </row>
    <row r="1502" spans="1:5" ht="14.85" customHeight="1" outlineLevel="1" x14ac:dyDescent="0.25">
      <c r="A1502" s="101" t="s">
        <v>1502</v>
      </c>
      <c r="B1502" s="193" t="str">
        <f>"39.08"</f>
        <v>39.08</v>
      </c>
      <c r="C1502" s="58" t="s">
        <v>4129</v>
      </c>
      <c r="D1502" s="79" t="s">
        <v>4130</v>
      </c>
      <c r="E1502" s="79"/>
    </row>
    <row r="1503" spans="1:5" ht="14.85" customHeight="1" outlineLevel="1" x14ac:dyDescent="0.25">
      <c r="A1503" s="101" t="s">
        <v>1502</v>
      </c>
      <c r="B1503" s="193" t="str">
        <f>"39.0801"</f>
        <v>39.0801</v>
      </c>
      <c r="C1503" s="58" t="s">
        <v>4131</v>
      </c>
      <c r="D1503" s="79" t="s">
        <v>4132</v>
      </c>
      <c r="E1503" s="79"/>
    </row>
    <row r="1504" spans="1:5" ht="14.85" customHeight="1" outlineLevel="1" x14ac:dyDescent="0.25">
      <c r="A1504" s="101" t="s">
        <v>1502</v>
      </c>
      <c r="B1504" s="193" t="str">
        <f>"39.0802"</f>
        <v>39.0802</v>
      </c>
      <c r="C1504" s="58" t="s">
        <v>4133</v>
      </c>
      <c r="D1504" s="79" t="s">
        <v>4134</v>
      </c>
      <c r="E1504" s="79"/>
    </row>
    <row r="1505" spans="1:5" ht="14.85" customHeight="1" outlineLevel="1" x14ac:dyDescent="0.25">
      <c r="A1505" s="101" t="s">
        <v>1502</v>
      </c>
      <c r="B1505" s="193" t="str">
        <f>"39.0899"</f>
        <v>39.0899</v>
      </c>
      <c r="C1505" s="58" t="s">
        <v>4135</v>
      </c>
      <c r="D1505" s="79" t="s">
        <v>4136</v>
      </c>
      <c r="E1505" s="79"/>
    </row>
    <row r="1506" spans="1:5" ht="14.85" customHeight="1" outlineLevel="1" x14ac:dyDescent="0.25">
      <c r="A1506" s="101" t="s">
        <v>1502</v>
      </c>
      <c r="B1506" s="193" t="str">
        <f>"39.99"</f>
        <v>39.99</v>
      </c>
      <c r="C1506" s="58" t="s">
        <v>4137</v>
      </c>
      <c r="D1506" s="79" t="s">
        <v>4138</v>
      </c>
      <c r="E1506" s="79"/>
    </row>
    <row r="1507" spans="1:5" ht="14.85" customHeight="1" outlineLevel="1" x14ac:dyDescent="0.25">
      <c r="A1507" s="101" t="s">
        <v>1502</v>
      </c>
      <c r="B1507" s="193" t="str">
        <f>"39.9999"</f>
        <v>39.9999</v>
      </c>
      <c r="C1507" s="58" t="s">
        <v>4137</v>
      </c>
      <c r="D1507" s="79" t="s">
        <v>4139</v>
      </c>
      <c r="E1507" s="79"/>
    </row>
    <row r="1508" spans="1:5" ht="14.85" customHeight="1" outlineLevel="1" x14ac:dyDescent="0.25">
      <c r="A1508" s="101" t="s">
        <v>1502</v>
      </c>
      <c r="B1508" s="193" t="str">
        <f>"40"</f>
        <v>40</v>
      </c>
      <c r="C1508" s="58" t="s">
        <v>4140</v>
      </c>
      <c r="D1508" s="79" t="s">
        <v>4141</v>
      </c>
      <c r="E1508" s="79"/>
    </row>
    <row r="1509" spans="1:5" ht="14.85" customHeight="1" outlineLevel="1" x14ac:dyDescent="0.25">
      <c r="A1509" s="101" t="s">
        <v>1502</v>
      </c>
      <c r="B1509" s="193" t="str">
        <f>"40.01"</f>
        <v>40.01</v>
      </c>
      <c r="C1509" s="58" t="s">
        <v>4142</v>
      </c>
      <c r="D1509" s="79" t="s">
        <v>4143</v>
      </c>
      <c r="E1509" s="79"/>
    </row>
    <row r="1510" spans="1:5" ht="14.85" customHeight="1" outlineLevel="1" x14ac:dyDescent="0.25">
      <c r="A1510" s="101" t="s">
        <v>1502</v>
      </c>
      <c r="B1510" s="193" t="str">
        <f>"40.0101"</f>
        <v>40.0101</v>
      </c>
      <c r="C1510" s="58" t="s">
        <v>4142</v>
      </c>
      <c r="D1510" s="79" t="s">
        <v>4144</v>
      </c>
      <c r="E1510" s="79"/>
    </row>
    <row r="1511" spans="1:5" ht="14.85" customHeight="1" outlineLevel="1" x14ac:dyDescent="0.25">
      <c r="A1511" s="101" t="s">
        <v>1502</v>
      </c>
      <c r="B1511" s="193" t="str">
        <f>"40.02"</f>
        <v>40.02</v>
      </c>
      <c r="C1511" s="58" t="s">
        <v>4145</v>
      </c>
      <c r="D1511" s="79" t="s">
        <v>4146</v>
      </c>
      <c r="E1511" s="79"/>
    </row>
    <row r="1512" spans="1:5" ht="14.85" customHeight="1" outlineLevel="1" x14ac:dyDescent="0.25">
      <c r="A1512" s="101" t="s">
        <v>1502</v>
      </c>
      <c r="B1512" s="193" t="str">
        <f>"40.0201"</f>
        <v>40.0201</v>
      </c>
      <c r="C1512" s="58" t="s">
        <v>4147</v>
      </c>
      <c r="D1512" s="79" t="s">
        <v>4148</v>
      </c>
      <c r="E1512" s="79"/>
    </row>
    <row r="1513" spans="1:5" ht="14.85" customHeight="1" outlineLevel="1" x14ac:dyDescent="0.25">
      <c r="A1513" s="101" t="s">
        <v>1502</v>
      </c>
      <c r="B1513" s="193" t="str">
        <f>"40.0202"</f>
        <v>40.0202</v>
      </c>
      <c r="C1513" s="58" t="s">
        <v>4149</v>
      </c>
      <c r="D1513" s="79" t="s">
        <v>4150</v>
      </c>
      <c r="E1513" s="79"/>
    </row>
    <row r="1514" spans="1:5" ht="14.85" customHeight="1" outlineLevel="1" x14ac:dyDescent="0.25">
      <c r="A1514" s="101" t="s">
        <v>1502</v>
      </c>
      <c r="B1514" s="193" t="str">
        <f>"40.0203"</f>
        <v>40.0203</v>
      </c>
      <c r="C1514" s="58" t="s">
        <v>4151</v>
      </c>
      <c r="D1514" s="79" t="s">
        <v>4152</v>
      </c>
      <c r="E1514" s="79"/>
    </row>
    <row r="1515" spans="1:5" ht="14.85" customHeight="1" outlineLevel="1" x14ac:dyDescent="0.25">
      <c r="A1515" s="101" t="s">
        <v>1502</v>
      </c>
      <c r="B1515" s="193" t="str">
        <f>"40.0299"</f>
        <v>40.0299</v>
      </c>
      <c r="C1515" s="58" t="s">
        <v>4153</v>
      </c>
      <c r="D1515" s="79" t="s">
        <v>4154</v>
      </c>
      <c r="E1515" s="79"/>
    </row>
    <row r="1516" spans="1:5" ht="14.85" customHeight="1" outlineLevel="1" x14ac:dyDescent="0.25">
      <c r="A1516" s="101" t="s">
        <v>1502</v>
      </c>
      <c r="B1516" s="193" t="str">
        <f>"40.04"</f>
        <v>40.04</v>
      </c>
      <c r="C1516" s="58" t="s">
        <v>4155</v>
      </c>
      <c r="D1516" s="79" t="s">
        <v>4156</v>
      </c>
      <c r="E1516" s="79"/>
    </row>
    <row r="1517" spans="1:5" ht="14.85" customHeight="1" outlineLevel="1" x14ac:dyDescent="0.25">
      <c r="A1517" s="101" t="s">
        <v>1502</v>
      </c>
      <c r="B1517" s="193" t="str">
        <f>"40.0401"</f>
        <v>40.0401</v>
      </c>
      <c r="C1517" s="58" t="s">
        <v>4157</v>
      </c>
      <c r="D1517" s="79" t="s">
        <v>4158</v>
      </c>
      <c r="E1517" s="79"/>
    </row>
    <row r="1518" spans="1:5" ht="14.85" customHeight="1" outlineLevel="1" x14ac:dyDescent="0.25">
      <c r="A1518" s="101" t="s">
        <v>1502</v>
      </c>
      <c r="B1518" s="193" t="str">
        <f>"40.0402"</f>
        <v>40.0402</v>
      </c>
      <c r="C1518" s="58" t="s">
        <v>4159</v>
      </c>
      <c r="D1518" s="79" t="s">
        <v>4160</v>
      </c>
      <c r="E1518" s="79"/>
    </row>
    <row r="1519" spans="1:5" ht="14.85" customHeight="1" outlineLevel="1" x14ac:dyDescent="0.25">
      <c r="A1519" s="101" t="s">
        <v>1502</v>
      </c>
      <c r="B1519" s="193" t="str">
        <f>"40.0403"</f>
        <v>40.0403</v>
      </c>
      <c r="C1519" s="58" t="s">
        <v>4161</v>
      </c>
      <c r="D1519" s="79" t="s">
        <v>4162</v>
      </c>
      <c r="E1519" s="79"/>
    </row>
    <row r="1520" spans="1:5" ht="14.85" customHeight="1" outlineLevel="1" x14ac:dyDescent="0.25">
      <c r="A1520" s="101" t="s">
        <v>1502</v>
      </c>
      <c r="B1520" s="193" t="str">
        <f>"40.0404"</f>
        <v>40.0404</v>
      </c>
      <c r="C1520" s="58" t="s">
        <v>4163</v>
      </c>
      <c r="D1520" s="79" t="s">
        <v>4164</v>
      </c>
      <c r="E1520" s="79"/>
    </row>
    <row r="1521" spans="1:5" ht="14.85" customHeight="1" outlineLevel="1" x14ac:dyDescent="0.25">
      <c r="A1521" s="101" t="s">
        <v>1502</v>
      </c>
      <c r="B1521" s="193" t="str">
        <f>"40.0499"</f>
        <v>40.0499</v>
      </c>
      <c r="C1521" s="58" t="s">
        <v>4165</v>
      </c>
      <c r="D1521" s="79" t="s">
        <v>4166</v>
      </c>
      <c r="E1521" s="79"/>
    </row>
    <row r="1522" spans="1:5" ht="14.85" customHeight="1" outlineLevel="1" x14ac:dyDescent="0.25">
      <c r="A1522" s="101" t="s">
        <v>1502</v>
      </c>
      <c r="B1522" s="193" t="str">
        <f>"40.05"</f>
        <v>40.05</v>
      </c>
      <c r="C1522" s="58" t="s">
        <v>4167</v>
      </c>
      <c r="D1522" s="79" t="s">
        <v>4168</v>
      </c>
      <c r="E1522" s="79"/>
    </row>
    <row r="1523" spans="1:5" ht="14.85" customHeight="1" outlineLevel="1" x14ac:dyDescent="0.25">
      <c r="A1523" s="101" t="s">
        <v>1502</v>
      </c>
      <c r="B1523" s="193" t="str">
        <f>"40.0501"</f>
        <v>40.0501</v>
      </c>
      <c r="C1523" s="58" t="s">
        <v>4169</v>
      </c>
      <c r="D1523" s="79" t="s">
        <v>4170</v>
      </c>
      <c r="E1523" s="79"/>
    </row>
    <row r="1524" spans="1:5" ht="14.85" customHeight="1" outlineLevel="1" x14ac:dyDescent="0.25">
      <c r="A1524" s="101" t="s">
        <v>1502</v>
      </c>
      <c r="B1524" s="193" t="str">
        <f>"40.0502"</f>
        <v>40.0502</v>
      </c>
      <c r="C1524" s="58" t="s">
        <v>4171</v>
      </c>
      <c r="D1524" s="79" t="s">
        <v>4172</v>
      </c>
      <c r="E1524" s="79"/>
    </row>
    <row r="1525" spans="1:5" ht="14.85" customHeight="1" outlineLevel="1" x14ac:dyDescent="0.25">
      <c r="A1525" s="101" t="s">
        <v>1502</v>
      </c>
      <c r="B1525" s="193" t="str">
        <f>"40.0503"</f>
        <v>40.0503</v>
      </c>
      <c r="C1525" s="58" t="s">
        <v>4173</v>
      </c>
      <c r="D1525" s="79" t="s">
        <v>4174</v>
      </c>
      <c r="E1525" s="79"/>
    </row>
    <row r="1526" spans="1:5" ht="14.85" customHeight="1" outlineLevel="1" x14ac:dyDescent="0.25">
      <c r="A1526" s="101" t="s">
        <v>1502</v>
      </c>
      <c r="B1526" s="193" t="str">
        <f>"40.0504"</f>
        <v>40.0504</v>
      </c>
      <c r="C1526" s="58" t="s">
        <v>4175</v>
      </c>
      <c r="D1526" s="79" t="s">
        <v>4176</v>
      </c>
      <c r="E1526" s="79"/>
    </row>
    <row r="1527" spans="1:5" ht="14.85" customHeight="1" outlineLevel="1" x14ac:dyDescent="0.25">
      <c r="A1527" s="101" t="s">
        <v>1502</v>
      </c>
      <c r="B1527" s="193" t="str">
        <f>"40.0506"</f>
        <v>40.0506</v>
      </c>
      <c r="C1527" s="58" t="s">
        <v>4177</v>
      </c>
      <c r="D1527" s="79" t="s">
        <v>4178</v>
      </c>
      <c r="E1527" s="79"/>
    </row>
    <row r="1528" spans="1:5" ht="14.85" customHeight="1" outlineLevel="1" x14ac:dyDescent="0.25">
      <c r="A1528" s="101" t="s">
        <v>1502</v>
      </c>
      <c r="B1528" s="193" t="str">
        <f>"40.0507"</f>
        <v>40.0507</v>
      </c>
      <c r="C1528" s="58" t="s">
        <v>4179</v>
      </c>
      <c r="D1528" s="79" t="s">
        <v>4180</v>
      </c>
      <c r="E1528" s="79"/>
    </row>
    <row r="1529" spans="1:5" ht="14.85" customHeight="1" outlineLevel="1" x14ac:dyDescent="0.25">
      <c r="A1529" s="101" t="s">
        <v>1502</v>
      </c>
      <c r="B1529" s="193" t="str">
        <f>"40.0508"</f>
        <v>40.0508</v>
      </c>
      <c r="C1529" s="58" t="s">
        <v>4181</v>
      </c>
      <c r="D1529" s="79" t="s">
        <v>4182</v>
      </c>
      <c r="E1529" s="79"/>
    </row>
    <row r="1530" spans="1:5" ht="14.85" customHeight="1" outlineLevel="1" x14ac:dyDescent="0.25">
      <c r="A1530" s="101" t="s">
        <v>1502</v>
      </c>
      <c r="B1530" s="193" t="str">
        <f>"40.0509"</f>
        <v>40.0509</v>
      </c>
      <c r="C1530" s="58" t="s">
        <v>4183</v>
      </c>
      <c r="D1530" s="79" t="s">
        <v>4184</v>
      </c>
      <c r="E1530" s="79"/>
    </row>
    <row r="1531" spans="1:5" ht="14.85" customHeight="1" outlineLevel="1" x14ac:dyDescent="0.25">
      <c r="A1531" s="101" t="s">
        <v>1502</v>
      </c>
      <c r="B1531" s="193" t="str">
        <f>"40.0510"</f>
        <v>40.0510</v>
      </c>
      <c r="C1531" s="58" t="s">
        <v>4185</v>
      </c>
      <c r="D1531" s="79" t="s">
        <v>4186</v>
      </c>
      <c r="E1531" s="79"/>
    </row>
    <row r="1532" spans="1:5" ht="14.85" customHeight="1" outlineLevel="1" x14ac:dyDescent="0.25">
      <c r="A1532" s="101" t="s">
        <v>1502</v>
      </c>
      <c r="B1532" s="193" t="str">
        <f>"40.0511"</f>
        <v>40.0511</v>
      </c>
      <c r="C1532" s="58" t="s">
        <v>4187</v>
      </c>
      <c r="D1532" s="79" t="s">
        <v>4188</v>
      </c>
      <c r="E1532" s="79"/>
    </row>
    <row r="1533" spans="1:5" ht="14.85" customHeight="1" outlineLevel="1" x14ac:dyDescent="0.25">
      <c r="A1533" s="101" t="s">
        <v>1502</v>
      </c>
      <c r="B1533" s="193" t="str">
        <f>"40.0512"</f>
        <v>40.0512</v>
      </c>
      <c r="C1533" s="58" t="s">
        <v>4189</v>
      </c>
      <c r="D1533" s="79" t="s">
        <v>4190</v>
      </c>
      <c r="E1533" s="79"/>
    </row>
    <row r="1534" spans="1:5" ht="14.85" customHeight="1" outlineLevel="1" x14ac:dyDescent="0.25">
      <c r="A1534" s="101" t="s">
        <v>1502</v>
      </c>
      <c r="B1534" s="193" t="str">
        <f>"40.0599"</f>
        <v>40.0599</v>
      </c>
      <c r="C1534" s="58" t="s">
        <v>4191</v>
      </c>
      <c r="D1534" s="79" t="s">
        <v>4192</v>
      </c>
      <c r="E1534" s="79"/>
    </row>
    <row r="1535" spans="1:5" ht="14.85" customHeight="1" outlineLevel="1" x14ac:dyDescent="0.25">
      <c r="A1535" s="101" t="s">
        <v>1502</v>
      </c>
      <c r="B1535" s="193" t="str">
        <f>"40.06"</f>
        <v>40.06</v>
      </c>
      <c r="C1535" s="58" t="s">
        <v>4193</v>
      </c>
      <c r="D1535" s="79" t="s">
        <v>4194</v>
      </c>
      <c r="E1535" s="79"/>
    </row>
    <row r="1536" spans="1:5" ht="14.85" customHeight="1" outlineLevel="1" x14ac:dyDescent="0.25">
      <c r="A1536" s="101" t="s">
        <v>1502</v>
      </c>
      <c r="B1536" s="193" t="str">
        <f>"40.0601"</f>
        <v>40.0601</v>
      </c>
      <c r="C1536" s="58" t="s">
        <v>4195</v>
      </c>
      <c r="D1536" s="79" t="s">
        <v>4196</v>
      </c>
      <c r="E1536" s="79"/>
    </row>
    <row r="1537" spans="1:5" ht="14.85" customHeight="1" outlineLevel="1" x14ac:dyDescent="0.25">
      <c r="A1537" s="101" t="s">
        <v>1502</v>
      </c>
      <c r="B1537" s="193" t="str">
        <f>"40.0602"</f>
        <v>40.0602</v>
      </c>
      <c r="C1537" s="58" t="s">
        <v>4197</v>
      </c>
      <c r="D1537" s="79" t="s">
        <v>4198</v>
      </c>
      <c r="E1537" s="79"/>
    </row>
    <row r="1538" spans="1:5" ht="14.85" customHeight="1" outlineLevel="1" x14ac:dyDescent="0.25">
      <c r="A1538" s="101" t="s">
        <v>1502</v>
      </c>
      <c r="B1538" s="193" t="str">
        <f>"40.0603"</f>
        <v>40.0603</v>
      </c>
      <c r="C1538" s="58" t="s">
        <v>4199</v>
      </c>
      <c r="D1538" s="79" t="s">
        <v>4200</v>
      </c>
      <c r="E1538" s="79"/>
    </row>
    <row r="1539" spans="1:5" ht="14.85" customHeight="1" outlineLevel="1" x14ac:dyDescent="0.25">
      <c r="A1539" s="101" t="s">
        <v>1502</v>
      </c>
      <c r="B1539" s="193" t="str">
        <f>"40.0604"</f>
        <v>40.0604</v>
      </c>
      <c r="C1539" s="58" t="s">
        <v>4201</v>
      </c>
      <c r="D1539" s="79" t="s">
        <v>4202</v>
      </c>
      <c r="E1539" s="79"/>
    </row>
    <row r="1540" spans="1:5" ht="14.85" customHeight="1" outlineLevel="1" x14ac:dyDescent="0.25">
      <c r="A1540" s="101" t="s">
        <v>1502</v>
      </c>
      <c r="B1540" s="193" t="str">
        <f>"40.0605"</f>
        <v>40.0605</v>
      </c>
      <c r="C1540" s="58" t="s">
        <v>4203</v>
      </c>
      <c r="D1540" s="79" t="s">
        <v>4204</v>
      </c>
      <c r="E1540" s="79"/>
    </row>
    <row r="1541" spans="1:5" ht="14.85" customHeight="1" outlineLevel="1" x14ac:dyDescent="0.25">
      <c r="A1541" s="101" t="s">
        <v>1502</v>
      </c>
      <c r="B1541" s="193" t="str">
        <f>"40.0606"</f>
        <v>40.0606</v>
      </c>
      <c r="C1541" s="58" t="s">
        <v>4205</v>
      </c>
      <c r="D1541" s="79" t="s">
        <v>4206</v>
      </c>
      <c r="E1541" s="79"/>
    </row>
    <row r="1542" spans="1:5" ht="14.85" customHeight="1" outlineLevel="1" x14ac:dyDescent="0.25">
      <c r="A1542" s="101" t="s">
        <v>1502</v>
      </c>
      <c r="B1542" s="193" t="str">
        <f>"40.0607"</f>
        <v>40.0607</v>
      </c>
      <c r="C1542" s="58" t="s">
        <v>4207</v>
      </c>
      <c r="D1542" s="79" t="s">
        <v>4208</v>
      </c>
      <c r="E1542" s="79"/>
    </row>
    <row r="1543" spans="1:5" ht="14.85" customHeight="1" outlineLevel="1" x14ac:dyDescent="0.25">
      <c r="A1543" s="101" t="s">
        <v>1502</v>
      </c>
      <c r="B1543" s="193" t="str">
        <f>"40.0699"</f>
        <v>40.0699</v>
      </c>
      <c r="C1543" s="58" t="s">
        <v>4209</v>
      </c>
      <c r="D1543" s="79" t="s">
        <v>4210</v>
      </c>
      <c r="E1543" s="79"/>
    </row>
    <row r="1544" spans="1:5" ht="14.85" customHeight="1" outlineLevel="1" x14ac:dyDescent="0.25">
      <c r="A1544" s="101" t="s">
        <v>1502</v>
      </c>
      <c r="B1544" s="193" t="str">
        <f>"40.08"</f>
        <v>40.08</v>
      </c>
      <c r="C1544" s="58" t="s">
        <v>4211</v>
      </c>
      <c r="D1544" s="79" t="s">
        <v>4212</v>
      </c>
      <c r="E1544" s="79"/>
    </row>
    <row r="1545" spans="1:5" ht="14.85" customHeight="1" outlineLevel="1" x14ac:dyDescent="0.25">
      <c r="A1545" s="101" t="s">
        <v>1502</v>
      </c>
      <c r="B1545" s="193" t="str">
        <f>"40.0801"</f>
        <v>40.0801</v>
      </c>
      <c r="C1545" s="58" t="s">
        <v>4213</v>
      </c>
      <c r="D1545" s="79" t="s">
        <v>4214</v>
      </c>
      <c r="E1545" s="79"/>
    </row>
    <row r="1546" spans="1:5" ht="14.85" customHeight="1" outlineLevel="1" x14ac:dyDescent="0.25">
      <c r="A1546" s="101" t="s">
        <v>1502</v>
      </c>
      <c r="B1546" s="193" t="str">
        <f>"40.0802"</f>
        <v>40.0802</v>
      </c>
      <c r="C1546" s="58" t="s">
        <v>4215</v>
      </c>
      <c r="D1546" s="79" t="s">
        <v>4216</v>
      </c>
      <c r="E1546" s="79"/>
    </row>
    <row r="1547" spans="1:5" ht="14.85" customHeight="1" outlineLevel="1" x14ac:dyDescent="0.25">
      <c r="A1547" s="101" t="s">
        <v>1502</v>
      </c>
      <c r="B1547" s="193" t="str">
        <f>"40.0804"</f>
        <v>40.0804</v>
      </c>
      <c r="C1547" s="58" t="s">
        <v>4217</v>
      </c>
      <c r="D1547" s="79" t="s">
        <v>4218</v>
      </c>
      <c r="E1547" s="79"/>
    </row>
    <row r="1548" spans="1:5" ht="14.85" customHeight="1" outlineLevel="1" x14ac:dyDescent="0.25">
      <c r="A1548" s="101" t="s">
        <v>1502</v>
      </c>
      <c r="B1548" s="193" t="str">
        <f>"40.0805"</f>
        <v>40.0805</v>
      </c>
      <c r="C1548" s="58" t="s">
        <v>4219</v>
      </c>
      <c r="D1548" s="79" t="s">
        <v>4220</v>
      </c>
      <c r="E1548" s="79"/>
    </row>
    <row r="1549" spans="1:5" ht="14.85" customHeight="1" outlineLevel="1" x14ac:dyDescent="0.25">
      <c r="A1549" s="101" t="s">
        <v>1502</v>
      </c>
      <c r="B1549" s="193" t="str">
        <f>"40.0806"</f>
        <v>40.0806</v>
      </c>
      <c r="C1549" s="58" t="s">
        <v>4221</v>
      </c>
      <c r="D1549" s="79" t="s">
        <v>4222</v>
      </c>
      <c r="E1549" s="79"/>
    </row>
    <row r="1550" spans="1:5" ht="14.85" customHeight="1" outlineLevel="1" x14ac:dyDescent="0.25">
      <c r="A1550" s="101" t="s">
        <v>1502</v>
      </c>
      <c r="B1550" s="193" t="str">
        <f>"40.0807"</f>
        <v>40.0807</v>
      </c>
      <c r="C1550" s="58" t="s">
        <v>4223</v>
      </c>
      <c r="D1550" s="79" t="s">
        <v>4224</v>
      </c>
      <c r="E1550" s="79"/>
    </row>
    <row r="1551" spans="1:5" ht="14.85" customHeight="1" outlineLevel="1" x14ac:dyDescent="0.25">
      <c r="A1551" s="101" t="s">
        <v>1502</v>
      </c>
      <c r="B1551" s="193" t="str">
        <f>"40.0808"</f>
        <v>40.0808</v>
      </c>
      <c r="C1551" s="58" t="s">
        <v>4225</v>
      </c>
      <c r="D1551" s="79" t="s">
        <v>4226</v>
      </c>
      <c r="E1551" s="79"/>
    </row>
    <row r="1552" spans="1:5" ht="14.85" customHeight="1" outlineLevel="1" x14ac:dyDescent="0.25">
      <c r="A1552" s="101" t="s">
        <v>1502</v>
      </c>
      <c r="B1552" s="193" t="str">
        <f>"40.0809"</f>
        <v>40.0809</v>
      </c>
      <c r="C1552" s="58" t="s">
        <v>4227</v>
      </c>
      <c r="D1552" s="79" t="s">
        <v>4228</v>
      </c>
      <c r="E1552" s="79"/>
    </row>
    <row r="1553" spans="1:5" ht="14.85" customHeight="1" outlineLevel="1" x14ac:dyDescent="0.25">
      <c r="A1553" s="101" t="s">
        <v>1502</v>
      </c>
      <c r="B1553" s="193" t="str">
        <f>"40.0810"</f>
        <v>40.0810</v>
      </c>
      <c r="C1553" s="58" t="s">
        <v>4229</v>
      </c>
      <c r="D1553" s="79" t="s">
        <v>4230</v>
      </c>
      <c r="E1553" s="79"/>
    </row>
    <row r="1554" spans="1:5" ht="14.85" customHeight="1" outlineLevel="1" x14ac:dyDescent="0.25">
      <c r="A1554" s="101" t="s">
        <v>1502</v>
      </c>
      <c r="B1554" s="193" t="str">
        <f>"40.0899"</f>
        <v>40.0899</v>
      </c>
      <c r="C1554" s="58" t="s">
        <v>4231</v>
      </c>
      <c r="D1554" s="79" t="s">
        <v>4232</v>
      </c>
      <c r="E1554" s="79"/>
    </row>
    <row r="1555" spans="1:5" ht="14.85" customHeight="1" outlineLevel="1" x14ac:dyDescent="0.25">
      <c r="A1555" s="101" t="s">
        <v>1502</v>
      </c>
      <c r="B1555" s="193" t="str">
        <f>"40.10"</f>
        <v>40.10</v>
      </c>
      <c r="C1555" s="58" t="s">
        <v>4233</v>
      </c>
      <c r="D1555" s="79" t="s">
        <v>4234</v>
      </c>
      <c r="E1555" s="79"/>
    </row>
    <row r="1556" spans="1:5" ht="14.85" customHeight="1" outlineLevel="1" x14ac:dyDescent="0.25">
      <c r="A1556" s="101" t="s">
        <v>1502</v>
      </c>
      <c r="B1556" s="193" t="str">
        <f>"40.1001"</f>
        <v>40.1001</v>
      </c>
      <c r="C1556" s="58" t="s">
        <v>4235</v>
      </c>
      <c r="D1556" s="79" t="s">
        <v>4236</v>
      </c>
      <c r="E1556" s="79"/>
    </row>
    <row r="1557" spans="1:5" ht="14.85" customHeight="1" outlineLevel="1" x14ac:dyDescent="0.25">
      <c r="A1557" s="101" t="s">
        <v>1502</v>
      </c>
      <c r="B1557" s="193" t="str">
        <f>"40.1002"</f>
        <v>40.1002</v>
      </c>
      <c r="C1557" s="58" t="s">
        <v>4237</v>
      </c>
      <c r="D1557" s="79" t="s">
        <v>4238</v>
      </c>
      <c r="E1557" s="79"/>
    </row>
    <row r="1558" spans="1:5" ht="14.85" customHeight="1" outlineLevel="1" x14ac:dyDescent="0.25">
      <c r="A1558" s="101" t="s">
        <v>1502</v>
      </c>
      <c r="B1558" s="193" t="str">
        <f>"40.1099"</f>
        <v>40.1099</v>
      </c>
      <c r="C1558" s="58" t="s">
        <v>4239</v>
      </c>
      <c r="D1558" s="79" t="s">
        <v>4240</v>
      </c>
      <c r="E1558" s="79"/>
    </row>
    <row r="1559" spans="1:5" ht="14.85" customHeight="1" outlineLevel="1" x14ac:dyDescent="0.25">
      <c r="A1559" s="101" t="s">
        <v>1502</v>
      </c>
      <c r="B1559" s="193" t="str">
        <f>"40.11"</f>
        <v>40.11</v>
      </c>
      <c r="C1559" s="58" t="s">
        <v>4241</v>
      </c>
      <c r="D1559" s="79" t="s">
        <v>4242</v>
      </c>
      <c r="E1559" s="79"/>
    </row>
    <row r="1560" spans="1:5" ht="14.85" customHeight="1" outlineLevel="1" x14ac:dyDescent="0.25">
      <c r="A1560" s="101" t="s">
        <v>1502</v>
      </c>
      <c r="B1560" s="193" t="str">
        <f>"40.1101"</f>
        <v>40.1101</v>
      </c>
      <c r="C1560" s="58" t="s">
        <v>4241</v>
      </c>
      <c r="D1560" s="79" t="s">
        <v>4243</v>
      </c>
      <c r="E1560" s="79"/>
    </row>
    <row r="1561" spans="1:5" ht="14.85" customHeight="1" outlineLevel="1" x14ac:dyDescent="0.25">
      <c r="A1561" s="101" t="s">
        <v>1502</v>
      </c>
      <c r="B1561" s="193" t="str">
        <f>"40.99"</f>
        <v>40.99</v>
      </c>
      <c r="C1561" s="58" t="s">
        <v>4244</v>
      </c>
      <c r="D1561" s="79" t="s">
        <v>4245</v>
      </c>
      <c r="E1561" s="79"/>
    </row>
    <row r="1562" spans="1:5" ht="14.85" customHeight="1" outlineLevel="1" x14ac:dyDescent="0.25">
      <c r="A1562" s="101" t="s">
        <v>1502</v>
      </c>
      <c r="B1562" s="193" t="str">
        <f>"40.9999"</f>
        <v>40.9999</v>
      </c>
      <c r="C1562" s="58" t="s">
        <v>4244</v>
      </c>
      <c r="D1562" s="79" t="s">
        <v>4246</v>
      </c>
      <c r="E1562" s="79"/>
    </row>
    <row r="1563" spans="1:5" ht="14.85" customHeight="1" outlineLevel="1" x14ac:dyDescent="0.25">
      <c r="A1563" s="101" t="s">
        <v>1502</v>
      </c>
      <c r="B1563" s="193" t="str">
        <f>"41"</f>
        <v>41</v>
      </c>
      <c r="C1563" s="58" t="s">
        <v>4247</v>
      </c>
      <c r="D1563" s="79" t="s">
        <v>4248</v>
      </c>
      <c r="E1563" s="79"/>
    </row>
    <row r="1564" spans="1:5" ht="14.85" customHeight="1" outlineLevel="1" x14ac:dyDescent="0.25">
      <c r="A1564" s="101" t="s">
        <v>1502</v>
      </c>
      <c r="B1564" s="193" t="str">
        <f>"41.00"</f>
        <v>41.00</v>
      </c>
      <c r="C1564" s="58" t="s">
        <v>4249</v>
      </c>
      <c r="D1564" s="79" t="s">
        <v>4250</v>
      </c>
      <c r="E1564" s="79"/>
    </row>
    <row r="1565" spans="1:5" ht="14.85" customHeight="1" outlineLevel="1" x14ac:dyDescent="0.25">
      <c r="A1565" s="101" t="s">
        <v>1502</v>
      </c>
      <c r="B1565" s="193" t="str">
        <f>"41.0000"</f>
        <v>41.0000</v>
      </c>
      <c r="C1565" s="58" t="s">
        <v>4249</v>
      </c>
      <c r="D1565" s="79" t="s">
        <v>4251</v>
      </c>
      <c r="E1565" s="79"/>
    </row>
    <row r="1566" spans="1:5" ht="14.85" customHeight="1" outlineLevel="1" x14ac:dyDescent="0.25">
      <c r="A1566" s="101" t="s">
        <v>1502</v>
      </c>
      <c r="B1566" s="193" t="str">
        <f>"41.01"</f>
        <v>41.01</v>
      </c>
      <c r="C1566" s="58" t="s">
        <v>4252</v>
      </c>
      <c r="D1566" s="79" t="s">
        <v>4253</v>
      </c>
      <c r="E1566" s="79"/>
    </row>
    <row r="1567" spans="1:5" ht="14.85" customHeight="1" outlineLevel="1" x14ac:dyDescent="0.25">
      <c r="A1567" s="101" t="s">
        <v>1502</v>
      </c>
      <c r="B1567" s="193" t="str">
        <f>"41.0101"</f>
        <v>41.0101</v>
      </c>
      <c r="C1567" s="58" t="s">
        <v>4254</v>
      </c>
      <c r="D1567" s="79" t="s">
        <v>4255</v>
      </c>
      <c r="E1567" s="79"/>
    </row>
    <row r="1568" spans="1:5" ht="14.85" customHeight="1" outlineLevel="1" x14ac:dyDescent="0.25">
      <c r="A1568" s="101" t="s">
        <v>1502</v>
      </c>
      <c r="B1568" s="193" t="str">
        <f>"41.02"</f>
        <v>41.02</v>
      </c>
      <c r="C1568" s="58" t="s">
        <v>4256</v>
      </c>
      <c r="D1568" s="79" t="s">
        <v>4257</v>
      </c>
      <c r="E1568" s="79"/>
    </row>
    <row r="1569" spans="1:5" ht="14.85" customHeight="1" outlineLevel="1" x14ac:dyDescent="0.25">
      <c r="A1569" s="101" t="s">
        <v>1502</v>
      </c>
      <c r="B1569" s="193" t="str">
        <f>"41.0204"</f>
        <v>41.0204</v>
      </c>
      <c r="C1569" s="58" t="s">
        <v>4258</v>
      </c>
      <c r="D1569" s="79" t="s">
        <v>4259</v>
      </c>
      <c r="E1569" s="79"/>
    </row>
    <row r="1570" spans="1:5" ht="14.85" customHeight="1" outlineLevel="1" x14ac:dyDescent="0.25">
      <c r="A1570" s="101" t="s">
        <v>1502</v>
      </c>
      <c r="B1570" s="193" t="str">
        <f>"41.0205"</f>
        <v>41.0205</v>
      </c>
      <c r="C1570" s="58" t="s">
        <v>4260</v>
      </c>
      <c r="D1570" s="79" t="s">
        <v>4261</v>
      </c>
      <c r="E1570" s="79"/>
    </row>
    <row r="1571" spans="1:5" ht="14.85" customHeight="1" outlineLevel="1" x14ac:dyDescent="0.25">
      <c r="A1571" s="101" t="s">
        <v>1502</v>
      </c>
      <c r="B1571" s="193" t="str">
        <f>"41.0299"</f>
        <v>41.0299</v>
      </c>
      <c r="C1571" s="58" t="s">
        <v>4262</v>
      </c>
      <c r="D1571" s="79" t="s">
        <v>4263</v>
      </c>
      <c r="E1571" s="79"/>
    </row>
    <row r="1572" spans="1:5" ht="14.85" customHeight="1" outlineLevel="1" x14ac:dyDescent="0.25">
      <c r="A1572" s="101" t="s">
        <v>1502</v>
      </c>
      <c r="B1572" s="193" t="str">
        <f>"41.03"</f>
        <v>41.03</v>
      </c>
      <c r="C1572" s="58" t="s">
        <v>4264</v>
      </c>
      <c r="D1572" s="79" t="s">
        <v>4265</v>
      </c>
      <c r="E1572" s="79"/>
    </row>
    <row r="1573" spans="1:5" ht="14.85" customHeight="1" outlineLevel="1" x14ac:dyDescent="0.25">
      <c r="A1573" s="101" t="s">
        <v>1502</v>
      </c>
      <c r="B1573" s="193" t="str">
        <f>"41.0301"</f>
        <v>41.0301</v>
      </c>
      <c r="C1573" s="58" t="s">
        <v>4266</v>
      </c>
      <c r="D1573" s="79" t="s">
        <v>4267</v>
      </c>
      <c r="E1573" s="79"/>
    </row>
    <row r="1574" spans="1:5" ht="14.85" customHeight="1" outlineLevel="1" x14ac:dyDescent="0.25">
      <c r="A1574" s="101" t="s">
        <v>1502</v>
      </c>
      <c r="B1574" s="193" t="str">
        <f>"41.0303"</f>
        <v>41.0303</v>
      </c>
      <c r="C1574" s="58" t="s">
        <v>4268</v>
      </c>
      <c r="D1574" s="79" t="s">
        <v>4269</v>
      </c>
      <c r="E1574" s="79"/>
    </row>
    <row r="1575" spans="1:5" ht="14.85" customHeight="1" outlineLevel="1" x14ac:dyDescent="0.25">
      <c r="A1575" s="101" t="s">
        <v>1502</v>
      </c>
      <c r="B1575" s="193" t="str">
        <f>"41.0399"</f>
        <v>41.0399</v>
      </c>
      <c r="C1575" s="58" t="s">
        <v>4270</v>
      </c>
      <c r="D1575" s="79" t="s">
        <v>4271</v>
      </c>
      <c r="E1575" s="79"/>
    </row>
    <row r="1576" spans="1:5" ht="14.85" customHeight="1" outlineLevel="1" x14ac:dyDescent="0.25">
      <c r="A1576" s="101" t="s">
        <v>1502</v>
      </c>
      <c r="B1576" s="193" t="str">
        <f>"41.99"</f>
        <v>41.99</v>
      </c>
      <c r="C1576" s="58" t="s">
        <v>4272</v>
      </c>
      <c r="D1576" s="79" t="s">
        <v>4273</v>
      </c>
      <c r="E1576" s="79"/>
    </row>
    <row r="1577" spans="1:5" ht="14.85" customHeight="1" outlineLevel="1" x14ac:dyDescent="0.25">
      <c r="A1577" s="101" t="s">
        <v>1502</v>
      </c>
      <c r="B1577" s="193" t="str">
        <f>"41.9999"</f>
        <v>41.9999</v>
      </c>
      <c r="C1577" s="58" t="s">
        <v>4272</v>
      </c>
      <c r="D1577" s="79" t="s">
        <v>4274</v>
      </c>
      <c r="E1577" s="79"/>
    </row>
    <row r="1578" spans="1:5" ht="14.85" customHeight="1" outlineLevel="1" x14ac:dyDescent="0.25">
      <c r="A1578" s="101" t="s">
        <v>1502</v>
      </c>
      <c r="B1578" s="193" t="str">
        <f>"42"</f>
        <v>42</v>
      </c>
      <c r="C1578" s="58" t="s">
        <v>4275</v>
      </c>
      <c r="D1578" s="79" t="s">
        <v>4276</v>
      </c>
      <c r="E1578" s="79"/>
    </row>
    <row r="1579" spans="1:5" ht="14.85" customHeight="1" outlineLevel="1" x14ac:dyDescent="0.25">
      <c r="A1579" s="101" t="s">
        <v>1502</v>
      </c>
      <c r="B1579" s="193" t="str">
        <f>"42.01"</f>
        <v>42.01</v>
      </c>
      <c r="C1579" s="58" t="s">
        <v>4277</v>
      </c>
      <c r="D1579" s="79" t="s">
        <v>4278</v>
      </c>
      <c r="E1579" s="79"/>
    </row>
    <row r="1580" spans="1:5" ht="14.85" customHeight="1" outlineLevel="1" x14ac:dyDescent="0.25">
      <c r="A1580" s="101" t="s">
        <v>1502</v>
      </c>
      <c r="B1580" s="193" t="str">
        <f>"42.0101"</f>
        <v>42.0101</v>
      </c>
      <c r="C1580" s="58" t="s">
        <v>4277</v>
      </c>
      <c r="D1580" s="79" t="s">
        <v>4279</v>
      </c>
      <c r="E1580" s="79"/>
    </row>
    <row r="1581" spans="1:5" ht="14.85" customHeight="1" outlineLevel="1" x14ac:dyDescent="0.25">
      <c r="A1581" s="101" t="s">
        <v>1502</v>
      </c>
      <c r="B1581" s="193" t="str">
        <f>"42.27"</f>
        <v>42.27</v>
      </c>
      <c r="C1581" s="58" t="s">
        <v>4280</v>
      </c>
      <c r="D1581" s="79" t="s">
        <v>4281</v>
      </c>
      <c r="E1581" s="79"/>
    </row>
    <row r="1582" spans="1:5" ht="14.85" customHeight="1" outlineLevel="1" x14ac:dyDescent="0.25">
      <c r="A1582" s="101" t="s">
        <v>1502</v>
      </c>
      <c r="B1582" s="193" t="str">
        <f>"42.2701"</f>
        <v>42.2701</v>
      </c>
      <c r="C1582" s="58" t="s">
        <v>4282</v>
      </c>
      <c r="D1582" s="79" t="s">
        <v>4283</v>
      </c>
      <c r="E1582" s="79"/>
    </row>
    <row r="1583" spans="1:5" ht="14.85" customHeight="1" outlineLevel="1" x14ac:dyDescent="0.25">
      <c r="A1583" s="101" t="s">
        <v>1502</v>
      </c>
      <c r="B1583" s="193" t="str">
        <f>"42.2702"</f>
        <v>42.2702</v>
      </c>
      <c r="C1583" s="58" t="s">
        <v>4284</v>
      </c>
      <c r="D1583" s="79" t="s">
        <v>4285</v>
      </c>
      <c r="E1583" s="79"/>
    </row>
    <row r="1584" spans="1:5" ht="14.85" customHeight="1" outlineLevel="1" x14ac:dyDescent="0.25">
      <c r="A1584" s="101" t="s">
        <v>1502</v>
      </c>
      <c r="B1584" s="193" t="str">
        <f>"42.2703"</f>
        <v>42.2703</v>
      </c>
      <c r="C1584" s="58" t="s">
        <v>4286</v>
      </c>
      <c r="D1584" s="79" t="s">
        <v>4287</v>
      </c>
      <c r="E1584" s="79"/>
    </row>
    <row r="1585" spans="1:5" ht="14.85" customHeight="1" outlineLevel="1" x14ac:dyDescent="0.25">
      <c r="A1585" s="101" t="s">
        <v>1502</v>
      </c>
      <c r="B1585" s="193" t="str">
        <f>"42.2704"</f>
        <v>42.2704</v>
      </c>
      <c r="C1585" s="58" t="s">
        <v>4288</v>
      </c>
      <c r="D1585" s="79" t="s">
        <v>4289</v>
      </c>
      <c r="E1585" s="79"/>
    </row>
    <row r="1586" spans="1:5" ht="14.85" customHeight="1" outlineLevel="1" x14ac:dyDescent="0.25">
      <c r="A1586" s="101" t="s">
        <v>1502</v>
      </c>
      <c r="B1586" s="193" t="str">
        <f>"42.2705"</f>
        <v>42.2705</v>
      </c>
      <c r="C1586" s="58" t="s">
        <v>4290</v>
      </c>
      <c r="D1586" s="79" t="s">
        <v>4291</v>
      </c>
      <c r="E1586" s="79"/>
    </row>
    <row r="1587" spans="1:5" ht="14.85" customHeight="1" outlineLevel="1" x14ac:dyDescent="0.25">
      <c r="A1587" s="101" t="s">
        <v>1502</v>
      </c>
      <c r="B1587" s="193" t="str">
        <f>"42.2706"</f>
        <v>42.2706</v>
      </c>
      <c r="C1587" s="58" t="s">
        <v>4292</v>
      </c>
      <c r="D1587" s="79" t="s">
        <v>4293</v>
      </c>
      <c r="E1587" s="79"/>
    </row>
    <row r="1588" spans="1:5" ht="14.85" customHeight="1" outlineLevel="1" x14ac:dyDescent="0.25">
      <c r="A1588" s="101" t="s">
        <v>1502</v>
      </c>
      <c r="B1588" s="193" t="str">
        <f>"42.2707"</f>
        <v>42.2707</v>
      </c>
      <c r="C1588" s="58" t="s">
        <v>4294</v>
      </c>
      <c r="D1588" s="79" t="s">
        <v>4295</v>
      </c>
      <c r="E1588" s="79"/>
    </row>
    <row r="1589" spans="1:5" ht="14.85" customHeight="1" outlineLevel="1" x14ac:dyDescent="0.25">
      <c r="A1589" s="101" t="s">
        <v>1502</v>
      </c>
      <c r="B1589" s="193" t="str">
        <f>"42.2708"</f>
        <v>42.2708</v>
      </c>
      <c r="C1589" s="58" t="s">
        <v>4296</v>
      </c>
      <c r="D1589" s="79" t="s">
        <v>4297</v>
      </c>
      <c r="E1589" s="79"/>
    </row>
    <row r="1590" spans="1:5" ht="14.85" customHeight="1" outlineLevel="1" x14ac:dyDescent="0.25">
      <c r="A1590" s="101" t="s">
        <v>1502</v>
      </c>
      <c r="B1590" s="193" t="str">
        <f>"42.2709"</f>
        <v>42.2709</v>
      </c>
      <c r="C1590" s="58" t="s">
        <v>4298</v>
      </c>
      <c r="D1590" s="79" t="s">
        <v>4299</v>
      </c>
      <c r="E1590" s="79"/>
    </row>
    <row r="1591" spans="1:5" ht="14.85" customHeight="1" outlineLevel="1" x14ac:dyDescent="0.25">
      <c r="A1591" s="101" t="s">
        <v>1502</v>
      </c>
      <c r="B1591" s="193" t="str">
        <f>"42.2710"</f>
        <v>42.2710</v>
      </c>
      <c r="C1591" s="58" t="s">
        <v>4300</v>
      </c>
      <c r="D1591" s="79" t="s">
        <v>4301</v>
      </c>
      <c r="E1591" s="79"/>
    </row>
    <row r="1592" spans="1:5" ht="14.85" customHeight="1" outlineLevel="1" x14ac:dyDescent="0.25">
      <c r="A1592" s="101" t="s">
        <v>1502</v>
      </c>
      <c r="B1592" s="193" t="str">
        <f>"42.2799"</f>
        <v>42.2799</v>
      </c>
      <c r="C1592" s="58" t="s">
        <v>4302</v>
      </c>
      <c r="D1592" s="79" t="s">
        <v>4303</v>
      </c>
      <c r="E1592" s="79"/>
    </row>
    <row r="1593" spans="1:5" ht="14.85" customHeight="1" outlineLevel="1" x14ac:dyDescent="0.25">
      <c r="A1593" s="101" t="s">
        <v>1502</v>
      </c>
      <c r="B1593" s="193" t="str">
        <f>"42.28"</f>
        <v>42.28</v>
      </c>
      <c r="C1593" s="58" t="s">
        <v>4304</v>
      </c>
      <c r="D1593" s="79" t="s">
        <v>4305</v>
      </c>
      <c r="E1593" s="79"/>
    </row>
    <row r="1594" spans="1:5" ht="14.85" customHeight="1" outlineLevel="1" x14ac:dyDescent="0.25">
      <c r="A1594" s="101" t="s">
        <v>1502</v>
      </c>
      <c r="B1594" s="193" t="str">
        <f>"42.2801"</f>
        <v>42.2801</v>
      </c>
      <c r="C1594" s="58" t="s">
        <v>4306</v>
      </c>
      <c r="D1594" s="79" t="s">
        <v>4307</v>
      </c>
      <c r="E1594" s="79"/>
    </row>
    <row r="1595" spans="1:5" ht="14.85" customHeight="1" outlineLevel="1" x14ac:dyDescent="0.25">
      <c r="A1595" s="101" t="s">
        <v>1502</v>
      </c>
      <c r="B1595" s="193" t="str">
        <f>"42.2802"</f>
        <v>42.2802</v>
      </c>
      <c r="C1595" s="58" t="s">
        <v>4308</v>
      </c>
      <c r="D1595" s="79" t="s">
        <v>4309</v>
      </c>
      <c r="E1595" s="79"/>
    </row>
    <row r="1596" spans="1:5" ht="14.85" customHeight="1" outlineLevel="1" x14ac:dyDescent="0.25">
      <c r="A1596" s="101" t="s">
        <v>1502</v>
      </c>
      <c r="B1596" s="193" t="str">
        <f>"42.2803"</f>
        <v>42.2803</v>
      </c>
      <c r="C1596" s="58" t="s">
        <v>4310</v>
      </c>
      <c r="D1596" s="79" t="s">
        <v>4311</v>
      </c>
      <c r="E1596" s="79"/>
    </row>
    <row r="1597" spans="1:5" ht="14.85" customHeight="1" outlineLevel="1" x14ac:dyDescent="0.25">
      <c r="A1597" s="101" t="s">
        <v>1502</v>
      </c>
      <c r="B1597" s="193" t="str">
        <f>"42.2804"</f>
        <v>42.2804</v>
      </c>
      <c r="C1597" s="58" t="s">
        <v>4312</v>
      </c>
      <c r="D1597" s="79" t="s">
        <v>4313</v>
      </c>
      <c r="E1597" s="79"/>
    </row>
    <row r="1598" spans="1:5" ht="14.85" customHeight="1" outlineLevel="1" x14ac:dyDescent="0.25">
      <c r="A1598" s="101" t="s">
        <v>1502</v>
      </c>
      <c r="B1598" s="193" t="str">
        <f>"42.2805"</f>
        <v>42.2805</v>
      </c>
      <c r="C1598" s="58" t="s">
        <v>4314</v>
      </c>
      <c r="D1598" s="79" t="s">
        <v>4315</v>
      </c>
      <c r="E1598" s="79"/>
    </row>
    <row r="1599" spans="1:5" ht="14.85" customHeight="1" outlineLevel="1" x14ac:dyDescent="0.25">
      <c r="A1599" s="101" t="s">
        <v>1502</v>
      </c>
      <c r="B1599" s="193" t="str">
        <f>"42.2806"</f>
        <v>42.2806</v>
      </c>
      <c r="C1599" s="58" t="s">
        <v>4316</v>
      </c>
      <c r="D1599" s="79" t="s">
        <v>4317</v>
      </c>
      <c r="E1599" s="79"/>
    </row>
    <row r="1600" spans="1:5" ht="14.85" customHeight="1" outlineLevel="1" x14ac:dyDescent="0.25">
      <c r="A1600" s="101" t="s">
        <v>1502</v>
      </c>
      <c r="B1600" s="193" t="str">
        <f>"42.2807"</f>
        <v>42.2807</v>
      </c>
      <c r="C1600" s="58" t="s">
        <v>4318</v>
      </c>
      <c r="D1600" s="79" t="s">
        <v>4319</v>
      </c>
      <c r="E1600" s="79"/>
    </row>
    <row r="1601" spans="1:5" ht="14.85" customHeight="1" outlineLevel="1" x14ac:dyDescent="0.25">
      <c r="A1601" s="101" t="s">
        <v>1502</v>
      </c>
      <c r="B1601" s="193" t="str">
        <f>"42.2808"</f>
        <v>42.2808</v>
      </c>
      <c r="C1601" s="58" t="s">
        <v>4320</v>
      </c>
      <c r="D1601" s="79" t="s">
        <v>4321</v>
      </c>
      <c r="E1601" s="79"/>
    </row>
    <row r="1602" spans="1:5" ht="14.85" customHeight="1" outlineLevel="1" x14ac:dyDescent="0.25">
      <c r="A1602" s="101" t="s">
        <v>1502</v>
      </c>
      <c r="B1602" s="193" t="str">
        <f>"42.2809"</f>
        <v>42.2809</v>
      </c>
      <c r="C1602" s="58" t="s">
        <v>4322</v>
      </c>
      <c r="D1602" s="79" t="s">
        <v>4323</v>
      </c>
      <c r="E1602" s="79"/>
    </row>
    <row r="1603" spans="1:5" ht="14.85" customHeight="1" outlineLevel="1" x14ac:dyDescent="0.25">
      <c r="A1603" s="101" t="s">
        <v>1502</v>
      </c>
      <c r="B1603" s="193" t="str">
        <f>"42.2810"</f>
        <v>42.2810</v>
      </c>
      <c r="C1603" s="58" t="s">
        <v>4324</v>
      </c>
      <c r="D1603" s="79" t="s">
        <v>4325</v>
      </c>
      <c r="E1603" s="79"/>
    </row>
    <row r="1604" spans="1:5" ht="14.85" customHeight="1" outlineLevel="1" x14ac:dyDescent="0.25">
      <c r="A1604" s="101" t="s">
        <v>1502</v>
      </c>
      <c r="B1604" s="193" t="str">
        <f>"42.2811"</f>
        <v>42.2811</v>
      </c>
      <c r="C1604" s="58" t="s">
        <v>4326</v>
      </c>
      <c r="D1604" s="79" t="s">
        <v>4327</v>
      </c>
      <c r="E1604" s="79"/>
    </row>
    <row r="1605" spans="1:5" ht="14.85" customHeight="1" outlineLevel="1" x14ac:dyDescent="0.25">
      <c r="A1605" s="101" t="s">
        <v>1502</v>
      </c>
      <c r="B1605" s="193" t="str">
        <f>"42.2812"</f>
        <v>42.2812</v>
      </c>
      <c r="C1605" s="58" t="s">
        <v>4328</v>
      </c>
      <c r="D1605" s="79" t="s">
        <v>4329</v>
      </c>
      <c r="E1605" s="79"/>
    </row>
    <row r="1606" spans="1:5" ht="14.85" customHeight="1" outlineLevel="1" x14ac:dyDescent="0.25">
      <c r="A1606" s="101" t="s">
        <v>1502</v>
      </c>
      <c r="B1606" s="193" t="str">
        <f>"42.2813"</f>
        <v>42.2813</v>
      </c>
      <c r="C1606" s="58" t="s">
        <v>4330</v>
      </c>
      <c r="D1606" s="79" t="s">
        <v>4331</v>
      </c>
      <c r="E1606" s="79"/>
    </row>
    <row r="1607" spans="1:5" ht="14.85" customHeight="1" outlineLevel="1" x14ac:dyDescent="0.25">
      <c r="A1607" s="101" t="s">
        <v>1502</v>
      </c>
      <c r="B1607" s="193" t="str">
        <f>"42.2814"</f>
        <v>42.2814</v>
      </c>
      <c r="C1607" s="58" t="s">
        <v>4332</v>
      </c>
      <c r="D1607" s="79" t="s">
        <v>4333</v>
      </c>
      <c r="E1607" s="79"/>
    </row>
    <row r="1608" spans="1:5" ht="14.85" customHeight="1" outlineLevel="1" x14ac:dyDescent="0.25">
      <c r="A1608" s="101" t="s">
        <v>1502</v>
      </c>
      <c r="B1608" s="193" t="str">
        <f>"42.2815"</f>
        <v>42.2815</v>
      </c>
      <c r="C1608" s="58" t="s">
        <v>4334</v>
      </c>
      <c r="D1608" s="79" t="s">
        <v>4335</v>
      </c>
      <c r="E1608" s="79"/>
    </row>
    <row r="1609" spans="1:5" ht="14.85" customHeight="1" outlineLevel="1" x14ac:dyDescent="0.25">
      <c r="A1609" s="101" t="s">
        <v>1502</v>
      </c>
      <c r="B1609" s="193" t="str">
        <f>"42.2816"</f>
        <v>42.2816</v>
      </c>
      <c r="C1609" s="58" t="s">
        <v>4336</v>
      </c>
      <c r="D1609" s="79" t="s">
        <v>4337</v>
      </c>
      <c r="E1609" s="79"/>
    </row>
    <row r="1610" spans="1:5" ht="14.85" customHeight="1" outlineLevel="1" x14ac:dyDescent="0.25">
      <c r="A1610" s="101" t="s">
        <v>1502</v>
      </c>
      <c r="B1610" s="193" t="str">
        <f>"42.2817"</f>
        <v>42.2817</v>
      </c>
      <c r="C1610" s="58" t="s">
        <v>4338</v>
      </c>
      <c r="D1610" s="79" t="s">
        <v>4339</v>
      </c>
      <c r="E1610" s="79"/>
    </row>
    <row r="1611" spans="1:5" ht="14.85" customHeight="1" outlineLevel="1" x14ac:dyDescent="0.25">
      <c r="A1611" s="101" t="s">
        <v>1502</v>
      </c>
      <c r="B1611" s="193" t="str">
        <f>"42.2899"</f>
        <v>42.2899</v>
      </c>
      <c r="C1611" s="58" t="s">
        <v>4340</v>
      </c>
      <c r="D1611" s="79" t="s">
        <v>4341</v>
      </c>
      <c r="E1611" s="79"/>
    </row>
    <row r="1612" spans="1:5" ht="14.85" customHeight="1" outlineLevel="1" x14ac:dyDescent="0.25">
      <c r="A1612" s="101" t="s">
        <v>1502</v>
      </c>
      <c r="B1612" s="193" t="str">
        <f>"42.99"</f>
        <v>42.99</v>
      </c>
      <c r="C1612" s="58" t="s">
        <v>4342</v>
      </c>
      <c r="D1612" s="79" t="s">
        <v>4343</v>
      </c>
      <c r="E1612" s="79"/>
    </row>
    <row r="1613" spans="1:5" ht="14.85" customHeight="1" outlineLevel="1" x14ac:dyDescent="0.25">
      <c r="A1613" s="101" t="s">
        <v>1502</v>
      </c>
      <c r="B1613" s="193" t="str">
        <f>"42.9999"</f>
        <v>42.9999</v>
      </c>
      <c r="C1613" s="58" t="s">
        <v>4342</v>
      </c>
      <c r="D1613" s="79" t="s">
        <v>4344</v>
      </c>
      <c r="E1613" s="79"/>
    </row>
    <row r="1614" spans="1:5" ht="14.85" customHeight="1" outlineLevel="1" x14ac:dyDescent="0.25">
      <c r="A1614" s="101" t="s">
        <v>1502</v>
      </c>
      <c r="B1614" s="193" t="str">
        <f>"43"</f>
        <v>43</v>
      </c>
      <c r="C1614" s="58" t="s">
        <v>4345</v>
      </c>
      <c r="D1614" s="79" t="s">
        <v>4346</v>
      </c>
      <c r="E1614" s="79"/>
    </row>
    <row r="1615" spans="1:5" ht="14.85" customHeight="1" outlineLevel="1" x14ac:dyDescent="0.25">
      <c r="A1615" s="101" t="s">
        <v>1502</v>
      </c>
      <c r="B1615" s="193" t="str">
        <f>"43.01"</f>
        <v>43.01</v>
      </c>
      <c r="C1615" s="58" t="s">
        <v>4347</v>
      </c>
      <c r="D1615" s="79" t="s">
        <v>4348</v>
      </c>
      <c r="E1615" s="79"/>
    </row>
    <row r="1616" spans="1:5" ht="14.85" customHeight="1" outlineLevel="1" x14ac:dyDescent="0.25">
      <c r="A1616" s="101" t="s">
        <v>1502</v>
      </c>
      <c r="B1616" s="193" t="str">
        <f>"43.0100"</f>
        <v>43.0100</v>
      </c>
      <c r="C1616" s="58" t="s">
        <v>4349</v>
      </c>
      <c r="D1616" s="79" t="s">
        <v>4350</v>
      </c>
      <c r="E1616" s="79"/>
    </row>
    <row r="1617" spans="1:5" ht="14.85" customHeight="1" outlineLevel="1" x14ac:dyDescent="0.25">
      <c r="A1617" s="101" t="s">
        <v>1502</v>
      </c>
      <c r="B1617" s="193" t="str">
        <f>"43.0102"</f>
        <v>43.0102</v>
      </c>
      <c r="C1617" s="58" t="s">
        <v>4351</v>
      </c>
      <c r="D1617" s="79" t="s">
        <v>4352</v>
      </c>
      <c r="E1617" s="79"/>
    </row>
    <row r="1618" spans="1:5" ht="14.85" customHeight="1" outlineLevel="1" x14ac:dyDescent="0.25">
      <c r="A1618" s="101" t="s">
        <v>1502</v>
      </c>
      <c r="B1618" s="193" t="str">
        <f>"43.0103"</f>
        <v>43.0103</v>
      </c>
      <c r="C1618" s="58" t="s">
        <v>4353</v>
      </c>
      <c r="D1618" s="79" t="s">
        <v>4354</v>
      </c>
      <c r="E1618" s="79"/>
    </row>
    <row r="1619" spans="1:5" ht="14.85" customHeight="1" outlineLevel="1" x14ac:dyDescent="0.25">
      <c r="A1619" s="101" t="s">
        <v>1502</v>
      </c>
      <c r="B1619" s="193" t="str">
        <f>"43.0104"</f>
        <v>43.0104</v>
      </c>
      <c r="C1619" s="58" t="s">
        <v>4355</v>
      </c>
      <c r="D1619" s="79" t="s">
        <v>4356</v>
      </c>
      <c r="E1619" s="79"/>
    </row>
    <row r="1620" spans="1:5" ht="14.85" customHeight="1" outlineLevel="1" x14ac:dyDescent="0.25">
      <c r="A1620" s="101" t="s">
        <v>1502</v>
      </c>
      <c r="B1620" s="193" t="str">
        <f>"43.0107"</f>
        <v>43.0107</v>
      </c>
      <c r="C1620" s="58" t="s">
        <v>4357</v>
      </c>
      <c r="D1620" s="79" t="s">
        <v>4358</v>
      </c>
      <c r="E1620" s="79"/>
    </row>
    <row r="1621" spans="1:5" ht="14.85" customHeight="1" outlineLevel="1" x14ac:dyDescent="0.25">
      <c r="A1621" s="101" t="s">
        <v>1502</v>
      </c>
      <c r="B1621" s="193" t="str">
        <f>"43.0109"</f>
        <v>43.0109</v>
      </c>
      <c r="C1621" s="58" t="s">
        <v>4359</v>
      </c>
      <c r="D1621" s="79" t="s">
        <v>4360</v>
      </c>
      <c r="E1621" s="79"/>
    </row>
    <row r="1622" spans="1:5" ht="14.85" customHeight="1" outlineLevel="1" x14ac:dyDescent="0.25">
      <c r="A1622" s="101" t="s">
        <v>1502</v>
      </c>
      <c r="B1622" s="193" t="str">
        <f>"43.0110"</f>
        <v>43.0110</v>
      </c>
      <c r="C1622" s="58" t="s">
        <v>4361</v>
      </c>
      <c r="D1622" s="79" t="s">
        <v>4362</v>
      </c>
      <c r="E1622" s="79"/>
    </row>
    <row r="1623" spans="1:5" ht="14.85" customHeight="1" outlineLevel="1" x14ac:dyDescent="0.25">
      <c r="A1623" s="101" t="s">
        <v>1502</v>
      </c>
      <c r="B1623" s="193" t="str">
        <f>"43.0112"</f>
        <v>43.0112</v>
      </c>
      <c r="C1623" s="58" t="s">
        <v>4363</v>
      </c>
      <c r="D1623" s="79" t="s">
        <v>4364</v>
      </c>
      <c r="E1623" s="79"/>
    </row>
    <row r="1624" spans="1:5" ht="14.85" customHeight="1" outlineLevel="1" x14ac:dyDescent="0.25">
      <c r="A1624" s="101" t="s">
        <v>1502</v>
      </c>
      <c r="B1624" s="193" t="str">
        <f>"43.0113"</f>
        <v>43.0113</v>
      </c>
      <c r="C1624" s="58" t="s">
        <v>4365</v>
      </c>
      <c r="D1624" s="79" t="s">
        <v>4366</v>
      </c>
      <c r="E1624" s="79"/>
    </row>
    <row r="1625" spans="1:5" ht="14.85" customHeight="1" outlineLevel="1" x14ac:dyDescent="0.25">
      <c r="A1625" s="101" t="s">
        <v>1502</v>
      </c>
      <c r="B1625" s="193" t="str">
        <f>"43.0114"</f>
        <v>43.0114</v>
      </c>
      <c r="C1625" s="58" t="s">
        <v>4367</v>
      </c>
      <c r="D1625" s="79" t="s">
        <v>4368</v>
      </c>
      <c r="E1625" s="79"/>
    </row>
    <row r="1626" spans="1:5" ht="14.85" customHeight="1" outlineLevel="1" x14ac:dyDescent="0.25">
      <c r="A1626" s="101" t="s">
        <v>1502</v>
      </c>
      <c r="B1626" s="193" t="str">
        <f>"43.0115"</f>
        <v>43.0115</v>
      </c>
      <c r="C1626" s="58" t="s">
        <v>4369</v>
      </c>
      <c r="D1626" s="79" t="s">
        <v>4370</v>
      </c>
      <c r="E1626" s="79"/>
    </row>
    <row r="1627" spans="1:5" ht="14.85" customHeight="1" outlineLevel="1" x14ac:dyDescent="0.25">
      <c r="A1627" s="101" t="s">
        <v>1502</v>
      </c>
      <c r="B1627" s="193" t="str">
        <f>"43.0119"</f>
        <v>43.0119</v>
      </c>
      <c r="C1627" s="58" t="s">
        <v>4371</v>
      </c>
      <c r="D1627" s="79" t="s">
        <v>4372</v>
      </c>
      <c r="E1627" s="79"/>
    </row>
    <row r="1628" spans="1:5" ht="14.85" customHeight="1" outlineLevel="1" x14ac:dyDescent="0.25">
      <c r="A1628" s="101" t="s">
        <v>1502</v>
      </c>
      <c r="B1628" s="193" t="str">
        <f>"43.0120"</f>
        <v>43.0120</v>
      </c>
      <c r="C1628" s="58" t="s">
        <v>4373</v>
      </c>
      <c r="D1628" s="79" t="s">
        <v>4374</v>
      </c>
      <c r="E1628" s="79"/>
    </row>
    <row r="1629" spans="1:5" ht="14.85" customHeight="1" outlineLevel="1" x14ac:dyDescent="0.25">
      <c r="A1629" s="101" t="s">
        <v>1502</v>
      </c>
      <c r="B1629" s="193" t="str">
        <f>"43.0121"</f>
        <v>43.0121</v>
      </c>
      <c r="C1629" s="58" t="s">
        <v>4375</v>
      </c>
      <c r="D1629" s="79" t="s">
        <v>4376</v>
      </c>
      <c r="E1629" s="79"/>
    </row>
    <row r="1630" spans="1:5" ht="14.85" customHeight="1" outlineLevel="1" x14ac:dyDescent="0.25">
      <c r="A1630" s="101" t="s">
        <v>1502</v>
      </c>
      <c r="B1630" s="193" t="str">
        <f>"43.0122"</f>
        <v>43.0122</v>
      </c>
      <c r="C1630" s="58" t="s">
        <v>4377</v>
      </c>
      <c r="D1630" s="79" t="s">
        <v>4378</v>
      </c>
      <c r="E1630" s="79"/>
    </row>
    <row r="1631" spans="1:5" ht="14.85" customHeight="1" outlineLevel="1" x14ac:dyDescent="0.25">
      <c r="A1631" s="101" t="s">
        <v>1502</v>
      </c>
      <c r="B1631" s="102" t="str">
        <f>"43.0123"</f>
        <v>43.0123</v>
      </c>
      <c r="C1631" s="101" t="s">
        <v>4379</v>
      </c>
      <c r="D1631" s="101" t="s">
        <v>4380</v>
      </c>
      <c r="E1631" s="79"/>
    </row>
    <row r="1632" spans="1:5" ht="14.85" customHeight="1" outlineLevel="1" x14ac:dyDescent="0.25">
      <c r="A1632" s="101" t="s">
        <v>1502</v>
      </c>
      <c r="B1632" s="102" t="str">
        <f>"43.0199"</f>
        <v>43.0199</v>
      </c>
      <c r="C1632" s="101" t="s">
        <v>4381</v>
      </c>
      <c r="D1632" s="101" t="s">
        <v>4382</v>
      </c>
      <c r="E1632" s="79"/>
    </row>
    <row r="1633" spans="1:5" ht="14.85" customHeight="1" outlineLevel="1" x14ac:dyDescent="0.25">
      <c r="A1633" s="101" t="s">
        <v>1502</v>
      </c>
      <c r="B1633" s="102" t="str">
        <f>"43.02"</f>
        <v>43.02</v>
      </c>
      <c r="C1633" s="101" t="s">
        <v>4383</v>
      </c>
      <c r="D1633" s="101" t="s">
        <v>4384</v>
      </c>
      <c r="E1633" s="79"/>
    </row>
    <row r="1634" spans="1:5" ht="14.85" customHeight="1" outlineLevel="1" x14ac:dyDescent="0.25">
      <c r="A1634" s="101" t="s">
        <v>1502</v>
      </c>
      <c r="B1634" s="102" t="str">
        <f>"43.0201"</f>
        <v>43.0201</v>
      </c>
      <c r="C1634" s="101" t="s">
        <v>4385</v>
      </c>
      <c r="D1634" s="101" t="s">
        <v>4386</v>
      </c>
      <c r="E1634" s="79"/>
    </row>
    <row r="1635" spans="1:5" ht="14.85" customHeight="1" outlineLevel="1" x14ac:dyDescent="0.25">
      <c r="A1635" s="101" t="s">
        <v>1502</v>
      </c>
      <c r="B1635" s="102" t="str">
        <f>"43.0202"</f>
        <v>43.0202</v>
      </c>
      <c r="C1635" s="101" t="s">
        <v>4387</v>
      </c>
      <c r="D1635" s="101" t="s">
        <v>4388</v>
      </c>
      <c r="E1635" s="79"/>
    </row>
    <row r="1636" spans="1:5" ht="14.85" customHeight="1" outlineLevel="1" x14ac:dyDescent="0.25">
      <c r="A1636" s="101" t="s">
        <v>1502</v>
      </c>
      <c r="B1636" s="102" t="str">
        <f>"43.0203"</f>
        <v>43.0203</v>
      </c>
      <c r="C1636" s="101" t="s">
        <v>4389</v>
      </c>
      <c r="D1636" s="101" t="s">
        <v>4390</v>
      </c>
      <c r="E1636" s="79"/>
    </row>
    <row r="1637" spans="1:5" ht="14.85" customHeight="1" outlineLevel="1" x14ac:dyDescent="0.25">
      <c r="A1637" s="101" t="s">
        <v>1502</v>
      </c>
      <c r="B1637" s="102" t="str">
        <f>"43.0204"</f>
        <v>43.0204</v>
      </c>
      <c r="C1637" s="101" t="s">
        <v>4391</v>
      </c>
      <c r="D1637" s="101" t="s">
        <v>4392</v>
      </c>
      <c r="E1637" s="79"/>
    </row>
    <row r="1638" spans="1:5" ht="14.85" customHeight="1" outlineLevel="1" x14ac:dyDescent="0.25">
      <c r="A1638" s="101" t="s">
        <v>1502</v>
      </c>
      <c r="B1638" s="102" t="str">
        <f>"43.0205"</f>
        <v>43.0205</v>
      </c>
      <c r="C1638" s="101" t="s">
        <v>4393</v>
      </c>
      <c r="D1638" s="101" t="s">
        <v>4394</v>
      </c>
      <c r="E1638" s="79"/>
    </row>
    <row r="1639" spans="1:5" ht="14.85" customHeight="1" outlineLevel="1" x14ac:dyDescent="0.25">
      <c r="A1639" s="101" t="s">
        <v>1502</v>
      </c>
      <c r="B1639" s="102" t="str">
        <f>"43.0206"</f>
        <v>43.0206</v>
      </c>
      <c r="C1639" s="101" t="s">
        <v>4395</v>
      </c>
      <c r="D1639" s="101" t="s">
        <v>4396</v>
      </c>
      <c r="E1639" s="79"/>
    </row>
    <row r="1640" spans="1:5" ht="14.85" customHeight="1" outlineLevel="1" x14ac:dyDescent="0.25">
      <c r="A1640" s="101" t="s">
        <v>1502</v>
      </c>
      <c r="B1640" s="102" t="str">
        <f>"43.0299"</f>
        <v>43.0299</v>
      </c>
      <c r="C1640" s="101" t="s">
        <v>4397</v>
      </c>
      <c r="D1640" s="101" t="s">
        <v>4398</v>
      </c>
      <c r="E1640" s="79"/>
    </row>
    <row r="1641" spans="1:5" ht="14.85" customHeight="1" outlineLevel="1" x14ac:dyDescent="0.25">
      <c r="A1641" s="101" t="s">
        <v>1502</v>
      </c>
      <c r="B1641" s="102" t="str">
        <f>"43.03"</f>
        <v>43.03</v>
      </c>
      <c r="C1641" s="101" t="s">
        <v>4399</v>
      </c>
      <c r="D1641" s="101" t="s">
        <v>4400</v>
      </c>
      <c r="E1641" s="79"/>
    </row>
    <row r="1642" spans="1:5" ht="14.85" customHeight="1" outlineLevel="1" x14ac:dyDescent="0.25">
      <c r="A1642" s="101" t="s">
        <v>1502</v>
      </c>
      <c r="B1642" s="102" t="str">
        <f>"43.0301"</f>
        <v>43.0301</v>
      </c>
      <c r="C1642" s="101" t="s">
        <v>4399</v>
      </c>
      <c r="D1642" s="101" t="s">
        <v>4401</v>
      </c>
      <c r="E1642" s="79"/>
    </row>
    <row r="1643" spans="1:5" ht="14.85" customHeight="1" outlineLevel="1" x14ac:dyDescent="0.25">
      <c r="A1643" s="101" t="s">
        <v>1502</v>
      </c>
      <c r="B1643" s="102" t="str">
        <f>"43.0302"</f>
        <v>43.0302</v>
      </c>
      <c r="C1643" s="101" t="s">
        <v>4402</v>
      </c>
      <c r="D1643" s="101" t="s">
        <v>4403</v>
      </c>
      <c r="E1643" s="79"/>
    </row>
    <row r="1644" spans="1:5" ht="14.85" customHeight="1" outlineLevel="1" x14ac:dyDescent="0.25">
      <c r="A1644" s="101" t="s">
        <v>1502</v>
      </c>
      <c r="B1644" s="102" t="str">
        <f>"43.0303"</f>
        <v>43.0303</v>
      </c>
      <c r="C1644" s="101" t="s">
        <v>4404</v>
      </c>
      <c r="D1644" s="101" t="s">
        <v>4405</v>
      </c>
      <c r="E1644" s="79"/>
    </row>
    <row r="1645" spans="1:5" ht="14.85" customHeight="1" outlineLevel="1" x14ac:dyDescent="0.25">
      <c r="A1645" s="101" t="s">
        <v>1502</v>
      </c>
      <c r="B1645" s="102" t="str">
        <f>"43.0304"</f>
        <v>43.0304</v>
      </c>
      <c r="C1645" s="101" t="s">
        <v>4406</v>
      </c>
      <c r="D1645" s="101" t="s">
        <v>4407</v>
      </c>
      <c r="E1645" s="79"/>
    </row>
    <row r="1646" spans="1:5" ht="14.85" customHeight="1" outlineLevel="1" x14ac:dyDescent="0.25">
      <c r="A1646" s="101" t="s">
        <v>1502</v>
      </c>
      <c r="B1646" s="102" t="str">
        <f>"43.0399"</f>
        <v>43.0399</v>
      </c>
      <c r="C1646" s="101" t="s">
        <v>4408</v>
      </c>
      <c r="D1646" s="101" t="s">
        <v>4409</v>
      </c>
      <c r="E1646" s="79"/>
    </row>
    <row r="1647" spans="1:5" ht="14.85" customHeight="1" outlineLevel="1" x14ac:dyDescent="0.25">
      <c r="A1647" s="101" t="s">
        <v>1502</v>
      </c>
      <c r="B1647" s="102" t="str">
        <f>"43.04"</f>
        <v>43.04</v>
      </c>
      <c r="C1647" s="101" t="s">
        <v>4410</v>
      </c>
      <c r="D1647" s="101" t="s">
        <v>4411</v>
      </c>
      <c r="E1647" s="79"/>
    </row>
    <row r="1648" spans="1:5" ht="14.85" customHeight="1" outlineLevel="1" x14ac:dyDescent="0.25">
      <c r="A1648" s="101" t="s">
        <v>1502</v>
      </c>
      <c r="B1648" s="102" t="str">
        <f>"43.0401"</f>
        <v>43.0401</v>
      </c>
      <c r="C1648" s="101" t="s">
        <v>4412</v>
      </c>
      <c r="D1648" s="101" t="s">
        <v>4413</v>
      </c>
      <c r="E1648" s="79"/>
    </row>
    <row r="1649" spans="1:5" ht="14.85" customHeight="1" outlineLevel="1" x14ac:dyDescent="0.25">
      <c r="A1649" s="101" t="s">
        <v>1502</v>
      </c>
      <c r="B1649" s="102" t="str">
        <f>"43.0402"</f>
        <v>43.0402</v>
      </c>
      <c r="C1649" s="101" t="s">
        <v>4414</v>
      </c>
      <c r="D1649" s="101" t="s">
        <v>4415</v>
      </c>
      <c r="E1649" s="79"/>
    </row>
    <row r="1650" spans="1:5" ht="14.85" customHeight="1" outlineLevel="1" x14ac:dyDescent="0.25">
      <c r="A1650" s="101" t="s">
        <v>1502</v>
      </c>
      <c r="B1650" s="102" t="str">
        <f>"43.0403"</f>
        <v>43.0403</v>
      </c>
      <c r="C1650" s="101" t="s">
        <v>4416</v>
      </c>
      <c r="D1650" s="101" t="s">
        <v>4417</v>
      </c>
      <c r="E1650" s="79"/>
    </row>
    <row r="1651" spans="1:5" ht="14.85" customHeight="1" outlineLevel="1" x14ac:dyDescent="0.25">
      <c r="A1651" s="101" t="s">
        <v>1502</v>
      </c>
      <c r="B1651" s="102" t="str">
        <f>"43.0404"</f>
        <v>43.0404</v>
      </c>
      <c r="C1651" s="101" t="s">
        <v>4418</v>
      </c>
      <c r="D1651" s="101" t="s">
        <v>4419</v>
      </c>
      <c r="E1651" s="79"/>
    </row>
    <row r="1652" spans="1:5" ht="14.85" customHeight="1" outlineLevel="1" x14ac:dyDescent="0.25">
      <c r="A1652" s="101" t="s">
        <v>1502</v>
      </c>
      <c r="B1652" s="102" t="str">
        <f>"43.0405"</f>
        <v>43.0405</v>
      </c>
      <c r="C1652" s="101" t="s">
        <v>4420</v>
      </c>
      <c r="D1652" s="101" t="s">
        <v>4421</v>
      </c>
      <c r="E1652" s="79"/>
    </row>
    <row r="1653" spans="1:5" ht="14.85" customHeight="1" outlineLevel="1" x14ac:dyDescent="0.25">
      <c r="A1653" s="101" t="s">
        <v>1502</v>
      </c>
      <c r="B1653" s="102" t="str">
        <f>"43.0406"</f>
        <v>43.0406</v>
      </c>
      <c r="C1653" s="101" t="s">
        <v>4422</v>
      </c>
      <c r="D1653" s="101" t="s">
        <v>4423</v>
      </c>
      <c r="E1653" s="79"/>
    </row>
    <row r="1654" spans="1:5" ht="14.85" customHeight="1" outlineLevel="1" x14ac:dyDescent="0.25">
      <c r="A1654" s="101" t="s">
        <v>1502</v>
      </c>
      <c r="B1654" s="102" t="str">
        <f>"43.0407"</f>
        <v>43.0407</v>
      </c>
      <c r="C1654" s="101" t="s">
        <v>4424</v>
      </c>
      <c r="D1654" s="101" t="s">
        <v>4425</v>
      </c>
      <c r="E1654" s="79"/>
    </row>
    <row r="1655" spans="1:5" ht="14.85" customHeight="1" outlineLevel="1" x14ac:dyDescent="0.25">
      <c r="A1655" s="101" t="s">
        <v>1502</v>
      </c>
      <c r="B1655" s="102" t="str">
        <f>"43.0408"</f>
        <v>43.0408</v>
      </c>
      <c r="C1655" s="101" t="s">
        <v>4426</v>
      </c>
      <c r="D1655" s="101" t="s">
        <v>4427</v>
      </c>
      <c r="E1655" s="79"/>
    </row>
    <row r="1656" spans="1:5" ht="14.85" customHeight="1" outlineLevel="1" x14ac:dyDescent="0.25">
      <c r="A1656" s="101" t="s">
        <v>1502</v>
      </c>
      <c r="B1656" s="102" t="str">
        <f>"43.0499"</f>
        <v>43.0499</v>
      </c>
      <c r="C1656" s="101" t="s">
        <v>4428</v>
      </c>
      <c r="D1656" s="101" t="s">
        <v>4429</v>
      </c>
      <c r="E1656" s="79"/>
    </row>
    <row r="1657" spans="1:5" ht="14.85" customHeight="1" outlineLevel="1" x14ac:dyDescent="0.25">
      <c r="A1657" s="101" t="s">
        <v>1502</v>
      </c>
      <c r="B1657" s="102" t="str">
        <f>"43.99"</f>
        <v>43.99</v>
      </c>
      <c r="C1657" s="101" t="s">
        <v>4430</v>
      </c>
      <c r="D1657" s="101" t="s">
        <v>4431</v>
      </c>
      <c r="E1657" s="79"/>
    </row>
    <row r="1658" spans="1:5" ht="14.85" customHeight="1" outlineLevel="1" x14ac:dyDescent="0.25">
      <c r="A1658" s="101" t="s">
        <v>1502</v>
      </c>
      <c r="B1658" s="102" t="str">
        <f>"43.9999"</f>
        <v>43.9999</v>
      </c>
      <c r="C1658" s="101" t="s">
        <v>4430</v>
      </c>
      <c r="D1658" s="101" t="s">
        <v>4432</v>
      </c>
      <c r="E1658" s="79"/>
    </row>
    <row r="1659" spans="1:5" ht="14.85" customHeight="1" outlineLevel="1" x14ac:dyDescent="0.25">
      <c r="A1659" s="101" t="s">
        <v>1502</v>
      </c>
      <c r="B1659" s="102" t="str">
        <f>"44"</f>
        <v>44</v>
      </c>
      <c r="C1659" s="101" t="s">
        <v>4433</v>
      </c>
      <c r="D1659" s="101" t="s">
        <v>4434</v>
      </c>
      <c r="E1659" s="79"/>
    </row>
    <row r="1660" spans="1:5" ht="14.85" customHeight="1" outlineLevel="1" x14ac:dyDescent="0.25">
      <c r="A1660" s="101" t="s">
        <v>1502</v>
      </c>
      <c r="B1660" s="102" t="str">
        <f>"44.00"</f>
        <v>44.00</v>
      </c>
      <c r="C1660" s="101" t="s">
        <v>4435</v>
      </c>
      <c r="D1660" s="101" t="s">
        <v>4436</v>
      </c>
      <c r="E1660" s="79"/>
    </row>
    <row r="1661" spans="1:5" ht="14.85" customHeight="1" outlineLevel="1" x14ac:dyDescent="0.25">
      <c r="A1661" s="101" t="s">
        <v>1502</v>
      </c>
      <c r="B1661" s="102" t="str">
        <f>"44.0000"</f>
        <v>44.0000</v>
      </c>
      <c r="C1661" s="101" t="s">
        <v>4435</v>
      </c>
      <c r="D1661" s="101" t="s">
        <v>4437</v>
      </c>
      <c r="E1661" s="79"/>
    </row>
    <row r="1662" spans="1:5" ht="14.85" customHeight="1" outlineLevel="1" x14ac:dyDescent="0.25">
      <c r="A1662" s="101" t="s">
        <v>1502</v>
      </c>
      <c r="B1662" s="102" t="str">
        <f>"44.02"</f>
        <v>44.02</v>
      </c>
      <c r="C1662" s="101" t="s">
        <v>4438</v>
      </c>
      <c r="D1662" s="101" t="s">
        <v>4439</v>
      </c>
      <c r="E1662" s="79"/>
    </row>
    <row r="1663" spans="1:5" ht="14.85" customHeight="1" outlineLevel="1" x14ac:dyDescent="0.25">
      <c r="A1663" s="101" t="s">
        <v>1502</v>
      </c>
      <c r="B1663" s="102" t="str">
        <f>"44.0201"</f>
        <v>44.0201</v>
      </c>
      <c r="C1663" s="101" t="s">
        <v>4438</v>
      </c>
      <c r="D1663" s="101" t="s">
        <v>4440</v>
      </c>
      <c r="E1663" s="79"/>
    </row>
    <row r="1664" spans="1:5" ht="14.85" customHeight="1" outlineLevel="1" x14ac:dyDescent="0.25">
      <c r="A1664" s="101" t="s">
        <v>1502</v>
      </c>
      <c r="B1664" s="102" t="str">
        <f>"44.04"</f>
        <v>44.04</v>
      </c>
      <c r="C1664" s="101" t="s">
        <v>4441</v>
      </c>
      <c r="D1664" s="101" t="s">
        <v>4442</v>
      </c>
      <c r="E1664" s="79"/>
    </row>
    <row r="1665" spans="1:5" ht="14.85" customHeight="1" outlineLevel="1" x14ac:dyDescent="0.25">
      <c r="A1665" s="101" t="s">
        <v>1502</v>
      </c>
      <c r="B1665" s="102" t="str">
        <f>"44.0401"</f>
        <v>44.0401</v>
      </c>
      <c r="C1665" s="101" t="s">
        <v>4441</v>
      </c>
      <c r="D1665" s="101" t="s">
        <v>4443</v>
      </c>
      <c r="E1665" s="79"/>
    </row>
    <row r="1666" spans="1:5" ht="14.85" customHeight="1" outlineLevel="1" x14ac:dyDescent="0.25">
      <c r="A1666" s="101" t="s">
        <v>1502</v>
      </c>
      <c r="B1666" s="102" t="str">
        <f>"44.0402"</f>
        <v>44.0402</v>
      </c>
      <c r="C1666" s="101" t="s">
        <v>4444</v>
      </c>
      <c r="D1666" s="101" t="s">
        <v>4445</v>
      </c>
      <c r="E1666" s="79"/>
    </row>
    <row r="1667" spans="1:5" ht="14.85" customHeight="1" outlineLevel="1" x14ac:dyDescent="0.25">
      <c r="A1667" s="101" t="s">
        <v>1502</v>
      </c>
      <c r="B1667" s="102" t="str">
        <f>"44.0403"</f>
        <v>44.0403</v>
      </c>
      <c r="C1667" s="101" t="s">
        <v>4446</v>
      </c>
      <c r="D1667" s="101" t="s">
        <v>4447</v>
      </c>
      <c r="E1667" s="79"/>
    </row>
    <row r="1668" spans="1:5" ht="14.85" customHeight="1" outlineLevel="1" x14ac:dyDescent="0.25">
      <c r="A1668" s="101" t="s">
        <v>1502</v>
      </c>
      <c r="B1668" s="102" t="str">
        <f>"44.0499"</f>
        <v>44.0499</v>
      </c>
      <c r="C1668" s="101" t="s">
        <v>4448</v>
      </c>
      <c r="D1668" s="101" t="s">
        <v>4449</v>
      </c>
      <c r="E1668" s="79"/>
    </row>
    <row r="1669" spans="1:5" ht="14.85" customHeight="1" outlineLevel="1" x14ac:dyDescent="0.25">
      <c r="A1669" s="101" t="s">
        <v>1502</v>
      </c>
      <c r="B1669" s="102" t="str">
        <f>"44.05"</f>
        <v>44.05</v>
      </c>
      <c r="C1669" s="101" t="s">
        <v>4450</v>
      </c>
      <c r="D1669" s="101" t="s">
        <v>4451</v>
      </c>
      <c r="E1669" s="79"/>
    </row>
    <row r="1670" spans="1:5" ht="14.85" customHeight="1" outlineLevel="1" x14ac:dyDescent="0.25">
      <c r="A1670" s="101" t="s">
        <v>1502</v>
      </c>
      <c r="B1670" s="102" t="str">
        <f>"44.0501"</f>
        <v>44.0501</v>
      </c>
      <c r="C1670" s="101" t="s">
        <v>4452</v>
      </c>
      <c r="D1670" s="101" t="s">
        <v>4453</v>
      </c>
      <c r="E1670" s="79"/>
    </row>
    <row r="1671" spans="1:5" ht="14.85" customHeight="1" outlineLevel="1" x14ac:dyDescent="0.25">
      <c r="A1671" s="101" t="s">
        <v>1502</v>
      </c>
      <c r="B1671" s="102" t="str">
        <f>"44.0502"</f>
        <v>44.0502</v>
      </c>
      <c r="C1671" s="101" t="s">
        <v>4454</v>
      </c>
      <c r="D1671" s="101" t="s">
        <v>4455</v>
      </c>
      <c r="E1671" s="79"/>
    </row>
    <row r="1672" spans="1:5" ht="14.85" customHeight="1" outlineLevel="1" x14ac:dyDescent="0.25">
      <c r="A1672" s="101" t="s">
        <v>1502</v>
      </c>
      <c r="B1672" s="102" t="str">
        <f>"44.0503"</f>
        <v>44.0503</v>
      </c>
      <c r="C1672" s="101" t="s">
        <v>4456</v>
      </c>
      <c r="D1672" s="101" t="s">
        <v>4457</v>
      </c>
      <c r="E1672" s="79"/>
    </row>
    <row r="1673" spans="1:5" ht="14.85" customHeight="1" outlineLevel="1" x14ac:dyDescent="0.25">
      <c r="A1673" s="101" t="s">
        <v>1502</v>
      </c>
      <c r="B1673" s="102" t="str">
        <f>"44.0504"</f>
        <v>44.0504</v>
      </c>
      <c r="C1673" s="101" t="s">
        <v>4458</v>
      </c>
      <c r="D1673" s="101" t="s">
        <v>4459</v>
      </c>
      <c r="E1673" s="79"/>
    </row>
    <row r="1674" spans="1:5" ht="14.85" customHeight="1" outlineLevel="1" x14ac:dyDescent="0.25">
      <c r="A1674" s="101" t="s">
        <v>1502</v>
      </c>
      <c r="B1674" s="102" t="str">
        <f>"44.0580"</f>
        <v>44.0580</v>
      </c>
      <c r="C1674" s="101" t="s">
        <v>1559</v>
      </c>
      <c r="D1674" s="101" t="s">
        <v>1560</v>
      </c>
      <c r="E1674" s="79"/>
    </row>
    <row r="1675" spans="1:5" ht="14.85" customHeight="1" outlineLevel="1" x14ac:dyDescent="0.25">
      <c r="A1675" s="101" t="s">
        <v>1502</v>
      </c>
      <c r="B1675" s="102" t="str">
        <f>"44.0599"</f>
        <v>44.0599</v>
      </c>
      <c r="C1675" s="101" t="s">
        <v>4460</v>
      </c>
      <c r="D1675" s="101" t="s">
        <v>4461</v>
      </c>
      <c r="E1675" s="79"/>
    </row>
    <row r="1676" spans="1:5" ht="14.85" customHeight="1" outlineLevel="1" x14ac:dyDescent="0.25">
      <c r="A1676" s="101" t="s">
        <v>1502</v>
      </c>
      <c r="B1676" s="102" t="str">
        <f>"44.07"</f>
        <v>44.07</v>
      </c>
      <c r="C1676" s="101" t="s">
        <v>4462</v>
      </c>
      <c r="D1676" s="101" t="s">
        <v>4463</v>
      </c>
      <c r="E1676" s="79"/>
    </row>
    <row r="1677" spans="1:5" ht="14.85" customHeight="1" outlineLevel="1" x14ac:dyDescent="0.25">
      <c r="A1677" s="101" t="s">
        <v>1502</v>
      </c>
      <c r="B1677" s="102" t="str">
        <f>"44.0701"</f>
        <v>44.0701</v>
      </c>
      <c r="C1677" s="101" t="s">
        <v>4462</v>
      </c>
      <c r="D1677" s="101" t="s">
        <v>4464</v>
      </c>
      <c r="E1677" s="79"/>
    </row>
    <row r="1678" spans="1:5" ht="14.85" customHeight="1" outlineLevel="1" x14ac:dyDescent="0.25">
      <c r="A1678" s="101" t="s">
        <v>1502</v>
      </c>
      <c r="B1678" s="102" t="str">
        <f>"44.0702"</f>
        <v>44.0702</v>
      </c>
      <c r="C1678" s="101" t="s">
        <v>4465</v>
      </c>
      <c r="D1678" s="101" t="s">
        <v>4466</v>
      </c>
      <c r="E1678" s="79"/>
    </row>
    <row r="1679" spans="1:5" ht="14.85" customHeight="1" outlineLevel="1" x14ac:dyDescent="0.25">
      <c r="A1679" s="101" t="s">
        <v>1502</v>
      </c>
      <c r="B1679" s="102" t="str">
        <f>"44.0703"</f>
        <v>44.0703</v>
      </c>
      <c r="C1679" s="101" t="s">
        <v>4467</v>
      </c>
      <c r="D1679" s="101" t="s">
        <v>4468</v>
      </c>
      <c r="E1679" s="79"/>
    </row>
    <row r="1680" spans="1:5" ht="14.85" customHeight="1" outlineLevel="1" x14ac:dyDescent="0.25">
      <c r="A1680" s="101" t="s">
        <v>1502</v>
      </c>
      <c r="B1680" s="102" t="str">
        <f>"44.0799"</f>
        <v>44.0799</v>
      </c>
      <c r="C1680" s="101" t="s">
        <v>4469</v>
      </c>
      <c r="D1680" s="101" t="s">
        <v>4470</v>
      </c>
      <c r="E1680" s="79"/>
    </row>
    <row r="1681" spans="1:5" ht="14.85" customHeight="1" outlineLevel="1" x14ac:dyDescent="0.25">
      <c r="A1681" s="101" t="s">
        <v>1502</v>
      </c>
      <c r="B1681" s="102" t="str">
        <f>"44.99"</f>
        <v>44.99</v>
      </c>
      <c r="C1681" s="101" t="s">
        <v>4471</v>
      </c>
      <c r="D1681" s="101" t="s">
        <v>4472</v>
      </c>
      <c r="E1681" s="79"/>
    </row>
    <row r="1682" spans="1:5" ht="14.85" customHeight="1" outlineLevel="1" x14ac:dyDescent="0.25">
      <c r="A1682" s="101" t="s">
        <v>1502</v>
      </c>
      <c r="B1682" s="102" t="str">
        <f>"44.9999"</f>
        <v>44.9999</v>
      </c>
      <c r="C1682" s="101" t="s">
        <v>4471</v>
      </c>
      <c r="D1682" s="101" t="s">
        <v>4473</v>
      </c>
      <c r="E1682" s="79"/>
    </row>
    <row r="1683" spans="1:5" ht="14.85" customHeight="1" outlineLevel="1" x14ac:dyDescent="0.25">
      <c r="A1683" s="101" t="s">
        <v>1502</v>
      </c>
      <c r="B1683" s="102" t="str">
        <f>"45"</f>
        <v>45</v>
      </c>
      <c r="C1683" s="101" t="s">
        <v>4474</v>
      </c>
      <c r="D1683" s="101" t="s">
        <v>4475</v>
      </c>
      <c r="E1683" s="79"/>
    </row>
    <row r="1684" spans="1:5" ht="14.85" customHeight="1" outlineLevel="1" x14ac:dyDescent="0.25">
      <c r="A1684" s="101" t="s">
        <v>1502</v>
      </c>
      <c r="B1684" s="102" t="str">
        <f>"45.01"</f>
        <v>45.01</v>
      </c>
      <c r="C1684" s="101" t="s">
        <v>4476</v>
      </c>
      <c r="D1684" s="101" t="s">
        <v>4477</v>
      </c>
      <c r="E1684" s="79"/>
    </row>
    <row r="1685" spans="1:5" ht="14.85" customHeight="1" outlineLevel="1" x14ac:dyDescent="0.25">
      <c r="A1685" s="101" t="s">
        <v>1502</v>
      </c>
      <c r="B1685" s="102" t="str">
        <f>"45.0101"</f>
        <v>45.0101</v>
      </c>
      <c r="C1685" s="101" t="s">
        <v>4476</v>
      </c>
      <c r="D1685" s="101" t="s">
        <v>4478</v>
      </c>
      <c r="E1685" s="79"/>
    </row>
    <row r="1686" spans="1:5" ht="14.85" customHeight="1" outlineLevel="1" x14ac:dyDescent="0.25">
      <c r="A1686" s="101" t="s">
        <v>1502</v>
      </c>
      <c r="B1686" s="102" t="str">
        <f>"45.0102"</f>
        <v>45.0102</v>
      </c>
      <c r="C1686" s="101" t="s">
        <v>4479</v>
      </c>
      <c r="D1686" s="101" t="s">
        <v>4480</v>
      </c>
      <c r="E1686" s="79"/>
    </row>
    <row r="1687" spans="1:5" ht="14.85" customHeight="1" outlineLevel="1" x14ac:dyDescent="0.25">
      <c r="A1687" s="101" t="s">
        <v>1502</v>
      </c>
      <c r="B1687" s="102" t="str">
        <f>"45.0103"</f>
        <v>45.0103</v>
      </c>
      <c r="C1687" s="101" t="s">
        <v>4481</v>
      </c>
      <c r="D1687" s="101" t="s">
        <v>4482</v>
      </c>
      <c r="E1687" s="79"/>
    </row>
    <row r="1688" spans="1:5" ht="14.85" customHeight="1" outlineLevel="1" x14ac:dyDescent="0.25">
      <c r="A1688" s="101" t="s">
        <v>1502</v>
      </c>
      <c r="B1688" s="102" t="str">
        <f>"45.0199"</f>
        <v>45.0199</v>
      </c>
      <c r="C1688" s="101" t="s">
        <v>4483</v>
      </c>
      <c r="D1688" s="101" t="s">
        <v>4484</v>
      </c>
      <c r="E1688" s="79"/>
    </row>
    <row r="1689" spans="1:5" ht="14.85" customHeight="1" outlineLevel="1" x14ac:dyDescent="0.25">
      <c r="A1689" s="101" t="s">
        <v>1502</v>
      </c>
      <c r="B1689" s="102" t="str">
        <f>"45.02"</f>
        <v>45.02</v>
      </c>
      <c r="C1689" s="101" t="s">
        <v>4485</v>
      </c>
      <c r="D1689" s="101" t="s">
        <v>4486</v>
      </c>
      <c r="E1689" s="79"/>
    </row>
    <row r="1690" spans="1:5" ht="14.85" customHeight="1" outlineLevel="1" x14ac:dyDescent="0.25">
      <c r="A1690" s="101" t="s">
        <v>1502</v>
      </c>
      <c r="B1690" s="102" t="str">
        <f>"45.0201"</f>
        <v>45.0201</v>
      </c>
      <c r="C1690" s="101" t="s">
        <v>4487</v>
      </c>
      <c r="D1690" s="101" t="s">
        <v>4488</v>
      </c>
      <c r="E1690" s="79"/>
    </row>
    <row r="1691" spans="1:5" ht="14.85" customHeight="1" outlineLevel="1" x14ac:dyDescent="0.25">
      <c r="A1691" s="101" t="s">
        <v>1502</v>
      </c>
      <c r="B1691" s="102" t="str">
        <f>"45.0202"</f>
        <v>45.0202</v>
      </c>
      <c r="C1691" s="101" t="s">
        <v>4489</v>
      </c>
      <c r="D1691" s="101" t="s">
        <v>4490</v>
      </c>
      <c r="E1691" s="79"/>
    </row>
    <row r="1692" spans="1:5" ht="14.85" customHeight="1" outlineLevel="1" x14ac:dyDescent="0.25">
      <c r="A1692" s="101" t="s">
        <v>1502</v>
      </c>
      <c r="B1692" s="102" t="str">
        <f>"45.0203"</f>
        <v>45.0203</v>
      </c>
      <c r="C1692" s="101" t="s">
        <v>4491</v>
      </c>
      <c r="D1692" s="101" t="s">
        <v>4492</v>
      </c>
      <c r="E1692" s="79"/>
    </row>
    <row r="1693" spans="1:5" ht="14.85" customHeight="1" outlineLevel="1" x14ac:dyDescent="0.25">
      <c r="A1693" s="101" t="s">
        <v>1502</v>
      </c>
      <c r="B1693" s="102" t="str">
        <f>"45.0204"</f>
        <v>45.0204</v>
      </c>
      <c r="C1693" s="101" t="s">
        <v>4493</v>
      </c>
      <c r="D1693" s="101" t="s">
        <v>4494</v>
      </c>
      <c r="E1693" s="79"/>
    </row>
    <row r="1694" spans="1:5" ht="14.85" customHeight="1" outlineLevel="1" x14ac:dyDescent="0.25">
      <c r="A1694" s="101" t="s">
        <v>1502</v>
      </c>
      <c r="B1694" s="102" t="str">
        <f>"45.0205"</f>
        <v>45.0205</v>
      </c>
      <c r="C1694" s="101" t="s">
        <v>4495</v>
      </c>
      <c r="D1694" s="101" t="s">
        <v>4496</v>
      </c>
      <c r="E1694" s="79"/>
    </row>
    <row r="1695" spans="1:5" ht="14.85" customHeight="1" outlineLevel="1" x14ac:dyDescent="0.25">
      <c r="A1695" s="101" t="s">
        <v>1502</v>
      </c>
      <c r="B1695" s="102" t="str">
        <f>"45.0299"</f>
        <v>45.0299</v>
      </c>
      <c r="C1695" s="101" t="s">
        <v>4497</v>
      </c>
      <c r="D1695" s="101" t="s">
        <v>4498</v>
      </c>
      <c r="E1695" s="79"/>
    </row>
    <row r="1696" spans="1:5" ht="14.85" customHeight="1" outlineLevel="1" x14ac:dyDescent="0.25">
      <c r="A1696" s="101" t="s">
        <v>1502</v>
      </c>
      <c r="B1696" s="102" t="str">
        <f>"45.03"</f>
        <v>45.03</v>
      </c>
      <c r="C1696" s="101" t="s">
        <v>4499</v>
      </c>
      <c r="D1696" s="101" t="s">
        <v>4500</v>
      </c>
      <c r="E1696" s="79"/>
    </row>
    <row r="1697" spans="1:5" ht="14.85" customHeight="1" outlineLevel="1" x14ac:dyDescent="0.25">
      <c r="A1697" s="101" t="s">
        <v>1502</v>
      </c>
      <c r="B1697" s="102" t="str">
        <f>"45.0301"</f>
        <v>45.0301</v>
      </c>
      <c r="C1697" s="101" t="s">
        <v>4499</v>
      </c>
      <c r="D1697" s="101" t="s">
        <v>4501</v>
      </c>
      <c r="E1697" s="79"/>
    </row>
    <row r="1698" spans="1:5" ht="14.85" customHeight="1" outlineLevel="1" x14ac:dyDescent="0.25">
      <c r="A1698" s="101" t="s">
        <v>1502</v>
      </c>
      <c r="B1698" s="102" t="str">
        <f>"45.04"</f>
        <v>45.04</v>
      </c>
      <c r="C1698" s="101" t="s">
        <v>4502</v>
      </c>
      <c r="D1698" s="101" t="s">
        <v>4503</v>
      </c>
      <c r="E1698" s="79"/>
    </row>
    <row r="1699" spans="1:5" ht="14.85" customHeight="1" outlineLevel="1" x14ac:dyDescent="0.25">
      <c r="A1699" s="101" t="s">
        <v>1502</v>
      </c>
      <c r="B1699" s="102" t="str">
        <f>"45.0401"</f>
        <v>45.0401</v>
      </c>
      <c r="C1699" s="101" t="s">
        <v>4502</v>
      </c>
      <c r="D1699" s="101" t="s">
        <v>4504</v>
      </c>
      <c r="E1699" s="79"/>
    </row>
    <row r="1700" spans="1:5" ht="14.85" customHeight="1" outlineLevel="1" x14ac:dyDescent="0.25">
      <c r="A1700" s="101" t="s">
        <v>1502</v>
      </c>
      <c r="B1700" s="102" t="str">
        <f>"45.05"</f>
        <v>45.05</v>
      </c>
      <c r="C1700" s="101" t="s">
        <v>4505</v>
      </c>
      <c r="D1700" s="101" t="s">
        <v>4506</v>
      </c>
      <c r="E1700" s="79"/>
    </row>
    <row r="1701" spans="1:5" ht="14.85" customHeight="1" outlineLevel="1" x14ac:dyDescent="0.25">
      <c r="A1701" s="101" t="s">
        <v>1502</v>
      </c>
      <c r="B1701" s="102" t="str">
        <f>"45.0501"</f>
        <v>45.0501</v>
      </c>
      <c r="C1701" s="101" t="s">
        <v>4507</v>
      </c>
      <c r="D1701" s="101" t="s">
        <v>4508</v>
      </c>
      <c r="E1701" s="79"/>
    </row>
    <row r="1702" spans="1:5" ht="14.85" customHeight="1" outlineLevel="1" x14ac:dyDescent="0.25">
      <c r="A1702" s="101" t="s">
        <v>1502</v>
      </c>
      <c r="B1702" s="102" t="str">
        <f>"45.0502"</f>
        <v>45.0502</v>
      </c>
      <c r="C1702" s="101" t="s">
        <v>4509</v>
      </c>
      <c r="D1702" s="101" t="s">
        <v>4510</v>
      </c>
      <c r="E1702" s="79"/>
    </row>
    <row r="1703" spans="1:5" ht="14.85" customHeight="1" outlineLevel="1" x14ac:dyDescent="0.25">
      <c r="A1703" s="101" t="s">
        <v>1502</v>
      </c>
      <c r="B1703" s="102" t="str">
        <f>"45.0599"</f>
        <v>45.0599</v>
      </c>
      <c r="C1703" s="101" t="s">
        <v>4511</v>
      </c>
      <c r="D1703" s="101" t="s">
        <v>4512</v>
      </c>
      <c r="E1703" s="79"/>
    </row>
    <row r="1704" spans="1:5" ht="14.85" customHeight="1" outlineLevel="1" x14ac:dyDescent="0.25">
      <c r="A1704" s="101" t="s">
        <v>1502</v>
      </c>
      <c r="B1704" s="102" t="str">
        <f>"45.06"</f>
        <v>45.06</v>
      </c>
      <c r="C1704" s="101" t="s">
        <v>4513</v>
      </c>
      <c r="D1704" s="101" t="s">
        <v>4514</v>
      </c>
      <c r="E1704" s="79"/>
    </row>
    <row r="1705" spans="1:5" ht="14.85" customHeight="1" outlineLevel="1" x14ac:dyDescent="0.25">
      <c r="A1705" s="101" t="s">
        <v>1502</v>
      </c>
      <c r="B1705" s="102" t="str">
        <f>"45.0601"</f>
        <v>45.0601</v>
      </c>
      <c r="C1705" s="101" t="s">
        <v>4515</v>
      </c>
      <c r="D1705" s="101" t="s">
        <v>4516</v>
      </c>
      <c r="E1705" s="79"/>
    </row>
    <row r="1706" spans="1:5" ht="14.85" customHeight="1" outlineLevel="1" x14ac:dyDescent="0.25">
      <c r="A1706" s="101" t="s">
        <v>1502</v>
      </c>
      <c r="B1706" s="102" t="str">
        <f>"45.0602"</f>
        <v>45.0602</v>
      </c>
      <c r="C1706" s="101" t="s">
        <v>4517</v>
      </c>
      <c r="D1706" s="101" t="s">
        <v>4518</v>
      </c>
      <c r="E1706" s="79"/>
    </row>
    <row r="1707" spans="1:5" ht="14.85" customHeight="1" outlineLevel="1" x14ac:dyDescent="0.25">
      <c r="A1707" s="101" t="s">
        <v>1502</v>
      </c>
      <c r="B1707" s="102" t="str">
        <f>"45.0603"</f>
        <v>45.0603</v>
      </c>
      <c r="C1707" s="101" t="s">
        <v>4519</v>
      </c>
      <c r="D1707" s="101" t="s">
        <v>4520</v>
      </c>
      <c r="E1707" s="79"/>
    </row>
    <row r="1708" spans="1:5" ht="14.85" customHeight="1" outlineLevel="1" x14ac:dyDescent="0.25">
      <c r="A1708" s="101" t="s">
        <v>1502</v>
      </c>
      <c r="B1708" s="102" t="str">
        <f>"45.0604"</f>
        <v>45.0604</v>
      </c>
      <c r="C1708" s="101" t="s">
        <v>4521</v>
      </c>
      <c r="D1708" s="101" t="s">
        <v>4522</v>
      </c>
      <c r="E1708" s="79"/>
    </row>
    <row r="1709" spans="1:5" ht="14.85" customHeight="1" outlineLevel="1" x14ac:dyDescent="0.25">
      <c r="A1709" s="101" t="s">
        <v>1502</v>
      </c>
      <c r="B1709" s="102" t="str">
        <f>"45.0605"</f>
        <v>45.0605</v>
      </c>
      <c r="C1709" s="101" t="s">
        <v>4523</v>
      </c>
      <c r="D1709" s="101" t="s">
        <v>4524</v>
      </c>
      <c r="E1709" s="79"/>
    </row>
    <row r="1710" spans="1:5" ht="14.85" customHeight="1" outlineLevel="1" x14ac:dyDescent="0.25">
      <c r="A1710" s="101" t="s">
        <v>1502</v>
      </c>
      <c r="B1710" s="102" t="str">
        <f>"45.0699"</f>
        <v>45.0699</v>
      </c>
      <c r="C1710" s="101" t="s">
        <v>4525</v>
      </c>
      <c r="D1710" s="101" t="s">
        <v>4526</v>
      </c>
      <c r="E1710" s="79"/>
    </row>
    <row r="1711" spans="1:5" ht="14.85" customHeight="1" outlineLevel="1" x14ac:dyDescent="0.25">
      <c r="A1711" s="101" t="s">
        <v>1502</v>
      </c>
      <c r="B1711" s="102" t="str">
        <f>"45.07"</f>
        <v>45.07</v>
      </c>
      <c r="C1711" s="101" t="s">
        <v>4527</v>
      </c>
      <c r="D1711" s="101" t="s">
        <v>4528</v>
      </c>
      <c r="E1711" s="79"/>
    </row>
    <row r="1712" spans="1:5" ht="14.85" customHeight="1" outlineLevel="1" x14ac:dyDescent="0.25">
      <c r="A1712" s="101" t="s">
        <v>1502</v>
      </c>
      <c r="B1712" s="102" t="str">
        <f>"45.0701"</f>
        <v>45.0701</v>
      </c>
      <c r="C1712" s="101" t="s">
        <v>4529</v>
      </c>
      <c r="D1712" s="101" t="s">
        <v>4530</v>
      </c>
      <c r="E1712" s="79"/>
    </row>
    <row r="1713" spans="1:5" ht="14.85" customHeight="1" outlineLevel="1" x14ac:dyDescent="0.25">
      <c r="A1713" s="101" t="s">
        <v>1502</v>
      </c>
      <c r="B1713" s="102" t="str">
        <f>"45.0702"</f>
        <v>45.0702</v>
      </c>
      <c r="C1713" s="101" t="s">
        <v>4531</v>
      </c>
      <c r="D1713" s="101" t="s">
        <v>4532</v>
      </c>
      <c r="E1713" s="79"/>
    </row>
    <row r="1714" spans="1:5" ht="14.85" customHeight="1" outlineLevel="1" x14ac:dyDescent="0.25">
      <c r="A1714" s="101" t="s">
        <v>1502</v>
      </c>
      <c r="B1714" s="102" t="str">
        <f>"45.0799"</f>
        <v>45.0799</v>
      </c>
      <c r="C1714" s="101" t="s">
        <v>4533</v>
      </c>
      <c r="D1714" s="101" t="s">
        <v>4534</v>
      </c>
      <c r="E1714" s="79"/>
    </row>
    <row r="1715" spans="1:5" ht="14.85" customHeight="1" outlineLevel="1" x14ac:dyDescent="0.25">
      <c r="A1715" s="101" t="s">
        <v>1502</v>
      </c>
      <c r="B1715" s="102" t="str">
        <f>"45.09"</f>
        <v>45.09</v>
      </c>
      <c r="C1715" s="101" t="s">
        <v>4535</v>
      </c>
      <c r="D1715" s="101" t="s">
        <v>4536</v>
      </c>
      <c r="E1715" s="79"/>
    </row>
    <row r="1716" spans="1:5" ht="14.85" customHeight="1" outlineLevel="1" x14ac:dyDescent="0.25">
      <c r="A1716" s="101" t="s">
        <v>1502</v>
      </c>
      <c r="B1716" s="102" t="str">
        <f>"45.0901"</f>
        <v>45.0901</v>
      </c>
      <c r="C1716" s="101" t="s">
        <v>4537</v>
      </c>
      <c r="D1716" s="101" t="s">
        <v>4538</v>
      </c>
      <c r="E1716" s="79"/>
    </row>
    <row r="1717" spans="1:5" ht="14.85" customHeight="1" outlineLevel="1" x14ac:dyDescent="0.25">
      <c r="A1717" s="101" t="s">
        <v>1502</v>
      </c>
      <c r="B1717" s="102" t="str">
        <f>"45.0902"</f>
        <v>45.0902</v>
      </c>
      <c r="C1717" s="101" t="s">
        <v>4539</v>
      </c>
      <c r="D1717" s="101" t="s">
        <v>4540</v>
      </c>
      <c r="E1717" s="79"/>
    </row>
    <row r="1718" spans="1:5" ht="14.85" customHeight="1" outlineLevel="1" x14ac:dyDescent="0.25">
      <c r="A1718" s="101" t="s">
        <v>1502</v>
      </c>
      <c r="B1718" s="102" t="str">
        <f>"45.0999"</f>
        <v>45.0999</v>
      </c>
      <c r="C1718" s="101" t="s">
        <v>4541</v>
      </c>
      <c r="D1718" s="101" t="s">
        <v>4542</v>
      </c>
      <c r="E1718" s="79"/>
    </row>
    <row r="1719" spans="1:5" ht="14.85" customHeight="1" outlineLevel="1" x14ac:dyDescent="0.25">
      <c r="A1719" s="101" t="s">
        <v>1502</v>
      </c>
      <c r="B1719" s="102" t="str">
        <f>"45.10"</f>
        <v>45.10</v>
      </c>
      <c r="C1719" s="101" t="s">
        <v>4543</v>
      </c>
      <c r="D1719" s="101" t="s">
        <v>4544</v>
      </c>
      <c r="E1719" s="79"/>
    </row>
    <row r="1720" spans="1:5" ht="14.85" customHeight="1" outlineLevel="1" x14ac:dyDescent="0.25">
      <c r="A1720" s="101" t="s">
        <v>1502</v>
      </c>
      <c r="B1720" s="102" t="str">
        <f>"45.1001"</f>
        <v>45.1001</v>
      </c>
      <c r="C1720" s="101" t="s">
        <v>4545</v>
      </c>
      <c r="D1720" s="101" t="s">
        <v>4546</v>
      </c>
      <c r="E1720" s="79"/>
    </row>
    <row r="1721" spans="1:5" ht="14.85" customHeight="1" outlineLevel="1" x14ac:dyDescent="0.25">
      <c r="A1721" s="101" t="s">
        <v>1502</v>
      </c>
      <c r="B1721" s="102" t="str">
        <f>"45.1002"</f>
        <v>45.1002</v>
      </c>
      <c r="C1721" s="101" t="s">
        <v>4547</v>
      </c>
      <c r="D1721" s="101" t="s">
        <v>4548</v>
      </c>
      <c r="E1721" s="79"/>
    </row>
    <row r="1722" spans="1:5" ht="14.85" customHeight="1" outlineLevel="1" x14ac:dyDescent="0.25">
      <c r="A1722" s="101" t="s">
        <v>1502</v>
      </c>
      <c r="B1722" s="102" t="str">
        <f>"45.1003"</f>
        <v>45.1003</v>
      </c>
      <c r="C1722" s="101" t="s">
        <v>4549</v>
      </c>
      <c r="D1722" s="101" t="s">
        <v>4550</v>
      </c>
      <c r="E1722" s="79"/>
    </row>
    <row r="1723" spans="1:5" ht="14.85" customHeight="1" outlineLevel="1" x14ac:dyDescent="0.25">
      <c r="A1723" s="101" t="s">
        <v>1502</v>
      </c>
      <c r="B1723" s="102" t="str">
        <f>"45.1004"</f>
        <v>45.1004</v>
      </c>
      <c r="C1723" s="101" t="s">
        <v>4551</v>
      </c>
      <c r="D1723" s="101" t="s">
        <v>4552</v>
      </c>
      <c r="E1723" s="79"/>
    </row>
    <row r="1724" spans="1:5" ht="14.85" customHeight="1" outlineLevel="1" x14ac:dyDescent="0.25">
      <c r="A1724" s="101" t="s">
        <v>1502</v>
      </c>
      <c r="B1724" s="102" t="str">
        <f>"45.1099"</f>
        <v>45.1099</v>
      </c>
      <c r="C1724" s="101" t="s">
        <v>4553</v>
      </c>
      <c r="D1724" s="101" t="s">
        <v>4554</v>
      </c>
      <c r="E1724" s="79"/>
    </row>
    <row r="1725" spans="1:5" ht="14.85" customHeight="1" outlineLevel="1" x14ac:dyDescent="0.25">
      <c r="A1725" s="101" t="s">
        <v>1502</v>
      </c>
      <c r="B1725" s="102" t="str">
        <f>"45.11"</f>
        <v>45.11</v>
      </c>
      <c r="C1725" s="101" t="s">
        <v>4555</v>
      </c>
      <c r="D1725" s="101" t="s">
        <v>4556</v>
      </c>
      <c r="E1725" s="79"/>
    </row>
    <row r="1726" spans="1:5" ht="14.85" customHeight="1" outlineLevel="1" x14ac:dyDescent="0.25">
      <c r="A1726" s="101" t="s">
        <v>1502</v>
      </c>
      <c r="B1726" s="102" t="str">
        <f>"45.1101"</f>
        <v>45.1101</v>
      </c>
      <c r="C1726" s="101" t="s">
        <v>4557</v>
      </c>
      <c r="D1726" s="101" t="s">
        <v>4558</v>
      </c>
      <c r="E1726" s="79"/>
    </row>
    <row r="1727" spans="1:5" ht="14.85" customHeight="1" outlineLevel="1" x14ac:dyDescent="0.25">
      <c r="A1727" s="101" t="s">
        <v>1502</v>
      </c>
      <c r="B1727" s="102" t="str">
        <f>"45.1102"</f>
        <v>45.1102</v>
      </c>
      <c r="C1727" s="101" t="s">
        <v>4559</v>
      </c>
      <c r="D1727" s="101" t="s">
        <v>4560</v>
      </c>
      <c r="E1727" s="79"/>
    </row>
    <row r="1728" spans="1:5" ht="14.85" customHeight="1" outlineLevel="1" x14ac:dyDescent="0.25">
      <c r="A1728" s="101" t="s">
        <v>1502</v>
      </c>
      <c r="B1728" s="102" t="str">
        <f>"45.1103"</f>
        <v>45.1103</v>
      </c>
      <c r="C1728" s="101" t="s">
        <v>4561</v>
      </c>
      <c r="D1728" s="101" t="s">
        <v>4562</v>
      </c>
      <c r="E1728" s="79"/>
    </row>
    <row r="1729" spans="1:5" ht="14.85" customHeight="1" outlineLevel="1" x14ac:dyDescent="0.25">
      <c r="A1729" s="101" t="s">
        <v>1502</v>
      </c>
      <c r="B1729" s="102" t="str">
        <f>"45.1199"</f>
        <v>45.1199</v>
      </c>
      <c r="C1729" s="101" t="s">
        <v>4563</v>
      </c>
      <c r="D1729" s="101" t="s">
        <v>4564</v>
      </c>
      <c r="E1729" s="79"/>
    </row>
    <row r="1730" spans="1:5" ht="14.85" customHeight="1" outlineLevel="1" x14ac:dyDescent="0.25">
      <c r="A1730" s="101" t="s">
        <v>1502</v>
      </c>
      <c r="B1730" s="102" t="str">
        <f>"45.12"</f>
        <v>45.12</v>
      </c>
      <c r="C1730" s="101" t="s">
        <v>4565</v>
      </c>
      <c r="D1730" s="101" t="s">
        <v>4566</v>
      </c>
      <c r="E1730" s="79"/>
    </row>
    <row r="1731" spans="1:5" ht="14.85" customHeight="1" outlineLevel="1" x14ac:dyDescent="0.25">
      <c r="A1731" s="101" t="s">
        <v>1502</v>
      </c>
      <c r="B1731" s="102" t="str">
        <f>"45.1201"</f>
        <v>45.1201</v>
      </c>
      <c r="C1731" s="101" t="s">
        <v>4565</v>
      </c>
      <c r="D1731" s="101" t="s">
        <v>4567</v>
      </c>
      <c r="E1731" s="79"/>
    </row>
    <row r="1732" spans="1:5" ht="14.85" customHeight="1" outlineLevel="1" x14ac:dyDescent="0.25">
      <c r="A1732" s="101" t="s">
        <v>1502</v>
      </c>
      <c r="B1732" s="102" t="str">
        <f>"45.13"</f>
        <v>45.13</v>
      </c>
      <c r="C1732" s="101" t="s">
        <v>4568</v>
      </c>
      <c r="D1732" s="101" t="s">
        <v>4569</v>
      </c>
      <c r="E1732" s="79"/>
    </row>
    <row r="1733" spans="1:5" ht="14.85" customHeight="1" outlineLevel="1" x14ac:dyDescent="0.25">
      <c r="A1733" s="101" t="s">
        <v>1502</v>
      </c>
      <c r="B1733" s="102" t="str">
        <f>"45.1301"</f>
        <v>45.1301</v>
      </c>
      <c r="C1733" s="101" t="s">
        <v>4568</v>
      </c>
      <c r="D1733" s="101" t="s">
        <v>4570</v>
      </c>
      <c r="E1733" s="79"/>
    </row>
    <row r="1734" spans="1:5" ht="14.85" customHeight="1" outlineLevel="1" x14ac:dyDescent="0.25">
      <c r="A1734" s="101" t="s">
        <v>1502</v>
      </c>
      <c r="B1734" s="102" t="str">
        <f>"45.15"</f>
        <v>45.15</v>
      </c>
      <c r="C1734" s="101" t="s">
        <v>4571</v>
      </c>
      <c r="D1734" s="101" t="s">
        <v>4572</v>
      </c>
      <c r="E1734" s="79"/>
    </row>
    <row r="1735" spans="1:5" ht="14.85" customHeight="1" outlineLevel="1" x14ac:dyDescent="0.25">
      <c r="A1735" s="101" t="s">
        <v>1502</v>
      </c>
      <c r="B1735" s="102" t="str">
        <f>"45.1501"</f>
        <v>45.1501</v>
      </c>
      <c r="C1735" s="101" t="s">
        <v>4571</v>
      </c>
      <c r="D1735" s="101" t="s">
        <v>4573</v>
      </c>
      <c r="E1735" s="79"/>
    </row>
    <row r="1736" spans="1:5" ht="14.85" customHeight="1" outlineLevel="1" x14ac:dyDescent="0.25">
      <c r="A1736" s="101" t="s">
        <v>1502</v>
      </c>
      <c r="B1736" s="102" t="str">
        <f>"45.99"</f>
        <v>45.99</v>
      </c>
      <c r="C1736" s="101" t="s">
        <v>4483</v>
      </c>
      <c r="D1736" s="101" t="s">
        <v>4574</v>
      </c>
      <c r="E1736" s="79"/>
    </row>
    <row r="1737" spans="1:5" ht="14.85" customHeight="1" outlineLevel="1" x14ac:dyDescent="0.25">
      <c r="A1737" s="101" t="s">
        <v>1502</v>
      </c>
      <c r="B1737" s="102" t="str">
        <f>"45.9999"</f>
        <v>45.9999</v>
      </c>
      <c r="C1737" s="101" t="s">
        <v>4483</v>
      </c>
      <c r="D1737" s="101" t="s">
        <v>4575</v>
      </c>
      <c r="E1737" s="79"/>
    </row>
    <row r="1738" spans="1:5" ht="14.85" customHeight="1" outlineLevel="1" x14ac:dyDescent="0.25">
      <c r="A1738" s="101" t="s">
        <v>1502</v>
      </c>
      <c r="B1738" s="102" t="str">
        <f>"46"</f>
        <v>46</v>
      </c>
      <c r="C1738" s="101" t="s">
        <v>4576</v>
      </c>
      <c r="D1738" s="101" t="s">
        <v>4577</v>
      </c>
      <c r="E1738" s="79"/>
    </row>
    <row r="1739" spans="1:5" ht="14.85" customHeight="1" outlineLevel="1" x14ac:dyDescent="0.25">
      <c r="A1739" s="101" t="s">
        <v>1502</v>
      </c>
      <c r="B1739" s="102" t="str">
        <f>"46.00"</f>
        <v>46.00</v>
      </c>
      <c r="C1739" s="101" t="s">
        <v>4578</v>
      </c>
      <c r="D1739" s="101" t="s">
        <v>4579</v>
      </c>
      <c r="E1739" s="79"/>
    </row>
    <row r="1740" spans="1:5" ht="14.85" customHeight="1" outlineLevel="1" x14ac:dyDescent="0.25">
      <c r="A1740" s="101" t="s">
        <v>1502</v>
      </c>
      <c r="B1740" s="102" t="str">
        <f>"46.0000"</f>
        <v>46.0000</v>
      </c>
      <c r="C1740" s="101" t="s">
        <v>4578</v>
      </c>
      <c r="D1740" s="101" t="s">
        <v>4580</v>
      </c>
      <c r="E1740" s="79"/>
    </row>
    <row r="1741" spans="1:5" ht="14.85" customHeight="1" outlineLevel="1" x14ac:dyDescent="0.25">
      <c r="A1741" s="101" t="s">
        <v>1502</v>
      </c>
      <c r="B1741" s="102" t="str">
        <f>"46.01"</f>
        <v>46.01</v>
      </c>
      <c r="C1741" s="101" t="s">
        <v>4581</v>
      </c>
      <c r="D1741" s="101" t="s">
        <v>4582</v>
      </c>
      <c r="E1741" s="79"/>
    </row>
    <row r="1742" spans="1:5" ht="14.85" customHeight="1" outlineLevel="1" x14ac:dyDescent="0.25">
      <c r="A1742" s="101" t="s">
        <v>1502</v>
      </c>
      <c r="B1742" s="102" t="str">
        <f>"46.0101"</f>
        <v>46.0101</v>
      </c>
      <c r="C1742" s="101" t="s">
        <v>4581</v>
      </c>
      <c r="D1742" s="101" t="s">
        <v>4583</v>
      </c>
      <c r="E1742" s="79"/>
    </row>
    <row r="1743" spans="1:5" ht="14.85" customHeight="1" outlineLevel="1" x14ac:dyDescent="0.25">
      <c r="A1743" s="101" t="s">
        <v>1502</v>
      </c>
      <c r="B1743" s="102" t="str">
        <f>"46.02"</f>
        <v>46.02</v>
      </c>
      <c r="C1743" s="101" t="s">
        <v>4584</v>
      </c>
      <c r="D1743" s="101" t="s">
        <v>4585</v>
      </c>
      <c r="E1743" s="79"/>
    </row>
    <row r="1744" spans="1:5" ht="14.85" customHeight="1" outlineLevel="1" x14ac:dyDescent="0.25">
      <c r="A1744" s="101" t="s">
        <v>1502</v>
      </c>
      <c r="B1744" s="102" t="str">
        <f>"46.0201"</f>
        <v>46.0201</v>
      </c>
      <c r="C1744" s="101" t="s">
        <v>4586</v>
      </c>
      <c r="D1744" s="101" t="s">
        <v>4587</v>
      </c>
      <c r="E1744" s="79"/>
    </row>
    <row r="1745" spans="1:5" ht="14.85" customHeight="1" outlineLevel="1" x14ac:dyDescent="0.25">
      <c r="A1745" s="101" t="s">
        <v>1502</v>
      </c>
      <c r="B1745" s="102" t="str">
        <f>"46.03"</f>
        <v>46.03</v>
      </c>
      <c r="C1745" s="101" t="s">
        <v>4588</v>
      </c>
      <c r="D1745" s="101" t="s">
        <v>4589</v>
      </c>
      <c r="E1745" s="79"/>
    </row>
    <row r="1746" spans="1:5" ht="14.85" customHeight="1" outlineLevel="1" x14ac:dyDescent="0.25">
      <c r="A1746" s="101" t="s">
        <v>1502</v>
      </c>
      <c r="B1746" s="102" t="str">
        <f>"46.0301"</f>
        <v>46.0301</v>
      </c>
      <c r="C1746" s="101" t="s">
        <v>4590</v>
      </c>
      <c r="D1746" s="101" t="s">
        <v>4591</v>
      </c>
      <c r="E1746" s="79"/>
    </row>
    <row r="1747" spans="1:5" ht="14.85" customHeight="1" outlineLevel="1" x14ac:dyDescent="0.25">
      <c r="A1747" s="101" t="s">
        <v>1502</v>
      </c>
      <c r="B1747" s="102" t="str">
        <f>"46.0302"</f>
        <v>46.0302</v>
      </c>
      <c r="C1747" s="101" t="s">
        <v>4592</v>
      </c>
      <c r="D1747" s="101" t="s">
        <v>4593</v>
      </c>
      <c r="E1747" s="79"/>
    </row>
    <row r="1748" spans="1:5" ht="14.85" customHeight="1" outlineLevel="1" x14ac:dyDescent="0.25">
      <c r="A1748" s="101" t="s">
        <v>1502</v>
      </c>
      <c r="B1748" s="102" t="str">
        <f>"46.0303"</f>
        <v>46.0303</v>
      </c>
      <c r="C1748" s="101" t="s">
        <v>4594</v>
      </c>
      <c r="D1748" s="101" t="s">
        <v>4595</v>
      </c>
      <c r="E1748" s="79"/>
    </row>
    <row r="1749" spans="1:5" ht="14.85" customHeight="1" outlineLevel="1" x14ac:dyDescent="0.25">
      <c r="A1749" s="101" t="s">
        <v>1502</v>
      </c>
      <c r="B1749" s="102" t="str">
        <f>"46.0399"</f>
        <v>46.0399</v>
      </c>
      <c r="C1749" s="101" t="s">
        <v>4596</v>
      </c>
      <c r="D1749" s="101" t="s">
        <v>4597</v>
      </c>
      <c r="E1749" s="79"/>
    </row>
    <row r="1750" spans="1:5" ht="14.85" customHeight="1" outlineLevel="1" x14ac:dyDescent="0.25">
      <c r="A1750" s="101" t="s">
        <v>1502</v>
      </c>
      <c r="B1750" s="102" t="str">
        <f>"46.04"</f>
        <v>46.04</v>
      </c>
      <c r="C1750" s="101" t="s">
        <v>4598</v>
      </c>
      <c r="D1750" s="101" t="s">
        <v>4599</v>
      </c>
      <c r="E1750" s="79"/>
    </row>
    <row r="1751" spans="1:5" ht="14.85" customHeight="1" outlineLevel="1" x14ac:dyDescent="0.25">
      <c r="A1751" s="101" t="s">
        <v>1502</v>
      </c>
      <c r="B1751" s="102" t="str">
        <f>"46.0401"</f>
        <v>46.0401</v>
      </c>
      <c r="C1751" s="101" t="s">
        <v>4600</v>
      </c>
      <c r="D1751" s="101" t="s">
        <v>4601</v>
      </c>
      <c r="E1751" s="79"/>
    </row>
    <row r="1752" spans="1:5" ht="14.85" customHeight="1" outlineLevel="1" x14ac:dyDescent="0.25">
      <c r="A1752" s="101" t="s">
        <v>1502</v>
      </c>
      <c r="B1752" s="102" t="str">
        <f>"46.0402"</f>
        <v>46.0402</v>
      </c>
      <c r="C1752" s="101" t="s">
        <v>4602</v>
      </c>
      <c r="D1752" s="101" t="s">
        <v>4603</v>
      </c>
      <c r="E1752" s="79"/>
    </row>
    <row r="1753" spans="1:5" ht="14.85" customHeight="1" outlineLevel="1" x14ac:dyDescent="0.25">
      <c r="A1753" s="101" t="s">
        <v>1502</v>
      </c>
      <c r="B1753" s="102" t="str">
        <f>"46.0403"</f>
        <v>46.0403</v>
      </c>
      <c r="C1753" s="101" t="s">
        <v>4604</v>
      </c>
      <c r="D1753" s="101" t="s">
        <v>4605</v>
      </c>
      <c r="E1753" s="79"/>
    </row>
    <row r="1754" spans="1:5" ht="14.85" customHeight="1" outlineLevel="1" x14ac:dyDescent="0.25">
      <c r="A1754" s="101" t="s">
        <v>1502</v>
      </c>
      <c r="B1754" s="102" t="str">
        <f>"46.0404"</f>
        <v>46.0404</v>
      </c>
      <c r="C1754" s="101" t="s">
        <v>4606</v>
      </c>
      <c r="D1754" s="101" t="s">
        <v>4607</v>
      </c>
      <c r="E1754" s="79"/>
    </row>
    <row r="1755" spans="1:5" ht="14.85" customHeight="1" outlineLevel="1" x14ac:dyDescent="0.25">
      <c r="A1755" s="101" t="s">
        <v>1502</v>
      </c>
      <c r="B1755" s="102" t="str">
        <f>"46.0406"</f>
        <v>46.0406</v>
      </c>
      <c r="C1755" s="101" t="s">
        <v>4608</v>
      </c>
      <c r="D1755" s="101" t="s">
        <v>4609</v>
      </c>
      <c r="E1755" s="79"/>
    </row>
    <row r="1756" spans="1:5" ht="14.85" customHeight="1" outlineLevel="1" x14ac:dyDescent="0.25">
      <c r="A1756" s="101" t="s">
        <v>1502</v>
      </c>
      <c r="B1756" s="102" t="str">
        <f>"46.0408"</f>
        <v>46.0408</v>
      </c>
      <c r="C1756" s="101" t="s">
        <v>4610</v>
      </c>
      <c r="D1756" s="101" t="s">
        <v>4611</v>
      </c>
      <c r="E1756" s="79"/>
    </row>
    <row r="1757" spans="1:5" ht="14.85" customHeight="1" outlineLevel="1" x14ac:dyDescent="0.25">
      <c r="A1757" s="101" t="s">
        <v>1502</v>
      </c>
      <c r="B1757" s="102" t="str">
        <f>"46.0410"</f>
        <v>46.0410</v>
      </c>
      <c r="C1757" s="101" t="s">
        <v>4612</v>
      </c>
      <c r="D1757" s="101" t="s">
        <v>4613</v>
      </c>
      <c r="E1757" s="79"/>
    </row>
    <row r="1758" spans="1:5" ht="14.85" customHeight="1" outlineLevel="1" x14ac:dyDescent="0.25">
      <c r="A1758" s="101" t="s">
        <v>1502</v>
      </c>
      <c r="B1758" s="102" t="str">
        <f>"46.0411"</f>
        <v>46.0411</v>
      </c>
      <c r="C1758" s="101" t="s">
        <v>4614</v>
      </c>
      <c r="D1758" s="101" t="s">
        <v>4615</v>
      </c>
      <c r="E1758" s="79"/>
    </row>
    <row r="1759" spans="1:5" ht="14.85" customHeight="1" outlineLevel="1" x14ac:dyDescent="0.25">
      <c r="A1759" s="101" t="s">
        <v>1502</v>
      </c>
      <c r="B1759" s="102" t="str">
        <f>"46.0412"</f>
        <v>46.0412</v>
      </c>
      <c r="C1759" s="101" t="s">
        <v>4616</v>
      </c>
      <c r="D1759" s="101" t="s">
        <v>4617</v>
      </c>
      <c r="E1759" s="79"/>
    </row>
    <row r="1760" spans="1:5" ht="14.85" customHeight="1" outlineLevel="1" x14ac:dyDescent="0.25">
      <c r="A1760" s="101" t="s">
        <v>1502</v>
      </c>
      <c r="B1760" s="102" t="str">
        <f>"46.0413"</f>
        <v>46.0413</v>
      </c>
      <c r="C1760" s="101" t="s">
        <v>4618</v>
      </c>
      <c r="D1760" s="101" t="s">
        <v>4619</v>
      </c>
      <c r="E1760" s="79"/>
    </row>
    <row r="1761" spans="1:5" ht="14.85" customHeight="1" outlineLevel="1" x14ac:dyDescent="0.25">
      <c r="A1761" s="101" t="s">
        <v>1502</v>
      </c>
      <c r="B1761" s="102" t="str">
        <f>"46.0414"</f>
        <v>46.0414</v>
      </c>
      <c r="C1761" s="101" t="s">
        <v>4620</v>
      </c>
      <c r="D1761" s="101" t="s">
        <v>4621</v>
      </c>
      <c r="E1761" s="79"/>
    </row>
    <row r="1762" spans="1:5" ht="14.85" customHeight="1" outlineLevel="1" x14ac:dyDescent="0.25">
      <c r="A1762" s="101" t="s">
        <v>1502</v>
      </c>
      <c r="B1762" s="102" t="str">
        <f>"46.0415"</f>
        <v>46.0415</v>
      </c>
      <c r="C1762" s="101" t="s">
        <v>4622</v>
      </c>
      <c r="D1762" s="101" t="s">
        <v>4623</v>
      </c>
      <c r="E1762" s="79"/>
    </row>
    <row r="1763" spans="1:5" ht="14.85" customHeight="1" outlineLevel="1" x14ac:dyDescent="0.25">
      <c r="A1763" s="101" t="s">
        <v>1502</v>
      </c>
      <c r="B1763" s="102" t="str">
        <f>"46.0499"</f>
        <v>46.0499</v>
      </c>
      <c r="C1763" s="101" t="s">
        <v>4624</v>
      </c>
      <c r="D1763" s="101" t="s">
        <v>4625</v>
      </c>
      <c r="E1763" s="79"/>
    </row>
    <row r="1764" spans="1:5" ht="14.85" customHeight="1" outlineLevel="1" x14ac:dyDescent="0.25">
      <c r="A1764" s="101" t="s">
        <v>1502</v>
      </c>
      <c r="B1764" s="102" t="str">
        <f>"46.05"</f>
        <v>46.05</v>
      </c>
      <c r="C1764" s="101" t="s">
        <v>4626</v>
      </c>
      <c r="D1764" s="101" t="s">
        <v>4627</v>
      </c>
      <c r="E1764" s="79"/>
    </row>
    <row r="1765" spans="1:5" ht="14.85" customHeight="1" outlineLevel="1" x14ac:dyDescent="0.25">
      <c r="A1765" s="101" t="s">
        <v>1502</v>
      </c>
      <c r="B1765" s="102" t="str">
        <f>"46.0502"</f>
        <v>46.0502</v>
      </c>
      <c r="C1765" s="101" t="s">
        <v>4628</v>
      </c>
      <c r="D1765" s="101" t="s">
        <v>4629</v>
      </c>
      <c r="E1765" s="79"/>
    </row>
    <row r="1766" spans="1:5" ht="14.85" customHeight="1" outlineLevel="1" x14ac:dyDescent="0.25">
      <c r="A1766" s="101" t="s">
        <v>1502</v>
      </c>
      <c r="B1766" s="102" t="str">
        <f>"46.0503"</f>
        <v>46.0503</v>
      </c>
      <c r="C1766" s="101" t="s">
        <v>4630</v>
      </c>
      <c r="D1766" s="101" t="s">
        <v>4631</v>
      </c>
      <c r="E1766" s="79"/>
    </row>
    <row r="1767" spans="1:5" ht="14.85" customHeight="1" outlineLevel="1" x14ac:dyDescent="0.25">
      <c r="A1767" s="101" t="s">
        <v>1502</v>
      </c>
      <c r="B1767" s="102" t="str">
        <f>"46.0504"</f>
        <v>46.0504</v>
      </c>
      <c r="C1767" s="101" t="s">
        <v>4632</v>
      </c>
      <c r="D1767" s="101" t="s">
        <v>4633</v>
      </c>
      <c r="E1767" s="79"/>
    </row>
    <row r="1768" spans="1:5" ht="14.85" customHeight="1" outlineLevel="1" x14ac:dyDescent="0.25">
      <c r="A1768" s="101" t="s">
        <v>1502</v>
      </c>
      <c r="B1768" s="102" t="str">
        <f>"46.0505"</f>
        <v>46.0505</v>
      </c>
      <c r="C1768" s="101" t="s">
        <v>4634</v>
      </c>
      <c r="D1768" s="101" t="s">
        <v>4635</v>
      </c>
      <c r="E1768" s="79"/>
    </row>
    <row r="1769" spans="1:5" ht="14.85" customHeight="1" outlineLevel="1" x14ac:dyDescent="0.25">
      <c r="A1769" s="101" t="s">
        <v>1502</v>
      </c>
      <c r="B1769" s="102" t="str">
        <f>"46.0599"</f>
        <v>46.0599</v>
      </c>
      <c r="C1769" s="101" t="s">
        <v>4636</v>
      </c>
      <c r="D1769" s="101" t="s">
        <v>4637</v>
      </c>
      <c r="E1769" s="79"/>
    </row>
    <row r="1770" spans="1:5" ht="14.85" customHeight="1" outlineLevel="1" x14ac:dyDescent="0.25">
      <c r="A1770" s="101" t="s">
        <v>1502</v>
      </c>
      <c r="B1770" s="102" t="str">
        <f>"46.99"</f>
        <v>46.99</v>
      </c>
      <c r="C1770" s="101" t="s">
        <v>4638</v>
      </c>
      <c r="D1770" s="101" t="s">
        <v>4639</v>
      </c>
      <c r="E1770" s="79"/>
    </row>
    <row r="1771" spans="1:5" ht="14.85" customHeight="1" outlineLevel="1" x14ac:dyDescent="0.25">
      <c r="A1771" s="101" t="s">
        <v>1502</v>
      </c>
      <c r="B1771" s="102" t="str">
        <f>"46.9999"</f>
        <v>46.9999</v>
      </c>
      <c r="C1771" s="101" t="s">
        <v>4638</v>
      </c>
      <c r="D1771" s="101" t="s">
        <v>4640</v>
      </c>
      <c r="E1771" s="79"/>
    </row>
    <row r="1772" spans="1:5" ht="14.85" customHeight="1" outlineLevel="1" x14ac:dyDescent="0.25">
      <c r="A1772" s="101" t="s">
        <v>1502</v>
      </c>
      <c r="B1772" s="102" t="str">
        <f>"47"</f>
        <v>47</v>
      </c>
      <c r="C1772" s="101" t="s">
        <v>4641</v>
      </c>
      <c r="D1772" s="101" t="s">
        <v>4642</v>
      </c>
      <c r="E1772" s="79"/>
    </row>
    <row r="1773" spans="1:5" ht="14.85" customHeight="1" outlineLevel="1" x14ac:dyDescent="0.25">
      <c r="A1773" s="101" t="s">
        <v>1502</v>
      </c>
      <c r="B1773" s="102" t="str">
        <f>"47.00"</f>
        <v>47.00</v>
      </c>
      <c r="C1773" s="101" t="s">
        <v>4643</v>
      </c>
      <c r="D1773" s="101" t="s">
        <v>4644</v>
      </c>
      <c r="E1773" s="79"/>
    </row>
    <row r="1774" spans="1:5" ht="14.85" customHeight="1" outlineLevel="1" x14ac:dyDescent="0.25">
      <c r="A1774" s="101" t="s">
        <v>1502</v>
      </c>
      <c r="B1774" s="102" t="str">
        <f>"47.0000"</f>
        <v>47.0000</v>
      </c>
      <c r="C1774" s="101" t="s">
        <v>4643</v>
      </c>
      <c r="D1774" s="101" t="s">
        <v>4645</v>
      </c>
      <c r="E1774" s="79"/>
    </row>
    <row r="1775" spans="1:5" ht="14.85" customHeight="1" outlineLevel="1" x14ac:dyDescent="0.25">
      <c r="A1775" s="101" t="s">
        <v>1502</v>
      </c>
      <c r="B1775" s="102" t="str">
        <f>"47.01"</f>
        <v>47.01</v>
      </c>
      <c r="C1775" s="101" t="s">
        <v>4646</v>
      </c>
      <c r="D1775" s="101" t="s">
        <v>4647</v>
      </c>
      <c r="E1775" s="79"/>
    </row>
    <row r="1776" spans="1:5" ht="14.85" customHeight="1" outlineLevel="1" x14ac:dyDescent="0.25">
      <c r="A1776" s="101" t="s">
        <v>1502</v>
      </c>
      <c r="B1776" s="102" t="str">
        <f>"47.0101"</f>
        <v>47.0101</v>
      </c>
      <c r="C1776" s="101" t="s">
        <v>4648</v>
      </c>
      <c r="D1776" s="101" t="s">
        <v>4649</v>
      </c>
      <c r="E1776" s="79"/>
    </row>
    <row r="1777" spans="1:5" ht="14.85" customHeight="1" outlineLevel="1" x14ac:dyDescent="0.25">
      <c r="A1777" s="101" t="s">
        <v>1502</v>
      </c>
      <c r="B1777" s="102" t="str">
        <f>"47.0102"</f>
        <v>47.0102</v>
      </c>
      <c r="C1777" s="101" t="s">
        <v>4650</v>
      </c>
      <c r="D1777" s="101" t="s">
        <v>4651</v>
      </c>
      <c r="E1777" s="79"/>
    </row>
    <row r="1778" spans="1:5" ht="14.85" customHeight="1" outlineLevel="1" x14ac:dyDescent="0.25">
      <c r="A1778" s="101" t="s">
        <v>1502</v>
      </c>
      <c r="B1778" s="102" t="str">
        <f>"47.0103"</f>
        <v>47.0103</v>
      </c>
      <c r="C1778" s="101" t="s">
        <v>4652</v>
      </c>
      <c r="D1778" s="101" t="s">
        <v>4653</v>
      </c>
      <c r="E1778" s="79"/>
    </row>
    <row r="1779" spans="1:5" ht="14.85" customHeight="1" outlineLevel="1" x14ac:dyDescent="0.25">
      <c r="A1779" s="101" t="s">
        <v>1502</v>
      </c>
      <c r="B1779" s="102" t="str">
        <f>"47.0104"</f>
        <v>47.0104</v>
      </c>
      <c r="C1779" s="101" t="s">
        <v>4654</v>
      </c>
      <c r="D1779" s="101" t="s">
        <v>4655</v>
      </c>
      <c r="E1779" s="79"/>
    </row>
    <row r="1780" spans="1:5" ht="14.85" customHeight="1" outlineLevel="1" x14ac:dyDescent="0.25">
      <c r="A1780" s="101" t="s">
        <v>1502</v>
      </c>
      <c r="B1780" s="102" t="str">
        <f>"47.0105"</f>
        <v>47.0105</v>
      </c>
      <c r="C1780" s="101" t="s">
        <v>4656</v>
      </c>
      <c r="D1780" s="101" t="s">
        <v>4657</v>
      </c>
      <c r="E1780" s="79"/>
    </row>
    <row r="1781" spans="1:5" ht="14.85" customHeight="1" outlineLevel="1" x14ac:dyDescent="0.25">
      <c r="A1781" s="101" t="s">
        <v>1502</v>
      </c>
      <c r="B1781" s="102" t="str">
        <f>"47.0106"</f>
        <v>47.0106</v>
      </c>
      <c r="C1781" s="101" t="s">
        <v>4658</v>
      </c>
      <c r="D1781" s="101" t="s">
        <v>4659</v>
      </c>
      <c r="E1781" s="79"/>
    </row>
    <row r="1782" spans="1:5" ht="14.85" customHeight="1" outlineLevel="1" x14ac:dyDescent="0.25">
      <c r="A1782" s="101" t="s">
        <v>1502</v>
      </c>
      <c r="B1782" s="102" t="str">
        <f>"47.0110"</f>
        <v>47.0110</v>
      </c>
      <c r="C1782" s="101" t="s">
        <v>4660</v>
      </c>
      <c r="D1782" s="101" t="s">
        <v>4661</v>
      </c>
      <c r="E1782" s="79"/>
    </row>
    <row r="1783" spans="1:5" ht="14.85" customHeight="1" outlineLevel="1" x14ac:dyDescent="0.25">
      <c r="A1783" s="101" t="s">
        <v>1502</v>
      </c>
      <c r="B1783" s="102" t="str">
        <f>"47.0199"</f>
        <v>47.0199</v>
      </c>
      <c r="C1783" s="101" t="s">
        <v>4662</v>
      </c>
      <c r="D1783" s="101" t="s">
        <v>4663</v>
      </c>
      <c r="E1783" s="79"/>
    </row>
    <row r="1784" spans="1:5" ht="14.85" customHeight="1" outlineLevel="1" x14ac:dyDescent="0.25">
      <c r="A1784" s="101" t="s">
        <v>1502</v>
      </c>
      <c r="B1784" s="102" t="str">
        <f>"47.02"</f>
        <v>47.02</v>
      </c>
      <c r="C1784" s="101" t="s">
        <v>4664</v>
      </c>
      <c r="D1784" s="101" t="s">
        <v>4665</v>
      </c>
      <c r="E1784" s="79"/>
    </row>
    <row r="1785" spans="1:5" ht="14.85" customHeight="1" outlineLevel="1" x14ac:dyDescent="0.25">
      <c r="A1785" s="101" t="s">
        <v>1502</v>
      </c>
      <c r="B1785" s="102" t="str">
        <f>"47.0201"</f>
        <v>47.0201</v>
      </c>
      <c r="C1785" s="101" t="s">
        <v>4666</v>
      </c>
      <c r="D1785" s="101" t="s">
        <v>4667</v>
      </c>
      <c r="E1785" s="79"/>
    </row>
    <row r="1786" spans="1:5" ht="14.85" customHeight="1" outlineLevel="1" x14ac:dyDescent="0.25">
      <c r="A1786" s="101" t="s">
        <v>1502</v>
      </c>
      <c r="B1786" s="102" t="str">
        <f>"47.03"</f>
        <v>47.03</v>
      </c>
      <c r="C1786" s="101" t="s">
        <v>4668</v>
      </c>
      <c r="D1786" s="101" t="s">
        <v>4669</v>
      </c>
      <c r="E1786" s="79"/>
    </row>
    <row r="1787" spans="1:5" ht="14.85" customHeight="1" outlineLevel="1" x14ac:dyDescent="0.25">
      <c r="A1787" s="101" t="s">
        <v>1502</v>
      </c>
      <c r="B1787" s="102" t="str">
        <f>"47.0302"</f>
        <v>47.0302</v>
      </c>
      <c r="C1787" s="101" t="s">
        <v>4670</v>
      </c>
      <c r="D1787" s="101" t="s">
        <v>4671</v>
      </c>
      <c r="E1787" s="79"/>
    </row>
    <row r="1788" spans="1:5" ht="14.85" customHeight="1" outlineLevel="1" x14ac:dyDescent="0.25">
      <c r="A1788" s="101" t="s">
        <v>1502</v>
      </c>
      <c r="B1788" s="102" t="str">
        <f>"47.0303"</f>
        <v>47.0303</v>
      </c>
      <c r="C1788" s="101" t="s">
        <v>4672</v>
      </c>
      <c r="D1788" s="101" t="s">
        <v>4673</v>
      </c>
      <c r="E1788" s="79"/>
    </row>
    <row r="1789" spans="1:5" ht="14.85" customHeight="1" outlineLevel="1" x14ac:dyDescent="0.25">
      <c r="A1789" s="101" t="s">
        <v>1502</v>
      </c>
      <c r="B1789" s="102" t="str">
        <f>"47.0399"</f>
        <v>47.0399</v>
      </c>
      <c r="C1789" s="101" t="s">
        <v>4674</v>
      </c>
      <c r="D1789" s="101" t="s">
        <v>4675</v>
      </c>
      <c r="E1789" s="79"/>
    </row>
    <row r="1790" spans="1:5" ht="14.85" customHeight="1" outlineLevel="1" x14ac:dyDescent="0.25">
      <c r="A1790" s="101" t="s">
        <v>1502</v>
      </c>
      <c r="B1790" s="102" t="str">
        <f>"47.04"</f>
        <v>47.04</v>
      </c>
      <c r="C1790" s="101" t="s">
        <v>4676</v>
      </c>
      <c r="D1790" s="101" t="s">
        <v>4677</v>
      </c>
      <c r="E1790" s="79"/>
    </row>
    <row r="1791" spans="1:5" ht="14.85" customHeight="1" outlineLevel="1" x14ac:dyDescent="0.25">
      <c r="A1791" s="101" t="s">
        <v>1502</v>
      </c>
      <c r="B1791" s="102" t="str">
        <f>"47.0402"</f>
        <v>47.0402</v>
      </c>
      <c r="C1791" s="101" t="s">
        <v>4678</v>
      </c>
      <c r="D1791" s="101" t="s">
        <v>4679</v>
      </c>
      <c r="E1791" s="79"/>
    </row>
    <row r="1792" spans="1:5" ht="14.85" customHeight="1" outlineLevel="1" x14ac:dyDescent="0.25">
      <c r="A1792" s="101" t="s">
        <v>1502</v>
      </c>
      <c r="B1792" s="102" t="str">
        <f>"47.0403"</f>
        <v>47.0403</v>
      </c>
      <c r="C1792" s="101" t="s">
        <v>4680</v>
      </c>
      <c r="D1792" s="101" t="s">
        <v>4681</v>
      </c>
      <c r="E1792" s="79"/>
    </row>
    <row r="1793" spans="1:5" ht="14.85" customHeight="1" outlineLevel="1" x14ac:dyDescent="0.25">
      <c r="A1793" s="101" t="s">
        <v>1502</v>
      </c>
      <c r="B1793" s="102" t="str">
        <f>"47.0404"</f>
        <v>47.0404</v>
      </c>
      <c r="C1793" s="101" t="s">
        <v>4682</v>
      </c>
      <c r="D1793" s="101" t="s">
        <v>4683</v>
      </c>
      <c r="E1793" s="79"/>
    </row>
    <row r="1794" spans="1:5" ht="14.85" customHeight="1" outlineLevel="1" x14ac:dyDescent="0.25">
      <c r="A1794" s="101" t="s">
        <v>1502</v>
      </c>
      <c r="B1794" s="102" t="str">
        <f>"47.0408"</f>
        <v>47.0408</v>
      </c>
      <c r="C1794" s="101" t="s">
        <v>4684</v>
      </c>
      <c r="D1794" s="101" t="s">
        <v>4685</v>
      </c>
      <c r="E1794" s="79"/>
    </row>
    <row r="1795" spans="1:5" ht="14.85" customHeight="1" outlineLevel="1" x14ac:dyDescent="0.25">
      <c r="A1795" s="101" t="s">
        <v>1502</v>
      </c>
      <c r="B1795" s="102" t="str">
        <f>"47.0409"</f>
        <v>47.0409</v>
      </c>
      <c r="C1795" s="101" t="s">
        <v>4686</v>
      </c>
      <c r="D1795" s="101" t="s">
        <v>4687</v>
      </c>
      <c r="E1795" s="79"/>
    </row>
    <row r="1796" spans="1:5" ht="14.85" customHeight="1" outlineLevel="1" x14ac:dyDescent="0.25">
      <c r="A1796" s="101" t="s">
        <v>1502</v>
      </c>
      <c r="B1796" s="102" t="str">
        <f>"47.0499"</f>
        <v>47.0499</v>
      </c>
      <c r="C1796" s="101" t="s">
        <v>4688</v>
      </c>
      <c r="D1796" s="101" t="s">
        <v>4689</v>
      </c>
      <c r="E1796" s="79"/>
    </row>
    <row r="1797" spans="1:5" ht="14.85" customHeight="1" outlineLevel="1" x14ac:dyDescent="0.25">
      <c r="A1797" s="101" t="s">
        <v>1502</v>
      </c>
      <c r="B1797" s="102" t="str">
        <f>"47.06"</f>
        <v>47.06</v>
      </c>
      <c r="C1797" s="101" t="s">
        <v>4690</v>
      </c>
      <c r="D1797" s="101" t="s">
        <v>4691</v>
      </c>
      <c r="E1797" s="79"/>
    </row>
    <row r="1798" spans="1:5" ht="14.85" customHeight="1" outlineLevel="1" x14ac:dyDescent="0.25">
      <c r="A1798" s="101" t="s">
        <v>1502</v>
      </c>
      <c r="B1798" s="102" t="str">
        <f>"47.0600"</f>
        <v>47.0600</v>
      </c>
      <c r="C1798" s="101" t="s">
        <v>4692</v>
      </c>
      <c r="D1798" s="101" t="s">
        <v>4693</v>
      </c>
      <c r="E1798" s="79"/>
    </row>
    <row r="1799" spans="1:5" ht="14.85" customHeight="1" outlineLevel="1" x14ac:dyDescent="0.25">
      <c r="A1799" s="101" t="s">
        <v>1502</v>
      </c>
      <c r="B1799" s="102" t="str">
        <f>"47.0603"</f>
        <v>47.0603</v>
      </c>
      <c r="C1799" s="101" t="s">
        <v>4694</v>
      </c>
      <c r="D1799" s="101" t="s">
        <v>4695</v>
      </c>
      <c r="E1799" s="79"/>
    </row>
    <row r="1800" spans="1:5" ht="14.85" customHeight="1" outlineLevel="1" x14ac:dyDescent="0.25">
      <c r="A1800" s="101" t="s">
        <v>1502</v>
      </c>
      <c r="B1800" s="102" t="str">
        <f>"47.0604"</f>
        <v>47.0604</v>
      </c>
      <c r="C1800" s="101" t="s">
        <v>4696</v>
      </c>
      <c r="D1800" s="101" t="s">
        <v>4697</v>
      </c>
      <c r="E1800" s="79"/>
    </row>
    <row r="1801" spans="1:5" ht="14.85" customHeight="1" outlineLevel="1" x14ac:dyDescent="0.25">
      <c r="A1801" s="101" t="s">
        <v>1502</v>
      </c>
      <c r="B1801" s="102" t="str">
        <f>"47.0605"</f>
        <v>47.0605</v>
      </c>
      <c r="C1801" s="101" t="s">
        <v>4698</v>
      </c>
      <c r="D1801" s="101" t="s">
        <v>4699</v>
      </c>
      <c r="E1801" s="79"/>
    </row>
    <row r="1802" spans="1:5" ht="14.85" customHeight="1" outlineLevel="1" x14ac:dyDescent="0.25">
      <c r="A1802" s="101" t="s">
        <v>1502</v>
      </c>
      <c r="B1802" s="102" t="str">
        <f>"47.0606"</f>
        <v>47.0606</v>
      </c>
      <c r="C1802" s="101" t="s">
        <v>4700</v>
      </c>
      <c r="D1802" s="101" t="s">
        <v>4701</v>
      </c>
      <c r="E1802" s="79"/>
    </row>
    <row r="1803" spans="1:5" ht="14.85" customHeight="1" outlineLevel="1" x14ac:dyDescent="0.25">
      <c r="A1803" s="101" t="s">
        <v>1502</v>
      </c>
      <c r="B1803" s="102" t="str">
        <f>"47.0607"</f>
        <v>47.0607</v>
      </c>
      <c r="C1803" s="101" t="s">
        <v>4702</v>
      </c>
      <c r="D1803" s="101" t="s">
        <v>4703</v>
      </c>
      <c r="E1803" s="79"/>
    </row>
    <row r="1804" spans="1:5" ht="14.85" customHeight="1" outlineLevel="1" x14ac:dyDescent="0.25">
      <c r="A1804" s="101" t="s">
        <v>1502</v>
      </c>
      <c r="B1804" s="102" t="str">
        <f>"47.0608"</f>
        <v>47.0608</v>
      </c>
      <c r="C1804" s="101" t="s">
        <v>4704</v>
      </c>
      <c r="D1804" s="101" t="s">
        <v>4705</v>
      </c>
      <c r="E1804" s="79"/>
    </row>
    <row r="1805" spans="1:5" ht="14.85" customHeight="1" outlineLevel="1" x14ac:dyDescent="0.25">
      <c r="A1805" s="101" t="s">
        <v>1502</v>
      </c>
      <c r="B1805" s="102" t="str">
        <f>"47.0609"</f>
        <v>47.0609</v>
      </c>
      <c r="C1805" s="101" t="s">
        <v>4706</v>
      </c>
      <c r="D1805" s="101" t="s">
        <v>4707</v>
      </c>
      <c r="E1805" s="79"/>
    </row>
    <row r="1806" spans="1:5" ht="14.85" customHeight="1" outlineLevel="1" x14ac:dyDescent="0.25">
      <c r="A1806" s="101" t="s">
        <v>1502</v>
      </c>
      <c r="B1806" s="102" t="str">
        <f>"47.0610"</f>
        <v>47.0610</v>
      </c>
      <c r="C1806" s="101" t="s">
        <v>4708</v>
      </c>
      <c r="D1806" s="101" t="s">
        <v>4709</v>
      </c>
      <c r="E1806" s="79"/>
    </row>
    <row r="1807" spans="1:5" ht="14.85" customHeight="1" outlineLevel="1" x14ac:dyDescent="0.25">
      <c r="A1807" s="101" t="s">
        <v>1502</v>
      </c>
      <c r="B1807" s="102" t="str">
        <f>"47.0611"</f>
        <v>47.0611</v>
      </c>
      <c r="C1807" s="101" t="s">
        <v>4710</v>
      </c>
      <c r="D1807" s="101" t="s">
        <v>4711</v>
      </c>
      <c r="E1807" s="79"/>
    </row>
    <row r="1808" spans="1:5" ht="14.85" customHeight="1" outlineLevel="1" x14ac:dyDescent="0.25">
      <c r="A1808" s="101" t="s">
        <v>1502</v>
      </c>
      <c r="B1808" s="102" t="str">
        <f>"47.0612"</f>
        <v>47.0612</v>
      </c>
      <c r="C1808" s="101" t="s">
        <v>4712</v>
      </c>
      <c r="D1808" s="101" t="s">
        <v>4713</v>
      </c>
      <c r="E1808" s="79"/>
    </row>
    <row r="1809" spans="1:5" ht="14.85" customHeight="1" outlineLevel="1" x14ac:dyDescent="0.25">
      <c r="A1809" s="101" t="s">
        <v>1502</v>
      </c>
      <c r="B1809" s="102" t="str">
        <f>"47.0613"</f>
        <v>47.0613</v>
      </c>
      <c r="C1809" s="101" t="s">
        <v>4714</v>
      </c>
      <c r="D1809" s="101" t="s">
        <v>4715</v>
      </c>
      <c r="E1809" s="79"/>
    </row>
    <row r="1810" spans="1:5" ht="14.85" customHeight="1" outlineLevel="1" x14ac:dyDescent="0.25">
      <c r="A1810" s="101" t="s">
        <v>1502</v>
      </c>
      <c r="B1810" s="102" t="str">
        <f>"47.0614"</f>
        <v>47.0614</v>
      </c>
      <c r="C1810" s="101" t="s">
        <v>4716</v>
      </c>
      <c r="D1810" s="101" t="s">
        <v>4717</v>
      </c>
      <c r="E1810" s="79"/>
    </row>
    <row r="1811" spans="1:5" ht="14.85" customHeight="1" outlineLevel="1" x14ac:dyDescent="0.25">
      <c r="A1811" s="101" t="s">
        <v>1502</v>
      </c>
      <c r="B1811" s="102" t="str">
        <f>"47.0615"</f>
        <v>47.0615</v>
      </c>
      <c r="C1811" s="101" t="s">
        <v>4718</v>
      </c>
      <c r="D1811" s="101" t="s">
        <v>4719</v>
      </c>
      <c r="E1811" s="79"/>
    </row>
    <row r="1812" spans="1:5" ht="14.85" customHeight="1" outlineLevel="1" x14ac:dyDescent="0.25">
      <c r="A1812" s="101" t="s">
        <v>1502</v>
      </c>
      <c r="B1812" s="102" t="str">
        <f>"47.0616"</f>
        <v>47.0616</v>
      </c>
      <c r="C1812" s="101" t="s">
        <v>4720</v>
      </c>
      <c r="D1812" s="101" t="s">
        <v>4721</v>
      </c>
      <c r="E1812" s="79"/>
    </row>
    <row r="1813" spans="1:5" ht="14.85" customHeight="1" outlineLevel="1" x14ac:dyDescent="0.25">
      <c r="A1813" s="101" t="s">
        <v>1502</v>
      </c>
      <c r="B1813" s="102" t="str">
        <f>"47.0617"</f>
        <v>47.0617</v>
      </c>
      <c r="C1813" s="101" t="s">
        <v>4722</v>
      </c>
      <c r="D1813" s="101" t="s">
        <v>4723</v>
      </c>
      <c r="E1813" s="79"/>
    </row>
    <row r="1814" spans="1:5" ht="14.85" customHeight="1" outlineLevel="1" x14ac:dyDescent="0.25">
      <c r="A1814" s="101" t="s">
        <v>1502</v>
      </c>
      <c r="B1814" s="102" t="str">
        <f>"47.0618"</f>
        <v>47.0618</v>
      </c>
      <c r="C1814" s="101" t="s">
        <v>4724</v>
      </c>
      <c r="D1814" s="101" t="s">
        <v>4725</v>
      </c>
      <c r="E1814" s="79"/>
    </row>
    <row r="1815" spans="1:5" ht="14.85" customHeight="1" outlineLevel="1" x14ac:dyDescent="0.25">
      <c r="A1815" s="101" t="s">
        <v>1502</v>
      </c>
      <c r="B1815" s="102" t="str">
        <f>"47.0699"</f>
        <v>47.0699</v>
      </c>
      <c r="C1815" s="101" t="s">
        <v>4726</v>
      </c>
      <c r="D1815" s="101" t="s">
        <v>4727</v>
      </c>
      <c r="E1815" s="79"/>
    </row>
    <row r="1816" spans="1:5" ht="14.85" customHeight="1" outlineLevel="1" x14ac:dyDescent="0.25">
      <c r="A1816" s="101" t="s">
        <v>1502</v>
      </c>
      <c r="B1816" s="102" t="str">
        <f>"47.07"</f>
        <v>47.07</v>
      </c>
      <c r="C1816" s="101" t="s">
        <v>4728</v>
      </c>
      <c r="D1816" s="101" t="s">
        <v>4729</v>
      </c>
      <c r="E1816" s="79"/>
    </row>
    <row r="1817" spans="1:5" ht="14.85" customHeight="1" outlineLevel="1" x14ac:dyDescent="0.25">
      <c r="A1817" s="101" t="s">
        <v>1502</v>
      </c>
      <c r="B1817" s="102" t="str">
        <f>"47.0701"</f>
        <v>47.0701</v>
      </c>
      <c r="C1817" s="101" t="s">
        <v>4730</v>
      </c>
      <c r="D1817" s="101" t="s">
        <v>4731</v>
      </c>
      <c r="E1817" s="79"/>
    </row>
    <row r="1818" spans="1:5" ht="14.85" customHeight="1" outlineLevel="1" x14ac:dyDescent="0.25">
      <c r="A1818" s="101" t="s">
        <v>1502</v>
      </c>
      <c r="B1818" s="102" t="str">
        <f>"47.0703"</f>
        <v>47.0703</v>
      </c>
      <c r="C1818" s="101" t="s">
        <v>4732</v>
      </c>
      <c r="D1818" s="101" t="s">
        <v>4733</v>
      </c>
      <c r="E1818" s="79"/>
    </row>
    <row r="1819" spans="1:5" ht="14.85" customHeight="1" outlineLevel="1" x14ac:dyDescent="0.25">
      <c r="A1819" s="101" t="s">
        <v>1502</v>
      </c>
      <c r="B1819" s="102" t="str">
        <f>"47.0704"</f>
        <v>47.0704</v>
      </c>
      <c r="C1819" s="101" t="s">
        <v>4734</v>
      </c>
      <c r="D1819" s="101" t="s">
        <v>4735</v>
      </c>
      <c r="E1819" s="79"/>
    </row>
    <row r="1820" spans="1:5" ht="14.85" customHeight="1" outlineLevel="1" x14ac:dyDescent="0.25">
      <c r="A1820" s="101" t="s">
        <v>1502</v>
      </c>
      <c r="B1820" s="102" t="str">
        <f>"47.0705"</f>
        <v>47.0705</v>
      </c>
      <c r="C1820" s="101" t="s">
        <v>4736</v>
      </c>
      <c r="D1820" s="101" t="s">
        <v>4737</v>
      </c>
      <c r="E1820" s="79"/>
    </row>
    <row r="1821" spans="1:5" ht="14.85" customHeight="1" outlineLevel="1" x14ac:dyDescent="0.25">
      <c r="A1821" s="101" t="s">
        <v>1502</v>
      </c>
      <c r="B1821" s="102" t="str">
        <f>"47.0706"</f>
        <v>47.0706</v>
      </c>
      <c r="C1821" s="101" t="s">
        <v>4738</v>
      </c>
      <c r="D1821" s="101" t="s">
        <v>4739</v>
      </c>
      <c r="E1821" s="79"/>
    </row>
    <row r="1822" spans="1:5" ht="14.85" customHeight="1" outlineLevel="1" x14ac:dyDescent="0.25">
      <c r="A1822" s="101" t="s">
        <v>1502</v>
      </c>
      <c r="B1822" s="102" t="str">
        <f>"47.0799"</f>
        <v>47.0799</v>
      </c>
      <c r="C1822" s="101" t="s">
        <v>4740</v>
      </c>
      <c r="D1822" s="101" t="s">
        <v>4741</v>
      </c>
      <c r="E1822" s="79"/>
    </row>
    <row r="1823" spans="1:5" ht="14.85" customHeight="1" outlineLevel="1" x14ac:dyDescent="0.25">
      <c r="A1823" s="101" t="s">
        <v>1502</v>
      </c>
      <c r="B1823" s="102" t="str">
        <f>"47.99"</f>
        <v>47.99</v>
      </c>
      <c r="C1823" s="101" t="s">
        <v>4742</v>
      </c>
      <c r="D1823" s="101" t="s">
        <v>4743</v>
      </c>
      <c r="E1823" s="79"/>
    </row>
    <row r="1824" spans="1:5" ht="14.85" customHeight="1" outlineLevel="1" x14ac:dyDescent="0.25">
      <c r="A1824" s="101" t="s">
        <v>1502</v>
      </c>
      <c r="B1824" s="102" t="str">
        <f>"47.9999"</f>
        <v>47.9999</v>
      </c>
      <c r="C1824" s="101" t="s">
        <v>4742</v>
      </c>
      <c r="D1824" s="101" t="s">
        <v>4744</v>
      </c>
      <c r="E1824" s="79"/>
    </row>
    <row r="1825" spans="1:5" ht="14.85" customHeight="1" outlineLevel="1" x14ac:dyDescent="0.25">
      <c r="A1825" s="101" t="s">
        <v>1502</v>
      </c>
      <c r="B1825" s="102" t="str">
        <f>"48"</f>
        <v>48</v>
      </c>
      <c r="C1825" s="101" t="s">
        <v>4745</v>
      </c>
      <c r="D1825" s="101" t="s">
        <v>4746</v>
      </c>
      <c r="E1825" s="79"/>
    </row>
    <row r="1826" spans="1:5" ht="14.85" customHeight="1" outlineLevel="1" x14ac:dyDescent="0.25">
      <c r="A1826" s="101" t="s">
        <v>1502</v>
      </c>
      <c r="B1826" s="102" t="str">
        <f>"48.00"</f>
        <v>48.00</v>
      </c>
      <c r="C1826" s="101" t="s">
        <v>4747</v>
      </c>
      <c r="D1826" s="101" t="s">
        <v>4748</v>
      </c>
      <c r="E1826" s="79"/>
    </row>
    <row r="1827" spans="1:5" ht="14.85" customHeight="1" outlineLevel="1" x14ac:dyDescent="0.25">
      <c r="A1827" s="101" t="s">
        <v>1502</v>
      </c>
      <c r="B1827" s="102" t="str">
        <f>"48.0000"</f>
        <v>48.0000</v>
      </c>
      <c r="C1827" s="101" t="s">
        <v>4747</v>
      </c>
      <c r="D1827" s="101" t="s">
        <v>4749</v>
      </c>
      <c r="E1827" s="79"/>
    </row>
    <row r="1828" spans="1:5" ht="14.85" customHeight="1" outlineLevel="1" x14ac:dyDescent="0.25">
      <c r="A1828" s="101" t="s">
        <v>1502</v>
      </c>
      <c r="B1828" s="102" t="str">
        <f>"48.03"</f>
        <v>48.03</v>
      </c>
      <c r="C1828" s="101" t="s">
        <v>4750</v>
      </c>
      <c r="D1828" s="101" t="s">
        <v>4751</v>
      </c>
      <c r="E1828" s="79"/>
    </row>
    <row r="1829" spans="1:5" ht="14.85" customHeight="1" outlineLevel="1" x14ac:dyDescent="0.25">
      <c r="A1829" s="101" t="s">
        <v>1502</v>
      </c>
      <c r="B1829" s="102" t="str">
        <f>"48.0303"</f>
        <v>48.0303</v>
      </c>
      <c r="C1829" s="101" t="s">
        <v>4752</v>
      </c>
      <c r="D1829" s="101" t="s">
        <v>4753</v>
      </c>
      <c r="E1829" s="79"/>
    </row>
    <row r="1830" spans="1:5" ht="14.85" customHeight="1" outlineLevel="1" x14ac:dyDescent="0.25">
      <c r="A1830" s="101" t="s">
        <v>1502</v>
      </c>
      <c r="B1830" s="102" t="str">
        <f>"48.0304"</f>
        <v>48.0304</v>
      </c>
      <c r="C1830" s="101" t="s">
        <v>4754</v>
      </c>
      <c r="D1830" s="101" t="s">
        <v>4755</v>
      </c>
      <c r="E1830" s="79"/>
    </row>
    <row r="1831" spans="1:5" ht="14.85" customHeight="1" outlineLevel="1" x14ac:dyDescent="0.25">
      <c r="A1831" s="101" t="s">
        <v>1502</v>
      </c>
      <c r="B1831" s="102" t="str">
        <f>"48.0399"</f>
        <v>48.0399</v>
      </c>
      <c r="C1831" s="101" t="s">
        <v>4756</v>
      </c>
      <c r="D1831" s="101" t="s">
        <v>4757</v>
      </c>
      <c r="E1831" s="79"/>
    </row>
    <row r="1832" spans="1:5" ht="14.85" customHeight="1" outlineLevel="1" x14ac:dyDescent="0.25">
      <c r="A1832" s="101" t="s">
        <v>1502</v>
      </c>
      <c r="B1832" s="102" t="str">
        <f>"48.05"</f>
        <v>48.05</v>
      </c>
      <c r="C1832" s="101" t="s">
        <v>4758</v>
      </c>
      <c r="D1832" s="101" t="s">
        <v>4759</v>
      </c>
      <c r="E1832" s="79"/>
    </row>
    <row r="1833" spans="1:5" ht="14.85" customHeight="1" outlineLevel="1" x14ac:dyDescent="0.25">
      <c r="A1833" s="101" t="s">
        <v>1502</v>
      </c>
      <c r="B1833" s="102" t="str">
        <f>"48.0501"</f>
        <v>48.0501</v>
      </c>
      <c r="C1833" s="101" t="s">
        <v>4760</v>
      </c>
      <c r="D1833" s="101" t="s">
        <v>4761</v>
      </c>
      <c r="E1833" s="79"/>
    </row>
    <row r="1834" spans="1:5" ht="14.85" customHeight="1" outlineLevel="1" x14ac:dyDescent="0.25">
      <c r="A1834" s="101" t="s">
        <v>1502</v>
      </c>
      <c r="B1834" s="102" t="str">
        <f>"48.0503"</f>
        <v>48.0503</v>
      </c>
      <c r="C1834" s="101" t="s">
        <v>4762</v>
      </c>
      <c r="D1834" s="101" t="s">
        <v>4763</v>
      </c>
      <c r="E1834" s="79"/>
    </row>
    <row r="1835" spans="1:5" ht="14.85" customHeight="1" outlineLevel="1" x14ac:dyDescent="0.25">
      <c r="A1835" s="101" t="s">
        <v>1502</v>
      </c>
      <c r="B1835" s="102" t="str">
        <f>"48.0506"</f>
        <v>48.0506</v>
      </c>
      <c r="C1835" s="101" t="s">
        <v>4764</v>
      </c>
      <c r="D1835" s="101" t="s">
        <v>4765</v>
      </c>
      <c r="E1835" s="79"/>
    </row>
    <row r="1836" spans="1:5" ht="14.85" customHeight="1" outlineLevel="1" x14ac:dyDescent="0.25">
      <c r="A1836" s="101" t="s">
        <v>1502</v>
      </c>
      <c r="B1836" s="102" t="str">
        <f>"48.0507"</f>
        <v>48.0507</v>
      </c>
      <c r="C1836" s="101" t="s">
        <v>4766</v>
      </c>
      <c r="D1836" s="101" t="s">
        <v>4767</v>
      </c>
      <c r="E1836" s="79"/>
    </row>
    <row r="1837" spans="1:5" ht="14.85" customHeight="1" outlineLevel="1" x14ac:dyDescent="0.25">
      <c r="A1837" s="101" t="s">
        <v>1502</v>
      </c>
      <c r="B1837" s="102" t="str">
        <f>"48.0508"</f>
        <v>48.0508</v>
      </c>
      <c r="C1837" s="101" t="s">
        <v>4768</v>
      </c>
      <c r="D1837" s="101" t="s">
        <v>4769</v>
      </c>
      <c r="E1837" s="79"/>
    </row>
    <row r="1838" spans="1:5" ht="14.85" customHeight="1" outlineLevel="1" x14ac:dyDescent="0.25">
      <c r="A1838" s="101" t="s">
        <v>1502</v>
      </c>
      <c r="B1838" s="102" t="str">
        <f>"48.0509"</f>
        <v>48.0509</v>
      </c>
      <c r="C1838" s="101" t="s">
        <v>4770</v>
      </c>
      <c r="D1838" s="101" t="s">
        <v>4771</v>
      </c>
      <c r="E1838" s="79"/>
    </row>
    <row r="1839" spans="1:5" ht="14.85" customHeight="1" outlineLevel="1" x14ac:dyDescent="0.25">
      <c r="A1839" s="101" t="s">
        <v>1502</v>
      </c>
      <c r="B1839" s="102" t="str">
        <f>"48.0510"</f>
        <v>48.0510</v>
      </c>
      <c r="C1839" s="101" t="s">
        <v>4772</v>
      </c>
      <c r="D1839" s="101" t="s">
        <v>4773</v>
      </c>
      <c r="E1839" s="79"/>
    </row>
    <row r="1840" spans="1:5" ht="14.85" customHeight="1" outlineLevel="1" x14ac:dyDescent="0.25">
      <c r="A1840" s="101" t="s">
        <v>1502</v>
      </c>
      <c r="B1840" s="102" t="str">
        <f>"48.0511"</f>
        <v>48.0511</v>
      </c>
      <c r="C1840" s="101" t="s">
        <v>4774</v>
      </c>
      <c r="D1840" s="101" t="s">
        <v>4775</v>
      </c>
      <c r="E1840" s="79"/>
    </row>
    <row r="1841" spans="1:5" ht="14.85" customHeight="1" outlineLevel="1" x14ac:dyDescent="0.25">
      <c r="A1841" s="101" t="s">
        <v>1502</v>
      </c>
      <c r="B1841" s="102" t="str">
        <f>"48.0599"</f>
        <v>48.0599</v>
      </c>
      <c r="C1841" s="101" t="s">
        <v>4776</v>
      </c>
      <c r="D1841" s="101" t="s">
        <v>4777</v>
      </c>
      <c r="E1841" s="79"/>
    </row>
    <row r="1842" spans="1:5" ht="14.85" customHeight="1" outlineLevel="1" x14ac:dyDescent="0.25">
      <c r="A1842" s="101" t="s">
        <v>1502</v>
      </c>
      <c r="B1842" s="102" t="str">
        <f>"48.07"</f>
        <v>48.07</v>
      </c>
      <c r="C1842" s="101" t="s">
        <v>4778</v>
      </c>
      <c r="D1842" s="101" t="s">
        <v>4779</v>
      </c>
      <c r="E1842" s="79"/>
    </row>
    <row r="1843" spans="1:5" ht="14.85" customHeight="1" outlineLevel="1" x14ac:dyDescent="0.25">
      <c r="A1843" s="101" t="s">
        <v>1502</v>
      </c>
      <c r="B1843" s="102" t="str">
        <f>"48.0701"</f>
        <v>48.0701</v>
      </c>
      <c r="C1843" s="101" t="s">
        <v>4780</v>
      </c>
      <c r="D1843" s="101" t="s">
        <v>4781</v>
      </c>
      <c r="E1843" s="79"/>
    </row>
    <row r="1844" spans="1:5" ht="14.85" customHeight="1" outlineLevel="1" x14ac:dyDescent="0.25">
      <c r="A1844" s="101" t="s">
        <v>1502</v>
      </c>
      <c r="B1844" s="102" t="str">
        <f>"48.0702"</f>
        <v>48.0702</v>
      </c>
      <c r="C1844" s="101" t="s">
        <v>4782</v>
      </c>
      <c r="D1844" s="101" t="s">
        <v>4783</v>
      </c>
      <c r="E1844" s="79"/>
    </row>
    <row r="1845" spans="1:5" ht="14.85" customHeight="1" outlineLevel="1" x14ac:dyDescent="0.25">
      <c r="A1845" s="101" t="s">
        <v>1502</v>
      </c>
      <c r="B1845" s="102" t="str">
        <f>"48.0703"</f>
        <v>48.0703</v>
      </c>
      <c r="C1845" s="101" t="s">
        <v>4784</v>
      </c>
      <c r="D1845" s="101" t="s">
        <v>4785</v>
      </c>
      <c r="E1845" s="79"/>
    </row>
    <row r="1846" spans="1:5" ht="14.85" customHeight="1" outlineLevel="1" x14ac:dyDescent="0.25">
      <c r="A1846" s="101" t="s">
        <v>1502</v>
      </c>
      <c r="B1846" s="102" t="str">
        <f>"48.0704"</f>
        <v>48.0704</v>
      </c>
      <c r="C1846" s="101" t="s">
        <v>4786</v>
      </c>
      <c r="D1846" s="101" t="s">
        <v>4787</v>
      </c>
      <c r="E1846" s="79"/>
    </row>
    <row r="1847" spans="1:5" ht="14.85" customHeight="1" outlineLevel="1" x14ac:dyDescent="0.25">
      <c r="A1847" s="101" t="s">
        <v>1502</v>
      </c>
      <c r="B1847" s="102" t="str">
        <f>"48.0799"</f>
        <v>48.0799</v>
      </c>
      <c r="C1847" s="101" t="s">
        <v>4788</v>
      </c>
      <c r="D1847" s="101" t="s">
        <v>4789</v>
      </c>
      <c r="E1847" s="79"/>
    </row>
    <row r="1848" spans="1:5" ht="14.85" customHeight="1" outlineLevel="1" x14ac:dyDescent="0.25">
      <c r="A1848" s="101" t="s">
        <v>1502</v>
      </c>
      <c r="B1848" s="102" t="str">
        <f>"48.08"</f>
        <v>48.08</v>
      </c>
      <c r="C1848" s="101" t="s">
        <v>4790</v>
      </c>
      <c r="D1848" s="101" t="s">
        <v>4791</v>
      </c>
      <c r="E1848" s="79"/>
    </row>
    <row r="1849" spans="1:5" ht="14.85" customHeight="1" outlineLevel="1" x14ac:dyDescent="0.25">
      <c r="A1849" s="101" t="s">
        <v>1502</v>
      </c>
      <c r="B1849" s="102" t="str">
        <f>"48.0801"</f>
        <v>48.0801</v>
      </c>
      <c r="C1849" s="101" t="s">
        <v>4790</v>
      </c>
      <c r="D1849" s="101" t="s">
        <v>4792</v>
      </c>
      <c r="E1849" s="79"/>
    </row>
    <row r="1850" spans="1:5" ht="14.85" customHeight="1" outlineLevel="1" x14ac:dyDescent="0.25">
      <c r="A1850" s="101" t="s">
        <v>1502</v>
      </c>
      <c r="B1850" s="102" t="str">
        <f>"48.99"</f>
        <v>48.99</v>
      </c>
      <c r="C1850" s="101" t="s">
        <v>4793</v>
      </c>
      <c r="D1850" s="101" t="s">
        <v>4794</v>
      </c>
      <c r="E1850" s="79"/>
    </row>
    <row r="1851" spans="1:5" ht="14.85" customHeight="1" outlineLevel="1" x14ac:dyDescent="0.25">
      <c r="A1851" s="101" t="s">
        <v>1502</v>
      </c>
      <c r="B1851" s="102" t="str">
        <f>"48.9999"</f>
        <v>48.9999</v>
      </c>
      <c r="C1851" s="101" t="s">
        <v>4793</v>
      </c>
      <c r="D1851" s="101" t="s">
        <v>4795</v>
      </c>
      <c r="E1851" s="79"/>
    </row>
    <row r="1852" spans="1:5" ht="14.85" customHeight="1" outlineLevel="1" x14ac:dyDescent="0.25">
      <c r="A1852" s="101" t="s">
        <v>1502</v>
      </c>
      <c r="B1852" s="102" t="str">
        <f>"49"</f>
        <v>49</v>
      </c>
      <c r="C1852" s="101" t="s">
        <v>4796</v>
      </c>
      <c r="D1852" s="101" t="s">
        <v>4797</v>
      </c>
      <c r="E1852" s="79"/>
    </row>
    <row r="1853" spans="1:5" ht="14.85" customHeight="1" outlineLevel="1" x14ac:dyDescent="0.25">
      <c r="A1853" s="101" t="s">
        <v>1502</v>
      </c>
      <c r="B1853" s="102" t="str">
        <f>"49.01"</f>
        <v>49.01</v>
      </c>
      <c r="C1853" s="101" t="s">
        <v>4798</v>
      </c>
      <c r="D1853" s="101" t="s">
        <v>4799</v>
      </c>
      <c r="E1853" s="79"/>
    </row>
    <row r="1854" spans="1:5" ht="14.85" customHeight="1" outlineLevel="1" x14ac:dyDescent="0.25">
      <c r="A1854" s="101" t="s">
        <v>1502</v>
      </c>
      <c r="B1854" s="102" t="str">
        <f>"49.0101"</f>
        <v>49.0101</v>
      </c>
      <c r="C1854" s="101" t="s">
        <v>4800</v>
      </c>
      <c r="D1854" s="101" t="s">
        <v>4801</v>
      </c>
      <c r="E1854" s="79"/>
    </row>
    <row r="1855" spans="1:5" ht="14.85" customHeight="1" outlineLevel="1" x14ac:dyDescent="0.25">
      <c r="A1855" s="101" t="s">
        <v>1502</v>
      </c>
      <c r="B1855" s="102" t="str">
        <f>"49.0102"</f>
        <v>49.0102</v>
      </c>
      <c r="C1855" s="101" t="s">
        <v>4802</v>
      </c>
      <c r="D1855" s="101" t="s">
        <v>4803</v>
      </c>
      <c r="E1855" s="79"/>
    </row>
    <row r="1856" spans="1:5" ht="14.85" customHeight="1" outlineLevel="1" x14ac:dyDescent="0.25">
      <c r="A1856" s="101" t="s">
        <v>1502</v>
      </c>
      <c r="B1856" s="102" t="str">
        <f>"49.0104"</f>
        <v>49.0104</v>
      </c>
      <c r="C1856" s="101" t="s">
        <v>4804</v>
      </c>
      <c r="D1856" s="101" t="s">
        <v>4805</v>
      </c>
      <c r="E1856" s="79"/>
    </row>
    <row r="1857" spans="1:5" ht="14.85" customHeight="1" outlineLevel="1" x14ac:dyDescent="0.25">
      <c r="A1857" s="101" t="s">
        <v>1502</v>
      </c>
      <c r="B1857" s="102" t="str">
        <f>"49.0105"</f>
        <v>49.0105</v>
      </c>
      <c r="C1857" s="101" t="s">
        <v>4806</v>
      </c>
      <c r="D1857" s="101" t="s">
        <v>4807</v>
      </c>
      <c r="E1857" s="79"/>
    </row>
    <row r="1858" spans="1:5" ht="14.85" customHeight="1" outlineLevel="1" x14ac:dyDescent="0.25">
      <c r="A1858" s="101" t="s">
        <v>1502</v>
      </c>
      <c r="B1858" s="102" t="str">
        <f>"49.0106"</f>
        <v>49.0106</v>
      </c>
      <c r="C1858" s="101" t="s">
        <v>4808</v>
      </c>
      <c r="D1858" s="101" t="s">
        <v>4809</v>
      </c>
      <c r="E1858" s="79"/>
    </row>
    <row r="1859" spans="1:5" ht="14.85" customHeight="1" outlineLevel="1" x14ac:dyDescent="0.25">
      <c r="A1859" s="101" t="s">
        <v>1502</v>
      </c>
      <c r="B1859" s="102" t="str">
        <f>"49.0108"</f>
        <v>49.0108</v>
      </c>
      <c r="C1859" s="101" t="s">
        <v>4810</v>
      </c>
      <c r="D1859" s="101" t="s">
        <v>4811</v>
      </c>
      <c r="E1859" s="79"/>
    </row>
    <row r="1860" spans="1:5" ht="14.85" customHeight="1" outlineLevel="1" x14ac:dyDescent="0.25">
      <c r="A1860" s="101" t="s">
        <v>1502</v>
      </c>
      <c r="B1860" s="102" t="str">
        <f>"49.0199"</f>
        <v>49.0199</v>
      </c>
      <c r="C1860" s="101" t="s">
        <v>4812</v>
      </c>
      <c r="D1860" s="101" t="s">
        <v>4813</v>
      </c>
      <c r="E1860" s="79"/>
    </row>
    <row r="1861" spans="1:5" ht="14.85" customHeight="1" outlineLevel="1" x14ac:dyDescent="0.25">
      <c r="A1861" s="101" t="s">
        <v>1502</v>
      </c>
      <c r="B1861" s="102" t="str">
        <f>"49.02"</f>
        <v>49.02</v>
      </c>
      <c r="C1861" s="101" t="s">
        <v>4814</v>
      </c>
      <c r="D1861" s="101" t="s">
        <v>4815</v>
      </c>
      <c r="E1861" s="79"/>
    </row>
    <row r="1862" spans="1:5" ht="14.85" customHeight="1" outlineLevel="1" x14ac:dyDescent="0.25">
      <c r="A1862" s="101" t="s">
        <v>1502</v>
      </c>
      <c r="B1862" s="102" t="str">
        <f>"49.0202"</f>
        <v>49.0202</v>
      </c>
      <c r="C1862" s="101" t="s">
        <v>4816</v>
      </c>
      <c r="D1862" s="101" t="s">
        <v>4817</v>
      </c>
      <c r="E1862" s="79"/>
    </row>
    <row r="1863" spans="1:5" ht="14.85" customHeight="1" outlineLevel="1" x14ac:dyDescent="0.25">
      <c r="A1863" s="101" t="s">
        <v>1502</v>
      </c>
      <c r="B1863" s="102" t="str">
        <f>"49.0205"</f>
        <v>49.0205</v>
      </c>
      <c r="C1863" s="101" t="s">
        <v>4818</v>
      </c>
      <c r="D1863" s="101" t="s">
        <v>4819</v>
      </c>
      <c r="E1863" s="79"/>
    </row>
    <row r="1864" spans="1:5" ht="14.85" customHeight="1" outlineLevel="1" x14ac:dyDescent="0.25">
      <c r="A1864" s="101" t="s">
        <v>1502</v>
      </c>
      <c r="B1864" s="102" t="str">
        <f>"49.0206"</f>
        <v>49.0206</v>
      </c>
      <c r="C1864" s="101" t="s">
        <v>4820</v>
      </c>
      <c r="D1864" s="101" t="s">
        <v>4821</v>
      </c>
      <c r="E1864" s="79"/>
    </row>
    <row r="1865" spans="1:5" ht="14.85" customHeight="1" outlineLevel="1" x14ac:dyDescent="0.25">
      <c r="A1865" s="101" t="s">
        <v>1502</v>
      </c>
      <c r="B1865" s="102" t="str">
        <f>"49.0207"</f>
        <v>49.0207</v>
      </c>
      <c r="C1865" s="101" t="s">
        <v>4822</v>
      </c>
      <c r="D1865" s="101" t="s">
        <v>4823</v>
      </c>
      <c r="E1865" s="79"/>
    </row>
    <row r="1866" spans="1:5" ht="14.85" customHeight="1" outlineLevel="1" x14ac:dyDescent="0.25">
      <c r="A1866" s="101" t="s">
        <v>1502</v>
      </c>
      <c r="B1866" s="102" t="str">
        <f>"49.0208"</f>
        <v>49.0208</v>
      </c>
      <c r="C1866" s="101" t="s">
        <v>4824</v>
      </c>
      <c r="D1866" s="101" t="s">
        <v>4825</v>
      </c>
      <c r="E1866" s="79"/>
    </row>
    <row r="1867" spans="1:5" ht="14.85" customHeight="1" outlineLevel="1" x14ac:dyDescent="0.25">
      <c r="A1867" s="101" t="s">
        <v>1502</v>
      </c>
      <c r="B1867" s="102" t="str">
        <f>"49.0209"</f>
        <v>49.0209</v>
      </c>
      <c r="C1867" s="101" t="s">
        <v>4826</v>
      </c>
      <c r="D1867" s="101" t="s">
        <v>4827</v>
      </c>
      <c r="E1867" s="79"/>
    </row>
    <row r="1868" spans="1:5" ht="14.85" customHeight="1" outlineLevel="1" x14ac:dyDescent="0.25">
      <c r="A1868" s="101" t="s">
        <v>1502</v>
      </c>
      <c r="B1868" s="102" t="str">
        <f>"49.0299"</f>
        <v>49.0299</v>
      </c>
      <c r="C1868" s="101" t="s">
        <v>4828</v>
      </c>
      <c r="D1868" s="101" t="s">
        <v>4829</v>
      </c>
      <c r="E1868" s="79"/>
    </row>
    <row r="1869" spans="1:5" ht="14.85" customHeight="1" outlineLevel="1" x14ac:dyDescent="0.25">
      <c r="A1869" s="101" t="s">
        <v>1502</v>
      </c>
      <c r="B1869" s="102" t="str">
        <f>"49.03"</f>
        <v>49.03</v>
      </c>
      <c r="C1869" s="101" t="s">
        <v>4830</v>
      </c>
      <c r="D1869" s="101" t="s">
        <v>4831</v>
      </c>
      <c r="E1869" s="79"/>
    </row>
    <row r="1870" spans="1:5" ht="14.85" customHeight="1" outlineLevel="1" x14ac:dyDescent="0.25">
      <c r="A1870" s="101" t="s">
        <v>1502</v>
      </c>
      <c r="B1870" s="102" t="str">
        <f>"49.0303"</f>
        <v>49.0303</v>
      </c>
      <c r="C1870" s="101" t="s">
        <v>4832</v>
      </c>
      <c r="D1870" s="101" t="s">
        <v>4833</v>
      </c>
      <c r="E1870" s="79"/>
    </row>
    <row r="1871" spans="1:5" ht="14.85" customHeight="1" outlineLevel="1" x14ac:dyDescent="0.25">
      <c r="A1871" s="101" t="s">
        <v>1502</v>
      </c>
      <c r="B1871" s="102" t="str">
        <f>"49.0304"</f>
        <v>49.0304</v>
      </c>
      <c r="C1871" s="101" t="s">
        <v>4834</v>
      </c>
      <c r="D1871" s="101" t="s">
        <v>4835</v>
      </c>
      <c r="E1871" s="79"/>
    </row>
    <row r="1872" spans="1:5" ht="14.85" customHeight="1" outlineLevel="1" x14ac:dyDescent="0.25">
      <c r="A1872" s="101" t="s">
        <v>1502</v>
      </c>
      <c r="B1872" s="102" t="str">
        <f>"49.0309"</f>
        <v>49.0309</v>
      </c>
      <c r="C1872" s="101" t="s">
        <v>4836</v>
      </c>
      <c r="D1872" s="101" t="s">
        <v>4837</v>
      </c>
      <c r="E1872" s="79"/>
    </row>
    <row r="1873" spans="1:5" ht="14.85" customHeight="1" outlineLevel="1" x14ac:dyDescent="0.25">
      <c r="A1873" s="101" t="s">
        <v>1502</v>
      </c>
      <c r="B1873" s="102" t="str">
        <f>"49.0399"</f>
        <v>49.0399</v>
      </c>
      <c r="C1873" s="101" t="s">
        <v>4838</v>
      </c>
      <c r="D1873" s="101" t="s">
        <v>4839</v>
      </c>
      <c r="E1873" s="79"/>
    </row>
    <row r="1874" spans="1:5" ht="14.85" customHeight="1" outlineLevel="1" x14ac:dyDescent="0.25">
      <c r="A1874" s="101" t="s">
        <v>1502</v>
      </c>
      <c r="B1874" s="102" t="str">
        <f>"49.99"</f>
        <v>49.99</v>
      </c>
      <c r="C1874" s="101" t="s">
        <v>4840</v>
      </c>
      <c r="D1874" s="101" t="s">
        <v>4841</v>
      </c>
      <c r="E1874" s="79"/>
    </row>
    <row r="1875" spans="1:5" ht="14.85" customHeight="1" outlineLevel="1" x14ac:dyDescent="0.25">
      <c r="A1875" s="101" t="s">
        <v>1502</v>
      </c>
      <c r="B1875" s="102" t="str">
        <f>"49.9999"</f>
        <v>49.9999</v>
      </c>
      <c r="C1875" s="101" t="s">
        <v>4840</v>
      </c>
      <c r="D1875" s="101" t="s">
        <v>4842</v>
      </c>
      <c r="E1875" s="79"/>
    </row>
    <row r="1876" spans="1:5" ht="14.85" customHeight="1" outlineLevel="1" x14ac:dyDescent="0.25">
      <c r="A1876" s="101" t="s">
        <v>1502</v>
      </c>
      <c r="B1876" s="102" t="str">
        <f>"50"</f>
        <v>50</v>
      </c>
      <c r="C1876" s="101" t="s">
        <v>4843</v>
      </c>
      <c r="D1876" s="101" t="s">
        <v>4844</v>
      </c>
      <c r="E1876" s="79"/>
    </row>
    <row r="1877" spans="1:5" ht="14.85" customHeight="1" outlineLevel="1" x14ac:dyDescent="0.25">
      <c r="A1877" s="101" t="s">
        <v>1502</v>
      </c>
      <c r="B1877" s="102" t="str">
        <f>"50.01"</f>
        <v>50.01</v>
      </c>
      <c r="C1877" s="101" t="s">
        <v>4845</v>
      </c>
      <c r="D1877" s="101" t="s">
        <v>4846</v>
      </c>
      <c r="E1877" s="79"/>
    </row>
    <row r="1878" spans="1:5" ht="14.85" customHeight="1" outlineLevel="1" x14ac:dyDescent="0.25">
      <c r="A1878" s="101" t="s">
        <v>1502</v>
      </c>
      <c r="B1878" s="102" t="str">
        <f>"50.0101"</f>
        <v>50.0101</v>
      </c>
      <c r="C1878" s="101" t="s">
        <v>4845</v>
      </c>
      <c r="D1878" s="101" t="s">
        <v>4847</v>
      </c>
      <c r="E1878" s="79"/>
    </row>
    <row r="1879" spans="1:5" ht="14.85" customHeight="1" outlineLevel="1" x14ac:dyDescent="0.25">
      <c r="A1879" s="101" t="s">
        <v>1502</v>
      </c>
      <c r="B1879" s="102" t="str">
        <f>"50.0102"</f>
        <v>50.0102</v>
      </c>
      <c r="C1879" s="101" t="s">
        <v>4848</v>
      </c>
      <c r="D1879" s="101" t="s">
        <v>4849</v>
      </c>
      <c r="E1879" s="79"/>
    </row>
    <row r="1880" spans="1:5" ht="14.85" customHeight="1" outlineLevel="1" x14ac:dyDescent="0.25">
      <c r="A1880" s="101" t="s">
        <v>1502</v>
      </c>
      <c r="B1880" s="102" t="str">
        <f>"50.02"</f>
        <v>50.02</v>
      </c>
      <c r="C1880" s="101" t="s">
        <v>4850</v>
      </c>
      <c r="D1880" s="101" t="s">
        <v>4851</v>
      </c>
      <c r="E1880" s="79"/>
    </row>
    <row r="1881" spans="1:5" ht="14.85" customHeight="1" outlineLevel="1" x14ac:dyDescent="0.25">
      <c r="A1881" s="101" t="s">
        <v>1502</v>
      </c>
      <c r="B1881" s="102" t="str">
        <f>"50.0201"</f>
        <v>50.0201</v>
      </c>
      <c r="C1881" s="101" t="s">
        <v>4850</v>
      </c>
      <c r="D1881" s="101" t="s">
        <v>4852</v>
      </c>
      <c r="E1881" s="79"/>
    </row>
    <row r="1882" spans="1:5" ht="14.85" customHeight="1" outlineLevel="1" x14ac:dyDescent="0.25">
      <c r="A1882" s="101" t="s">
        <v>1502</v>
      </c>
      <c r="B1882" s="102" t="str">
        <f>"50.03"</f>
        <v>50.03</v>
      </c>
      <c r="C1882" s="101" t="s">
        <v>4853</v>
      </c>
      <c r="D1882" s="101" t="s">
        <v>4854</v>
      </c>
      <c r="E1882" s="79"/>
    </row>
    <row r="1883" spans="1:5" ht="14.85" customHeight="1" outlineLevel="1" x14ac:dyDescent="0.25">
      <c r="A1883" s="101" t="s">
        <v>1502</v>
      </c>
      <c r="B1883" s="102" t="str">
        <f>"50.0301"</f>
        <v>50.0301</v>
      </c>
      <c r="C1883" s="101" t="s">
        <v>4855</v>
      </c>
      <c r="D1883" s="101" t="s">
        <v>4856</v>
      </c>
      <c r="E1883" s="79"/>
    </row>
    <row r="1884" spans="1:5" ht="14.85" customHeight="1" outlineLevel="1" x14ac:dyDescent="0.25">
      <c r="A1884" s="101" t="s">
        <v>1502</v>
      </c>
      <c r="B1884" s="102" t="str">
        <f>"50.0302"</f>
        <v>50.0302</v>
      </c>
      <c r="C1884" s="101" t="s">
        <v>4857</v>
      </c>
      <c r="D1884" s="101" t="s">
        <v>4858</v>
      </c>
      <c r="E1884" s="79"/>
    </row>
    <row r="1885" spans="1:5" ht="14.85" customHeight="1" outlineLevel="1" x14ac:dyDescent="0.25">
      <c r="A1885" s="101" t="s">
        <v>1502</v>
      </c>
      <c r="B1885" s="102" t="str">
        <f>"50.0399"</f>
        <v>50.0399</v>
      </c>
      <c r="C1885" s="101" t="s">
        <v>4859</v>
      </c>
      <c r="D1885" s="101" t="s">
        <v>4860</v>
      </c>
      <c r="E1885" s="79"/>
    </row>
    <row r="1886" spans="1:5" ht="14.85" customHeight="1" outlineLevel="1" x14ac:dyDescent="0.25">
      <c r="A1886" s="101" t="s">
        <v>1502</v>
      </c>
      <c r="B1886" s="102" t="str">
        <f>"50.04"</f>
        <v>50.04</v>
      </c>
      <c r="C1886" s="101" t="s">
        <v>4861</v>
      </c>
      <c r="D1886" s="101" t="s">
        <v>4862</v>
      </c>
      <c r="E1886" s="79"/>
    </row>
    <row r="1887" spans="1:5" ht="14.85" customHeight="1" outlineLevel="1" x14ac:dyDescent="0.25">
      <c r="A1887" s="101" t="s">
        <v>1502</v>
      </c>
      <c r="B1887" s="102" t="str">
        <f>"50.0401"</f>
        <v>50.0401</v>
      </c>
      <c r="C1887" s="101" t="s">
        <v>4863</v>
      </c>
      <c r="D1887" s="101" t="s">
        <v>4864</v>
      </c>
      <c r="E1887" s="79"/>
    </row>
    <row r="1888" spans="1:5" ht="14.85" customHeight="1" outlineLevel="1" x14ac:dyDescent="0.25">
      <c r="A1888" s="101" t="s">
        <v>1502</v>
      </c>
      <c r="B1888" s="102" t="str">
        <f>"50.0402"</f>
        <v>50.0402</v>
      </c>
      <c r="C1888" s="101" t="s">
        <v>4865</v>
      </c>
      <c r="D1888" s="101" t="s">
        <v>4866</v>
      </c>
      <c r="E1888" s="79"/>
    </row>
    <row r="1889" spans="1:5" ht="14.85" customHeight="1" outlineLevel="1" x14ac:dyDescent="0.25">
      <c r="A1889" s="101" t="s">
        <v>1502</v>
      </c>
      <c r="B1889" s="102" t="str">
        <f>"50.0404"</f>
        <v>50.0404</v>
      </c>
      <c r="C1889" s="101" t="s">
        <v>4867</v>
      </c>
      <c r="D1889" s="101" t="s">
        <v>4868</v>
      </c>
      <c r="E1889" s="79"/>
    </row>
    <row r="1890" spans="1:5" ht="14.85" customHeight="1" outlineLevel="1" x14ac:dyDescent="0.25">
      <c r="A1890" s="101" t="s">
        <v>1502</v>
      </c>
      <c r="B1890" s="102" t="str">
        <f>"50.0406"</f>
        <v>50.0406</v>
      </c>
      <c r="C1890" s="101" t="s">
        <v>4869</v>
      </c>
      <c r="D1890" s="101" t="s">
        <v>4870</v>
      </c>
      <c r="E1890" s="79"/>
    </row>
    <row r="1891" spans="1:5" ht="14.85" customHeight="1" outlineLevel="1" x14ac:dyDescent="0.25">
      <c r="A1891" s="101" t="s">
        <v>1502</v>
      </c>
      <c r="B1891" s="102" t="str">
        <f>"50.0407"</f>
        <v>50.0407</v>
      </c>
      <c r="C1891" s="101" t="s">
        <v>4871</v>
      </c>
      <c r="D1891" s="101" t="s">
        <v>4872</v>
      </c>
      <c r="E1891" s="79"/>
    </row>
    <row r="1892" spans="1:5" ht="14.85" customHeight="1" outlineLevel="1" x14ac:dyDescent="0.25">
      <c r="A1892" s="101" t="s">
        <v>1502</v>
      </c>
      <c r="B1892" s="102" t="str">
        <f>"50.0408"</f>
        <v>50.0408</v>
      </c>
      <c r="C1892" s="101" t="s">
        <v>4873</v>
      </c>
      <c r="D1892" s="101" t="s">
        <v>4874</v>
      </c>
      <c r="E1892" s="79"/>
    </row>
    <row r="1893" spans="1:5" ht="14.85" customHeight="1" outlineLevel="1" x14ac:dyDescent="0.25">
      <c r="A1893" s="101" t="s">
        <v>1502</v>
      </c>
      <c r="B1893" s="102" t="str">
        <f>"50.0409"</f>
        <v>50.0409</v>
      </c>
      <c r="C1893" s="101" t="s">
        <v>4875</v>
      </c>
      <c r="D1893" s="101" t="s">
        <v>4876</v>
      </c>
      <c r="E1893" s="79"/>
    </row>
    <row r="1894" spans="1:5" ht="14.85" customHeight="1" outlineLevel="1" x14ac:dyDescent="0.25">
      <c r="A1894" s="101" t="s">
        <v>1502</v>
      </c>
      <c r="B1894" s="102" t="str">
        <f>"50.0410"</f>
        <v>50.0410</v>
      </c>
      <c r="C1894" s="101" t="s">
        <v>4877</v>
      </c>
      <c r="D1894" s="101" t="s">
        <v>4878</v>
      </c>
      <c r="E1894" s="79"/>
    </row>
    <row r="1895" spans="1:5" ht="14.85" customHeight="1" outlineLevel="1" x14ac:dyDescent="0.25">
      <c r="A1895" s="101" t="s">
        <v>1502</v>
      </c>
      <c r="B1895" s="102" t="str">
        <f>"50.0411"</f>
        <v>50.0411</v>
      </c>
      <c r="C1895" s="101" t="s">
        <v>4879</v>
      </c>
      <c r="D1895" s="101" t="s">
        <v>4880</v>
      </c>
      <c r="E1895" s="79"/>
    </row>
    <row r="1896" spans="1:5" ht="14.85" customHeight="1" outlineLevel="1" x14ac:dyDescent="0.25">
      <c r="A1896" s="101" t="s">
        <v>1502</v>
      </c>
      <c r="B1896" s="102" t="str">
        <f>"50.0499"</f>
        <v>50.0499</v>
      </c>
      <c r="C1896" s="101" t="s">
        <v>4881</v>
      </c>
      <c r="D1896" s="101" t="s">
        <v>4882</v>
      </c>
      <c r="E1896" s="79"/>
    </row>
    <row r="1897" spans="1:5" ht="14.85" customHeight="1" outlineLevel="1" x14ac:dyDescent="0.25">
      <c r="A1897" s="101" t="s">
        <v>1502</v>
      </c>
      <c r="B1897" s="102" t="str">
        <f>"50.05"</f>
        <v>50.05</v>
      </c>
      <c r="C1897" s="101" t="s">
        <v>4883</v>
      </c>
      <c r="D1897" s="101" t="s">
        <v>4884</v>
      </c>
      <c r="E1897" s="79"/>
    </row>
    <row r="1898" spans="1:5" ht="14.85" customHeight="1" outlineLevel="1" x14ac:dyDescent="0.25">
      <c r="A1898" s="101" t="s">
        <v>1502</v>
      </c>
      <c r="B1898" s="102" t="str">
        <f>"50.0501"</f>
        <v>50.0501</v>
      </c>
      <c r="C1898" s="101" t="s">
        <v>4885</v>
      </c>
      <c r="D1898" s="101" t="s">
        <v>4886</v>
      </c>
      <c r="E1898" s="79"/>
    </row>
    <row r="1899" spans="1:5" ht="14.85" customHeight="1" outlineLevel="1" x14ac:dyDescent="0.25">
      <c r="A1899" s="101" t="s">
        <v>1502</v>
      </c>
      <c r="B1899" s="102" t="str">
        <f>"50.0502"</f>
        <v>50.0502</v>
      </c>
      <c r="C1899" s="101" t="s">
        <v>4887</v>
      </c>
      <c r="D1899" s="101" t="s">
        <v>4888</v>
      </c>
      <c r="E1899" s="79"/>
    </row>
    <row r="1900" spans="1:5" ht="14.85" customHeight="1" outlineLevel="1" x14ac:dyDescent="0.25">
      <c r="A1900" s="101" t="s">
        <v>1502</v>
      </c>
      <c r="B1900" s="102" t="str">
        <f>"50.0504"</f>
        <v>50.0504</v>
      </c>
      <c r="C1900" s="101" t="s">
        <v>4889</v>
      </c>
      <c r="D1900" s="101" t="s">
        <v>4890</v>
      </c>
      <c r="E1900" s="79"/>
    </row>
    <row r="1901" spans="1:5" ht="14.85" customHeight="1" outlineLevel="1" x14ac:dyDescent="0.25">
      <c r="A1901" s="101" t="s">
        <v>1502</v>
      </c>
      <c r="B1901" s="102" t="str">
        <f>"50.0505"</f>
        <v>50.0505</v>
      </c>
      <c r="C1901" s="101" t="s">
        <v>4891</v>
      </c>
      <c r="D1901" s="101" t="s">
        <v>4892</v>
      </c>
      <c r="E1901" s="79"/>
    </row>
    <row r="1902" spans="1:5" ht="14.85" customHeight="1" outlineLevel="1" x14ac:dyDescent="0.25">
      <c r="A1902" s="101" t="s">
        <v>1502</v>
      </c>
      <c r="B1902" s="102" t="str">
        <f>"50.0506"</f>
        <v>50.0506</v>
      </c>
      <c r="C1902" s="101" t="s">
        <v>4893</v>
      </c>
      <c r="D1902" s="101" t="s">
        <v>4894</v>
      </c>
      <c r="E1902" s="79"/>
    </row>
    <row r="1903" spans="1:5" ht="14.85" customHeight="1" outlineLevel="1" x14ac:dyDescent="0.25">
      <c r="A1903" s="101" t="s">
        <v>1502</v>
      </c>
      <c r="B1903" s="102" t="str">
        <f>"50.0507"</f>
        <v>50.0507</v>
      </c>
      <c r="C1903" s="101" t="s">
        <v>4895</v>
      </c>
      <c r="D1903" s="101" t="s">
        <v>4896</v>
      </c>
      <c r="E1903" s="79"/>
    </row>
    <row r="1904" spans="1:5" ht="14.85" customHeight="1" outlineLevel="1" x14ac:dyDescent="0.25">
      <c r="A1904" s="101" t="s">
        <v>1502</v>
      </c>
      <c r="B1904" s="102" t="str">
        <f>"50.0509"</f>
        <v>50.0509</v>
      </c>
      <c r="C1904" s="101" t="s">
        <v>4897</v>
      </c>
      <c r="D1904" s="101" t="s">
        <v>4898</v>
      </c>
      <c r="E1904" s="79"/>
    </row>
    <row r="1905" spans="1:5" ht="14.85" customHeight="1" outlineLevel="1" x14ac:dyDescent="0.25">
      <c r="A1905" s="101" t="s">
        <v>1502</v>
      </c>
      <c r="B1905" s="102" t="str">
        <f>"50.0510"</f>
        <v>50.0510</v>
      </c>
      <c r="C1905" s="101" t="s">
        <v>4899</v>
      </c>
      <c r="D1905" s="101" t="s">
        <v>4900</v>
      </c>
      <c r="E1905" s="79"/>
    </row>
    <row r="1906" spans="1:5" ht="14.85" customHeight="1" outlineLevel="1" x14ac:dyDescent="0.25">
      <c r="A1906" s="101" t="s">
        <v>1502</v>
      </c>
      <c r="B1906" s="102" t="str">
        <f>"50.0511"</f>
        <v>50.0511</v>
      </c>
      <c r="C1906" s="101" t="s">
        <v>4901</v>
      </c>
      <c r="D1906" s="101" t="s">
        <v>4902</v>
      </c>
      <c r="E1906" s="79"/>
    </row>
    <row r="1907" spans="1:5" ht="14.85" customHeight="1" outlineLevel="1" x14ac:dyDescent="0.25">
      <c r="A1907" s="101" t="s">
        <v>1502</v>
      </c>
      <c r="B1907" s="102" t="str">
        <f>"50.0512"</f>
        <v>50.0512</v>
      </c>
      <c r="C1907" s="101" t="s">
        <v>4903</v>
      </c>
      <c r="D1907" s="101" t="s">
        <v>4904</v>
      </c>
      <c r="E1907" s="79"/>
    </row>
    <row r="1908" spans="1:5" ht="14.85" customHeight="1" outlineLevel="1" x14ac:dyDescent="0.25">
      <c r="A1908" s="101" t="s">
        <v>1502</v>
      </c>
      <c r="B1908" s="102" t="str">
        <f>"50.0599"</f>
        <v>50.0599</v>
      </c>
      <c r="C1908" s="101" t="s">
        <v>4905</v>
      </c>
      <c r="D1908" s="101" t="s">
        <v>4906</v>
      </c>
      <c r="E1908" s="79"/>
    </row>
    <row r="1909" spans="1:5" ht="14.85" customHeight="1" outlineLevel="1" x14ac:dyDescent="0.25">
      <c r="A1909" s="101" t="s">
        <v>1502</v>
      </c>
      <c r="B1909" s="102" t="str">
        <f>"50.06"</f>
        <v>50.06</v>
      </c>
      <c r="C1909" s="101" t="s">
        <v>4907</v>
      </c>
      <c r="D1909" s="101" t="s">
        <v>4908</v>
      </c>
      <c r="E1909" s="79"/>
    </row>
    <row r="1910" spans="1:5" ht="14.85" customHeight="1" outlineLevel="1" x14ac:dyDescent="0.25">
      <c r="A1910" s="101" t="s">
        <v>1502</v>
      </c>
      <c r="B1910" s="102" t="str">
        <f>"50.0601"</f>
        <v>50.0601</v>
      </c>
      <c r="C1910" s="101" t="s">
        <v>4909</v>
      </c>
      <c r="D1910" s="101" t="s">
        <v>4910</v>
      </c>
      <c r="E1910" s="79"/>
    </row>
    <row r="1911" spans="1:5" ht="14.85" customHeight="1" outlineLevel="1" x14ac:dyDescent="0.25">
      <c r="A1911" s="101" t="s">
        <v>1502</v>
      </c>
      <c r="B1911" s="102" t="str">
        <f>"50.0602"</f>
        <v>50.0602</v>
      </c>
      <c r="C1911" s="101" t="s">
        <v>4911</v>
      </c>
      <c r="D1911" s="101" t="s">
        <v>4912</v>
      </c>
      <c r="E1911" s="79"/>
    </row>
    <row r="1912" spans="1:5" ht="14.85" customHeight="1" outlineLevel="1" x14ac:dyDescent="0.25">
      <c r="A1912" s="101" t="s">
        <v>1502</v>
      </c>
      <c r="B1912" s="102" t="str">
        <f>"50.0605"</f>
        <v>50.0605</v>
      </c>
      <c r="C1912" s="101" t="s">
        <v>4913</v>
      </c>
      <c r="D1912" s="101" t="s">
        <v>4914</v>
      </c>
      <c r="E1912" s="79"/>
    </row>
    <row r="1913" spans="1:5" ht="14.85" customHeight="1" outlineLevel="1" x14ac:dyDescent="0.25">
      <c r="A1913" s="101" t="s">
        <v>1502</v>
      </c>
      <c r="B1913" s="102" t="str">
        <f>"50.0607"</f>
        <v>50.0607</v>
      </c>
      <c r="C1913" s="101" t="s">
        <v>4915</v>
      </c>
      <c r="D1913" s="101" t="s">
        <v>4916</v>
      </c>
      <c r="E1913" s="79"/>
    </row>
    <row r="1914" spans="1:5" ht="14.85" customHeight="1" outlineLevel="1" x14ac:dyDescent="0.25">
      <c r="A1914" s="101" t="s">
        <v>1502</v>
      </c>
      <c r="B1914" s="102" t="str">
        <f>"50.0699"</f>
        <v>50.0699</v>
      </c>
      <c r="C1914" s="101" t="s">
        <v>4917</v>
      </c>
      <c r="D1914" s="101" t="s">
        <v>4918</v>
      </c>
      <c r="E1914" s="79"/>
    </row>
    <row r="1915" spans="1:5" ht="14.85" customHeight="1" outlineLevel="1" x14ac:dyDescent="0.25">
      <c r="A1915" s="101" t="s">
        <v>1502</v>
      </c>
      <c r="B1915" s="102" t="str">
        <f>"50.07"</f>
        <v>50.07</v>
      </c>
      <c r="C1915" s="101" t="s">
        <v>4919</v>
      </c>
      <c r="D1915" s="101" t="s">
        <v>4920</v>
      </c>
      <c r="E1915" s="79"/>
    </row>
    <row r="1916" spans="1:5" ht="14.85" customHeight="1" outlineLevel="1" x14ac:dyDescent="0.25">
      <c r="A1916" s="101" t="s">
        <v>1502</v>
      </c>
      <c r="B1916" s="102" t="str">
        <f>"50.0701"</f>
        <v>50.0701</v>
      </c>
      <c r="C1916" s="101" t="s">
        <v>4921</v>
      </c>
      <c r="D1916" s="101" t="s">
        <v>4922</v>
      </c>
      <c r="E1916" s="79"/>
    </row>
    <row r="1917" spans="1:5" ht="14.85" customHeight="1" outlineLevel="1" x14ac:dyDescent="0.25">
      <c r="A1917" s="101" t="s">
        <v>1502</v>
      </c>
      <c r="B1917" s="102" t="str">
        <f>"50.0702"</f>
        <v>50.0702</v>
      </c>
      <c r="C1917" s="101" t="s">
        <v>4923</v>
      </c>
      <c r="D1917" s="101" t="s">
        <v>4924</v>
      </c>
      <c r="E1917" s="79"/>
    </row>
    <row r="1918" spans="1:5" ht="14.85" customHeight="1" outlineLevel="1" x14ac:dyDescent="0.25">
      <c r="A1918" s="101" t="s">
        <v>1502</v>
      </c>
      <c r="B1918" s="102" t="str">
        <f>"50.0703"</f>
        <v>50.0703</v>
      </c>
      <c r="C1918" s="101" t="s">
        <v>4925</v>
      </c>
      <c r="D1918" s="101" t="s">
        <v>4926</v>
      </c>
      <c r="E1918" s="79"/>
    </row>
    <row r="1919" spans="1:5" ht="14.85" customHeight="1" outlineLevel="1" x14ac:dyDescent="0.25">
      <c r="A1919" s="101" t="s">
        <v>1502</v>
      </c>
      <c r="B1919" s="102" t="str">
        <f>"50.0705"</f>
        <v>50.0705</v>
      </c>
      <c r="C1919" s="101" t="s">
        <v>4927</v>
      </c>
      <c r="D1919" s="101" t="s">
        <v>4928</v>
      </c>
      <c r="E1919" s="79"/>
    </row>
    <row r="1920" spans="1:5" ht="14.85" customHeight="1" outlineLevel="1" x14ac:dyDescent="0.25">
      <c r="A1920" s="101" t="s">
        <v>1502</v>
      </c>
      <c r="B1920" s="102" t="str">
        <f>"50.0706"</f>
        <v>50.0706</v>
      </c>
      <c r="C1920" s="101" t="s">
        <v>4929</v>
      </c>
      <c r="D1920" s="101" t="s">
        <v>4930</v>
      </c>
      <c r="E1920" s="79"/>
    </row>
    <row r="1921" spans="1:5" ht="14.85" customHeight="1" outlineLevel="1" x14ac:dyDescent="0.25">
      <c r="A1921" s="101" t="s">
        <v>1502</v>
      </c>
      <c r="B1921" s="102" t="str">
        <f>"50.0708"</f>
        <v>50.0708</v>
      </c>
      <c r="C1921" s="101" t="s">
        <v>4931</v>
      </c>
      <c r="D1921" s="101" t="s">
        <v>4932</v>
      </c>
      <c r="E1921" s="79"/>
    </row>
    <row r="1922" spans="1:5" ht="14.85" customHeight="1" outlineLevel="1" x14ac:dyDescent="0.25">
      <c r="A1922" s="101" t="s">
        <v>1502</v>
      </c>
      <c r="B1922" s="102" t="str">
        <f>"50.0709"</f>
        <v>50.0709</v>
      </c>
      <c r="C1922" s="101" t="s">
        <v>4933</v>
      </c>
      <c r="D1922" s="101" t="s">
        <v>4934</v>
      </c>
      <c r="E1922" s="79"/>
    </row>
    <row r="1923" spans="1:5" ht="14.85" customHeight="1" outlineLevel="1" x14ac:dyDescent="0.25">
      <c r="A1923" s="101" t="s">
        <v>1502</v>
      </c>
      <c r="B1923" s="102" t="str">
        <f>"50.0710"</f>
        <v>50.0710</v>
      </c>
      <c r="C1923" s="101" t="s">
        <v>4935</v>
      </c>
      <c r="D1923" s="101" t="s">
        <v>4936</v>
      </c>
      <c r="E1923" s="79"/>
    </row>
    <row r="1924" spans="1:5" ht="14.85" customHeight="1" outlineLevel="1" x14ac:dyDescent="0.25">
      <c r="A1924" s="101" t="s">
        <v>1502</v>
      </c>
      <c r="B1924" s="102" t="str">
        <f>"50.0711"</f>
        <v>50.0711</v>
      </c>
      <c r="C1924" s="101" t="s">
        <v>4937</v>
      </c>
      <c r="D1924" s="101" t="s">
        <v>4938</v>
      </c>
      <c r="E1924" s="79"/>
    </row>
    <row r="1925" spans="1:5" ht="14.85" customHeight="1" outlineLevel="1" x14ac:dyDescent="0.25">
      <c r="A1925" s="101" t="s">
        <v>1502</v>
      </c>
      <c r="B1925" s="102" t="str">
        <f>"50.0712"</f>
        <v>50.0712</v>
      </c>
      <c r="C1925" s="101" t="s">
        <v>4939</v>
      </c>
      <c r="D1925" s="101" t="s">
        <v>4940</v>
      </c>
      <c r="E1925" s="79"/>
    </row>
    <row r="1926" spans="1:5" ht="14.85" customHeight="1" outlineLevel="1" x14ac:dyDescent="0.25">
      <c r="A1926" s="101" t="s">
        <v>1502</v>
      </c>
      <c r="B1926" s="102" t="str">
        <f>"50.0713"</f>
        <v>50.0713</v>
      </c>
      <c r="C1926" s="101" t="s">
        <v>4941</v>
      </c>
      <c r="D1926" s="101" t="s">
        <v>4942</v>
      </c>
      <c r="E1926" s="79"/>
    </row>
    <row r="1927" spans="1:5" ht="14.85" customHeight="1" outlineLevel="1" x14ac:dyDescent="0.25">
      <c r="A1927" s="101" t="s">
        <v>1502</v>
      </c>
      <c r="B1927" s="102" t="str">
        <f>"50.0714"</f>
        <v>50.0714</v>
      </c>
      <c r="C1927" s="101" t="s">
        <v>4943</v>
      </c>
      <c r="D1927" s="101" t="s">
        <v>4944</v>
      </c>
      <c r="E1927" s="79"/>
    </row>
    <row r="1928" spans="1:5" ht="14.85" customHeight="1" outlineLevel="1" x14ac:dyDescent="0.25">
      <c r="A1928" s="101" t="s">
        <v>1502</v>
      </c>
      <c r="B1928" s="102" t="str">
        <f>"50.0799"</f>
        <v>50.0799</v>
      </c>
      <c r="C1928" s="101" t="s">
        <v>4945</v>
      </c>
      <c r="D1928" s="101" t="s">
        <v>4946</v>
      </c>
      <c r="E1928" s="79"/>
    </row>
    <row r="1929" spans="1:5" ht="14.85" customHeight="1" outlineLevel="1" x14ac:dyDescent="0.25">
      <c r="A1929" s="101" t="s">
        <v>1502</v>
      </c>
      <c r="B1929" s="102" t="str">
        <f>"50.09"</f>
        <v>50.09</v>
      </c>
      <c r="C1929" s="101" t="s">
        <v>3985</v>
      </c>
      <c r="D1929" s="101" t="s">
        <v>4947</v>
      </c>
      <c r="E1929" s="79"/>
    </row>
    <row r="1930" spans="1:5" ht="14.85" customHeight="1" outlineLevel="1" x14ac:dyDescent="0.25">
      <c r="A1930" s="101" t="s">
        <v>1502</v>
      </c>
      <c r="B1930" s="102" t="str">
        <f>"50.0901"</f>
        <v>50.0901</v>
      </c>
      <c r="C1930" s="101" t="s">
        <v>4948</v>
      </c>
      <c r="D1930" s="101" t="s">
        <v>4949</v>
      </c>
      <c r="E1930" s="79"/>
    </row>
    <row r="1931" spans="1:5" ht="14.85" customHeight="1" outlineLevel="1" x14ac:dyDescent="0.25">
      <c r="A1931" s="101" t="s">
        <v>1502</v>
      </c>
      <c r="B1931" s="102" t="str">
        <f>"50.0902"</f>
        <v>50.0902</v>
      </c>
      <c r="C1931" s="101" t="s">
        <v>4950</v>
      </c>
      <c r="D1931" s="101" t="s">
        <v>4951</v>
      </c>
      <c r="E1931" s="79"/>
    </row>
    <row r="1932" spans="1:5" ht="14.85" customHeight="1" outlineLevel="1" x14ac:dyDescent="0.25">
      <c r="A1932" s="101" t="s">
        <v>1502</v>
      </c>
      <c r="B1932" s="102" t="str">
        <f>"50.0903"</f>
        <v>50.0903</v>
      </c>
      <c r="C1932" s="101" t="s">
        <v>4952</v>
      </c>
      <c r="D1932" s="101" t="s">
        <v>4953</v>
      </c>
      <c r="E1932" s="79"/>
    </row>
    <row r="1933" spans="1:5" ht="14.85" customHeight="1" outlineLevel="1" x14ac:dyDescent="0.25">
      <c r="A1933" s="101" t="s">
        <v>1502</v>
      </c>
      <c r="B1933" s="102" t="str">
        <f>"50.0904"</f>
        <v>50.0904</v>
      </c>
      <c r="C1933" s="101" t="s">
        <v>4954</v>
      </c>
      <c r="D1933" s="101" t="s">
        <v>4955</v>
      </c>
      <c r="E1933" s="79"/>
    </row>
    <row r="1934" spans="1:5" ht="14.85" customHeight="1" outlineLevel="1" x14ac:dyDescent="0.25">
      <c r="A1934" s="101" t="s">
        <v>1502</v>
      </c>
      <c r="B1934" s="102" t="str">
        <f>"50.0905"</f>
        <v>50.0905</v>
      </c>
      <c r="C1934" s="101" t="s">
        <v>4956</v>
      </c>
      <c r="D1934" s="101" t="s">
        <v>4957</v>
      </c>
      <c r="E1934" s="79"/>
    </row>
    <row r="1935" spans="1:5" ht="14.85" customHeight="1" outlineLevel="1" x14ac:dyDescent="0.25">
      <c r="A1935" s="101" t="s">
        <v>1502</v>
      </c>
      <c r="B1935" s="102" t="str">
        <f>"50.0906"</f>
        <v>50.0906</v>
      </c>
      <c r="C1935" s="101" t="s">
        <v>4958</v>
      </c>
      <c r="D1935" s="101" t="s">
        <v>4959</v>
      </c>
      <c r="E1935" s="79"/>
    </row>
    <row r="1936" spans="1:5" ht="14.85" customHeight="1" outlineLevel="1" x14ac:dyDescent="0.25">
      <c r="A1936" s="101" t="s">
        <v>1502</v>
      </c>
      <c r="B1936" s="102" t="str">
        <f>"50.0907"</f>
        <v>50.0907</v>
      </c>
      <c r="C1936" s="101" t="s">
        <v>4960</v>
      </c>
      <c r="D1936" s="101" t="s">
        <v>4961</v>
      </c>
      <c r="E1936" s="79"/>
    </row>
    <row r="1937" spans="1:5" ht="14.85" customHeight="1" outlineLevel="1" x14ac:dyDescent="0.25">
      <c r="A1937" s="101" t="s">
        <v>1502</v>
      </c>
      <c r="B1937" s="102" t="str">
        <f>"50.0908"</f>
        <v>50.0908</v>
      </c>
      <c r="C1937" s="101" t="s">
        <v>4962</v>
      </c>
      <c r="D1937" s="101" t="s">
        <v>4963</v>
      </c>
      <c r="E1937" s="79"/>
    </row>
    <row r="1938" spans="1:5" ht="14.85" customHeight="1" outlineLevel="1" x14ac:dyDescent="0.25">
      <c r="A1938" s="101" t="s">
        <v>1502</v>
      </c>
      <c r="B1938" s="102" t="str">
        <f>"50.0910"</f>
        <v>50.0910</v>
      </c>
      <c r="C1938" s="101" t="s">
        <v>4964</v>
      </c>
      <c r="D1938" s="101" t="s">
        <v>4965</v>
      </c>
      <c r="E1938" s="79"/>
    </row>
    <row r="1939" spans="1:5" ht="14.85" customHeight="1" outlineLevel="1" x14ac:dyDescent="0.25">
      <c r="A1939" s="101" t="s">
        <v>1502</v>
      </c>
      <c r="B1939" s="102" t="str">
        <f>"50.0911"</f>
        <v>50.0911</v>
      </c>
      <c r="C1939" s="101" t="s">
        <v>4966</v>
      </c>
      <c r="D1939" s="101" t="s">
        <v>4967</v>
      </c>
      <c r="E1939" s="79"/>
    </row>
    <row r="1940" spans="1:5" ht="14.85" customHeight="1" outlineLevel="1" x14ac:dyDescent="0.25">
      <c r="A1940" s="101" t="s">
        <v>1502</v>
      </c>
      <c r="B1940" s="102" t="str">
        <f>"50.0912"</f>
        <v>50.0912</v>
      </c>
      <c r="C1940" s="101" t="s">
        <v>4968</v>
      </c>
      <c r="D1940" s="101" t="s">
        <v>4969</v>
      </c>
      <c r="E1940" s="79"/>
    </row>
    <row r="1941" spans="1:5" ht="14.85" customHeight="1" outlineLevel="1" x14ac:dyDescent="0.25">
      <c r="A1941" s="101" t="s">
        <v>1502</v>
      </c>
      <c r="B1941" s="102" t="str">
        <f>"50.0913"</f>
        <v>50.0913</v>
      </c>
      <c r="C1941" s="101" t="s">
        <v>4970</v>
      </c>
      <c r="D1941" s="101" t="s">
        <v>4971</v>
      </c>
      <c r="E1941" s="79"/>
    </row>
    <row r="1942" spans="1:5" ht="14.85" customHeight="1" outlineLevel="1" x14ac:dyDescent="0.25">
      <c r="A1942" s="101" t="s">
        <v>1502</v>
      </c>
      <c r="B1942" s="102" t="str">
        <f>"50.0914"</f>
        <v>50.0914</v>
      </c>
      <c r="C1942" s="101" t="s">
        <v>4972</v>
      </c>
      <c r="D1942" s="101" t="s">
        <v>4973</v>
      </c>
      <c r="E1942" s="79"/>
    </row>
    <row r="1943" spans="1:5" ht="14.85" customHeight="1" outlineLevel="1" x14ac:dyDescent="0.25">
      <c r="A1943" s="101" t="s">
        <v>1502</v>
      </c>
      <c r="B1943" s="102" t="str">
        <f>"50.0915"</f>
        <v>50.0915</v>
      </c>
      <c r="C1943" s="101" t="s">
        <v>4974</v>
      </c>
      <c r="D1943" s="101" t="s">
        <v>4975</v>
      </c>
      <c r="E1943" s="79"/>
    </row>
    <row r="1944" spans="1:5" ht="14.85" customHeight="1" outlineLevel="1" x14ac:dyDescent="0.25">
      <c r="A1944" s="101" t="s">
        <v>1502</v>
      </c>
      <c r="B1944" s="102" t="str">
        <f>"50.0916"</f>
        <v>50.0916</v>
      </c>
      <c r="C1944" s="101" t="s">
        <v>4976</v>
      </c>
      <c r="D1944" s="101" t="s">
        <v>4977</v>
      </c>
      <c r="E1944" s="79"/>
    </row>
    <row r="1945" spans="1:5" ht="14.85" customHeight="1" outlineLevel="1" x14ac:dyDescent="0.25">
      <c r="A1945" s="101" t="s">
        <v>1502</v>
      </c>
      <c r="B1945" s="102" t="str">
        <f>"50.0917"</f>
        <v>50.0917</v>
      </c>
      <c r="C1945" s="101" t="s">
        <v>4978</v>
      </c>
      <c r="D1945" s="101" t="s">
        <v>4979</v>
      </c>
      <c r="E1945" s="79"/>
    </row>
    <row r="1946" spans="1:5" ht="14.85" customHeight="1" outlineLevel="1" x14ac:dyDescent="0.25">
      <c r="A1946" s="101" t="s">
        <v>1502</v>
      </c>
      <c r="B1946" s="102" t="str">
        <f>"50.0999"</f>
        <v>50.0999</v>
      </c>
      <c r="C1946" s="101" t="s">
        <v>4980</v>
      </c>
      <c r="D1946" s="101" t="s">
        <v>4981</v>
      </c>
      <c r="E1946" s="79"/>
    </row>
    <row r="1947" spans="1:5" ht="14.85" customHeight="1" outlineLevel="1" x14ac:dyDescent="0.25">
      <c r="A1947" s="101" t="s">
        <v>1502</v>
      </c>
      <c r="B1947" s="102" t="str">
        <f>"50.10"</f>
        <v>50.10</v>
      </c>
      <c r="C1947" s="101" t="s">
        <v>4982</v>
      </c>
      <c r="D1947" s="101" t="s">
        <v>4983</v>
      </c>
      <c r="E1947" s="79"/>
    </row>
    <row r="1948" spans="1:5" ht="14.85" customHeight="1" outlineLevel="1" x14ac:dyDescent="0.25">
      <c r="A1948" s="101" t="s">
        <v>1502</v>
      </c>
      <c r="B1948" s="102" t="str">
        <f>"50.1001"</f>
        <v>50.1001</v>
      </c>
      <c r="C1948" s="101" t="s">
        <v>4984</v>
      </c>
      <c r="D1948" s="101" t="s">
        <v>4985</v>
      </c>
      <c r="E1948" s="79"/>
    </row>
    <row r="1949" spans="1:5" ht="14.85" customHeight="1" outlineLevel="1" x14ac:dyDescent="0.25">
      <c r="A1949" s="101" t="s">
        <v>1502</v>
      </c>
      <c r="B1949" s="102" t="str">
        <f>"50.1002"</f>
        <v>50.1002</v>
      </c>
      <c r="C1949" s="101" t="s">
        <v>4986</v>
      </c>
      <c r="D1949" s="101" t="s">
        <v>4987</v>
      </c>
      <c r="E1949" s="79"/>
    </row>
    <row r="1950" spans="1:5" ht="14.85" customHeight="1" outlineLevel="1" x14ac:dyDescent="0.25">
      <c r="A1950" s="101" t="s">
        <v>1502</v>
      </c>
      <c r="B1950" s="102" t="str">
        <f>"50.1003"</f>
        <v>50.1003</v>
      </c>
      <c r="C1950" s="101" t="s">
        <v>4988</v>
      </c>
      <c r="D1950" s="101" t="s">
        <v>4989</v>
      </c>
      <c r="E1950" s="79"/>
    </row>
    <row r="1951" spans="1:5" ht="14.85" customHeight="1" outlineLevel="1" x14ac:dyDescent="0.25">
      <c r="A1951" s="101" t="s">
        <v>1502</v>
      </c>
      <c r="B1951" s="102" t="str">
        <f>"50.1004"</f>
        <v>50.1004</v>
      </c>
      <c r="C1951" s="101" t="s">
        <v>4990</v>
      </c>
      <c r="D1951" s="101" t="s">
        <v>4991</v>
      </c>
      <c r="E1951" s="79"/>
    </row>
    <row r="1952" spans="1:5" ht="14.85" customHeight="1" outlineLevel="1" x14ac:dyDescent="0.25">
      <c r="A1952" s="101" t="s">
        <v>1502</v>
      </c>
      <c r="B1952" s="102" t="str">
        <f>"50.1099"</f>
        <v>50.1099</v>
      </c>
      <c r="C1952" s="101" t="s">
        <v>4992</v>
      </c>
      <c r="D1952" s="101" t="s">
        <v>4993</v>
      </c>
      <c r="E1952" s="79"/>
    </row>
    <row r="1953" spans="1:5" ht="14.85" customHeight="1" outlineLevel="1" x14ac:dyDescent="0.25">
      <c r="A1953" s="101" t="s">
        <v>1502</v>
      </c>
      <c r="B1953" s="102" t="str">
        <f>"50.11"</f>
        <v>50.11</v>
      </c>
      <c r="C1953" s="101" t="s">
        <v>4994</v>
      </c>
      <c r="D1953" s="101" t="s">
        <v>4995</v>
      </c>
      <c r="E1953" s="79"/>
    </row>
    <row r="1954" spans="1:5" ht="14.85" customHeight="1" outlineLevel="1" x14ac:dyDescent="0.25">
      <c r="A1954" s="101" t="s">
        <v>1502</v>
      </c>
      <c r="B1954" s="102" t="str">
        <f>"50.1101"</f>
        <v>50.1101</v>
      </c>
      <c r="C1954" s="101" t="s">
        <v>4994</v>
      </c>
      <c r="D1954" s="101" t="s">
        <v>4996</v>
      </c>
      <c r="E1954" s="79"/>
    </row>
    <row r="1955" spans="1:5" ht="14.85" customHeight="1" outlineLevel="1" x14ac:dyDescent="0.25">
      <c r="A1955" s="101" t="s">
        <v>1502</v>
      </c>
      <c r="B1955" s="102" t="str">
        <f>"50.99"</f>
        <v>50.99</v>
      </c>
      <c r="C1955" s="101" t="s">
        <v>4997</v>
      </c>
      <c r="D1955" s="101" t="s">
        <v>4998</v>
      </c>
      <c r="E1955" s="79"/>
    </row>
    <row r="1956" spans="1:5" ht="14.85" customHeight="1" outlineLevel="1" x14ac:dyDescent="0.25">
      <c r="A1956" s="101" t="s">
        <v>1502</v>
      </c>
      <c r="B1956" s="102" t="str">
        <f>"50.9999"</f>
        <v>50.9999</v>
      </c>
      <c r="C1956" s="101" t="s">
        <v>4997</v>
      </c>
      <c r="D1956" s="101" t="s">
        <v>4999</v>
      </c>
      <c r="E1956" s="79"/>
    </row>
    <row r="1957" spans="1:5" ht="14.85" customHeight="1" outlineLevel="1" x14ac:dyDescent="0.25">
      <c r="A1957" s="101" t="s">
        <v>1502</v>
      </c>
      <c r="B1957" s="102" t="str">
        <f>"51"</f>
        <v>51</v>
      </c>
      <c r="C1957" s="101" t="s">
        <v>5000</v>
      </c>
      <c r="D1957" s="101" t="s">
        <v>5001</v>
      </c>
      <c r="E1957" s="79"/>
    </row>
    <row r="1958" spans="1:5" ht="14.85" customHeight="1" outlineLevel="1" x14ac:dyDescent="0.25">
      <c r="A1958" s="101" t="s">
        <v>1502</v>
      </c>
      <c r="B1958" s="102" t="str">
        <f>"51.00"</f>
        <v>51.00</v>
      </c>
      <c r="C1958" s="101" t="s">
        <v>5002</v>
      </c>
      <c r="D1958" s="101" t="s">
        <v>5003</v>
      </c>
      <c r="E1958" s="79"/>
    </row>
    <row r="1959" spans="1:5" ht="14.85" customHeight="1" outlineLevel="1" x14ac:dyDescent="0.25">
      <c r="A1959" s="101" t="s">
        <v>1502</v>
      </c>
      <c r="B1959" s="102" t="str">
        <f>"51.0000"</f>
        <v>51.0000</v>
      </c>
      <c r="C1959" s="101" t="s">
        <v>5002</v>
      </c>
      <c r="D1959" s="101" t="s">
        <v>5004</v>
      </c>
      <c r="E1959" s="79"/>
    </row>
    <row r="1960" spans="1:5" ht="14.85" customHeight="1" outlineLevel="1" x14ac:dyDescent="0.25">
      <c r="A1960" s="101" t="s">
        <v>1502</v>
      </c>
      <c r="B1960" s="102" t="str">
        <f>"51.0001"</f>
        <v>51.0001</v>
      </c>
      <c r="C1960" s="101" t="s">
        <v>5005</v>
      </c>
      <c r="D1960" s="101" t="s">
        <v>5006</v>
      </c>
      <c r="E1960" s="79"/>
    </row>
    <row r="1961" spans="1:5" ht="14.85" customHeight="1" outlineLevel="1" x14ac:dyDescent="0.25">
      <c r="A1961" s="101" t="s">
        <v>1502</v>
      </c>
      <c r="B1961" s="102" t="str">
        <f>"51.01"</f>
        <v>51.01</v>
      </c>
      <c r="C1961" s="101" t="s">
        <v>5007</v>
      </c>
      <c r="D1961" s="101" t="s">
        <v>5008</v>
      </c>
      <c r="E1961" s="79"/>
    </row>
    <row r="1962" spans="1:5" ht="14.85" customHeight="1" outlineLevel="1" x14ac:dyDescent="0.25">
      <c r="A1962" s="101" t="s">
        <v>1502</v>
      </c>
      <c r="B1962" s="102" t="str">
        <f>"51.0101"</f>
        <v>51.0101</v>
      </c>
      <c r="C1962" s="101" t="s">
        <v>5007</v>
      </c>
      <c r="D1962" s="101" t="s">
        <v>5009</v>
      </c>
      <c r="E1962" s="79"/>
    </row>
    <row r="1963" spans="1:5" ht="14.85" customHeight="1" outlineLevel="1" x14ac:dyDescent="0.25">
      <c r="A1963" s="101" t="s">
        <v>1502</v>
      </c>
      <c r="B1963" s="102" t="str">
        <f>"51.02"</f>
        <v>51.02</v>
      </c>
      <c r="C1963" s="101" t="s">
        <v>5010</v>
      </c>
      <c r="D1963" s="101" t="s">
        <v>5011</v>
      </c>
      <c r="E1963" s="79"/>
    </row>
    <row r="1964" spans="1:5" ht="14.85" customHeight="1" outlineLevel="1" x14ac:dyDescent="0.25">
      <c r="A1964" s="101" t="s">
        <v>1502</v>
      </c>
      <c r="B1964" s="102" t="str">
        <f>"51.0201"</f>
        <v>51.0201</v>
      </c>
      <c r="C1964" s="101" t="s">
        <v>5012</v>
      </c>
      <c r="D1964" s="101" t="s">
        <v>5013</v>
      </c>
      <c r="E1964" s="79"/>
    </row>
    <row r="1965" spans="1:5" ht="14.85" customHeight="1" outlineLevel="1" x14ac:dyDescent="0.25">
      <c r="A1965" s="101" t="s">
        <v>1502</v>
      </c>
      <c r="B1965" s="102" t="str">
        <f>"51.0202"</f>
        <v>51.0202</v>
      </c>
      <c r="C1965" s="101" t="s">
        <v>5014</v>
      </c>
      <c r="D1965" s="101" t="s">
        <v>5015</v>
      </c>
      <c r="E1965" s="79"/>
    </row>
    <row r="1966" spans="1:5" ht="14.85" customHeight="1" outlineLevel="1" x14ac:dyDescent="0.25">
      <c r="A1966" s="101" t="s">
        <v>1502</v>
      </c>
      <c r="B1966" s="102" t="str">
        <f>"51.0203"</f>
        <v>51.0203</v>
      </c>
      <c r="C1966" s="101" t="s">
        <v>5016</v>
      </c>
      <c r="D1966" s="101" t="s">
        <v>5017</v>
      </c>
      <c r="E1966" s="79"/>
    </row>
    <row r="1967" spans="1:5" ht="14.85" customHeight="1" outlineLevel="1" x14ac:dyDescent="0.25">
      <c r="A1967" s="101" t="s">
        <v>1502</v>
      </c>
      <c r="B1967" s="102" t="str">
        <f>"51.0204"</f>
        <v>51.0204</v>
      </c>
      <c r="C1967" s="101" t="s">
        <v>5018</v>
      </c>
      <c r="D1967" s="101" t="s">
        <v>5019</v>
      </c>
      <c r="E1967" s="79"/>
    </row>
    <row r="1968" spans="1:5" ht="14.85" customHeight="1" outlineLevel="1" x14ac:dyDescent="0.25">
      <c r="A1968" s="101" t="s">
        <v>1502</v>
      </c>
      <c r="B1968" s="102" t="str">
        <f>"51.0299"</f>
        <v>51.0299</v>
      </c>
      <c r="C1968" s="101" t="s">
        <v>5020</v>
      </c>
      <c r="D1968" s="101" t="s">
        <v>5021</v>
      </c>
      <c r="E1968" s="79"/>
    </row>
    <row r="1969" spans="1:5" ht="14.85" customHeight="1" outlineLevel="1" x14ac:dyDescent="0.25">
      <c r="A1969" s="101" t="s">
        <v>1502</v>
      </c>
      <c r="B1969" s="102" t="str">
        <f>"51.04"</f>
        <v>51.04</v>
      </c>
      <c r="C1969" s="101" t="s">
        <v>5022</v>
      </c>
      <c r="D1969" s="101" t="s">
        <v>5023</v>
      </c>
      <c r="E1969" s="79"/>
    </row>
    <row r="1970" spans="1:5" ht="14.85" customHeight="1" outlineLevel="1" x14ac:dyDescent="0.25">
      <c r="A1970" s="101" t="s">
        <v>1502</v>
      </c>
      <c r="B1970" s="102" t="str">
        <f>"51.0401"</f>
        <v>51.0401</v>
      </c>
      <c r="C1970" s="101" t="s">
        <v>5022</v>
      </c>
      <c r="D1970" s="101" t="s">
        <v>5024</v>
      </c>
      <c r="E1970" s="79"/>
    </row>
    <row r="1971" spans="1:5" ht="14.85" customHeight="1" outlineLevel="1" x14ac:dyDescent="0.25">
      <c r="A1971" s="101" t="s">
        <v>1502</v>
      </c>
      <c r="B1971" s="102" t="str">
        <f>"51.05"</f>
        <v>51.05</v>
      </c>
      <c r="C1971" s="101" t="s">
        <v>5025</v>
      </c>
      <c r="D1971" s="101" t="s">
        <v>5026</v>
      </c>
      <c r="E1971" s="79"/>
    </row>
    <row r="1972" spans="1:5" ht="14.85" customHeight="1" outlineLevel="1" x14ac:dyDescent="0.25">
      <c r="A1972" s="101" t="s">
        <v>1502</v>
      </c>
      <c r="B1972" s="102" t="str">
        <f>"51.0501"</f>
        <v>51.0501</v>
      </c>
      <c r="C1972" s="101" t="s">
        <v>5027</v>
      </c>
      <c r="D1972" s="101" t="s">
        <v>5028</v>
      </c>
      <c r="E1972" s="79"/>
    </row>
    <row r="1973" spans="1:5" ht="14.85" customHeight="1" outlineLevel="1" x14ac:dyDescent="0.25">
      <c r="A1973" s="101" t="s">
        <v>1502</v>
      </c>
      <c r="B1973" s="102" t="str">
        <f>"51.0502"</f>
        <v>51.0502</v>
      </c>
      <c r="C1973" s="101" t="s">
        <v>5029</v>
      </c>
      <c r="D1973" s="101" t="s">
        <v>5030</v>
      </c>
      <c r="E1973" s="79"/>
    </row>
    <row r="1974" spans="1:5" ht="14.85" customHeight="1" outlineLevel="1" x14ac:dyDescent="0.25">
      <c r="A1974" s="101" t="s">
        <v>1502</v>
      </c>
      <c r="B1974" s="102" t="str">
        <f>"51.0503"</f>
        <v>51.0503</v>
      </c>
      <c r="C1974" s="101" t="s">
        <v>5031</v>
      </c>
      <c r="D1974" s="101" t="s">
        <v>5032</v>
      </c>
      <c r="E1974" s="79"/>
    </row>
    <row r="1975" spans="1:5" ht="14.85" customHeight="1" outlineLevel="1" x14ac:dyDescent="0.25">
      <c r="A1975" s="101" t="s">
        <v>1502</v>
      </c>
      <c r="B1975" s="102" t="str">
        <f>"51.0504"</f>
        <v>51.0504</v>
      </c>
      <c r="C1975" s="101" t="s">
        <v>5033</v>
      </c>
      <c r="D1975" s="101" t="s">
        <v>5034</v>
      </c>
      <c r="E1975" s="79"/>
    </row>
    <row r="1976" spans="1:5" ht="14.85" customHeight="1" outlineLevel="1" x14ac:dyDescent="0.25">
      <c r="A1976" s="101" t="s">
        <v>1502</v>
      </c>
      <c r="B1976" s="102" t="str">
        <f>"51.0505"</f>
        <v>51.0505</v>
      </c>
      <c r="C1976" s="101" t="s">
        <v>5035</v>
      </c>
      <c r="D1976" s="101" t="s">
        <v>5036</v>
      </c>
      <c r="E1976" s="79"/>
    </row>
    <row r="1977" spans="1:5" ht="14.85" customHeight="1" outlineLevel="1" x14ac:dyDescent="0.25">
      <c r="A1977" s="101" t="s">
        <v>1502</v>
      </c>
      <c r="B1977" s="102" t="str">
        <f>"51.0506"</f>
        <v>51.0506</v>
      </c>
      <c r="C1977" s="101" t="s">
        <v>5037</v>
      </c>
      <c r="D1977" s="101" t="s">
        <v>5038</v>
      </c>
      <c r="E1977" s="79"/>
    </row>
    <row r="1978" spans="1:5" ht="14.85" customHeight="1" outlineLevel="1" x14ac:dyDescent="0.25">
      <c r="A1978" s="101" t="s">
        <v>1502</v>
      </c>
      <c r="B1978" s="102" t="str">
        <f>"51.0507"</f>
        <v>51.0507</v>
      </c>
      <c r="C1978" s="101" t="s">
        <v>5039</v>
      </c>
      <c r="D1978" s="101" t="s">
        <v>5040</v>
      </c>
      <c r="E1978" s="79"/>
    </row>
    <row r="1979" spans="1:5" ht="14.85" customHeight="1" outlineLevel="1" x14ac:dyDescent="0.25">
      <c r="A1979" s="101" t="s">
        <v>1502</v>
      </c>
      <c r="B1979" s="102" t="str">
        <f>"51.0508"</f>
        <v>51.0508</v>
      </c>
      <c r="C1979" s="101" t="s">
        <v>5041</v>
      </c>
      <c r="D1979" s="101" t="s">
        <v>5042</v>
      </c>
      <c r="E1979" s="79"/>
    </row>
    <row r="1980" spans="1:5" ht="14.85" customHeight="1" outlineLevel="1" x14ac:dyDescent="0.25">
      <c r="A1980" s="101" t="s">
        <v>1502</v>
      </c>
      <c r="B1980" s="102" t="str">
        <f>"51.0509"</f>
        <v>51.0509</v>
      </c>
      <c r="C1980" s="101" t="s">
        <v>5043</v>
      </c>
      <c r="D1980" s="101" t="s">
        <v>5044</v>
      </c>
      <c r="E1980" s="79"/>
    </row>
    <row r="1981" spans="1:5" ht="14.85" customHeight="1" outlineLevel="1" x14ac:dyDescent="0.25">
      <c r="A1981" s="101" t="s">
        <v>1502</v>
      </c>
      <c r="B1981" s="102" t="str">
        <f>"51.0510"</f>
        <v>51.0510</v>
      </c>
      <c r="C1981" s="101" t="s">
        <v>5045</v>
      </c>
      <c r="D1981" s="101" t="s">
        <v>5046</v>
      </c>
      <c r="E1981" s="79"/>
    </row>
    <row r="1982" spans="1:5" ht="14.85" customHeight="1" outlineLevel="1" x14ac:dyDescent="0.25">
      <c r="A1982" s="101" t="s">
        <v>1502</v>
      </c>
      <c r="B1982" s="102" t="str">
        <f>"51.0511"</f>
        <v>51.0511</v>
      </c>
      <c r="C1982" s="101" t="s">
        <v>5047</v>
      </c>
      <c r="D1982" s="101" t="s">
        <v>5048</v>
      </c>
      <c r="E1982" s="79"/>
    </row>
    <row r="1983" spans="1:5" ht="14.85" customHeight="1" outlineLevel="1" x14ac:dyDescent="0.25">
      <c r="A1983" s="101" t="s">
        <v>1502</v>
      </c>
      <c r="B1983" s="102" t="str">
        <f>"51.0512"</f>
        <v>51.0512</v>
      </c>
      <c r="C1983" s="101" t="s">
        <v>5049</v>
      </c>
      <c r="D1983" s="101" t="s">
        <v>5050</v>
      </c>
      <c r="E1983" s="79"/>
    </row>
    <row r="1984" spans="1:5" ht="14.85" customHeight="1" outlineLevel="1" x14ac:dyDescent="0.25">
      <c r="A1984" s="101" t="s">
        <v>1502</v>
      </c>
      <c r="B1984" s="102" t="str">
        <f>"51.0513"</f>
        <v>51.0513</v>
      </c>
      <c r="C1984" s="101" t="s">
        <v>5051</v>
      </c>
      <c r="D1984" s="101" t="s">
        <v>5052</v>
      </c>
      <c r="E1984" s="79"/>
    </row>
    <row r="1985" spans="1:5" ht="14.85" customHeight="1" outlineLevel="1" x14ac:dyDescent="0.25">
      <c r="A1985" s="101" t="s">
        <v>1502</v>
      </c>
      <c r="B1985" s="102" t="str">
        <f>"51.0514"</f>
        <v>51.0514</v>
      </c>
      <c r="C1985" s="101" t="s">
        <v>5053</v>
      </c>
      <c r="D1985" s="101" t="s">
        <v>5054</v>
      </c>
      <c r="E1985" s="79"/>
    </row>
    <row r="1986" spans="1:5" ht="14.85" customHeight="1" outlineLevel="1" x14ac:dyDescent="0.25">
      <c r="A1986" s="101" t="s">
        <v>1502</v>
      </c>
      <c r="B1986" s="102" t="str">
        <f>"51.0599"</f>
        <v>51.0599</v>
      </c>
      <c r="C1986" s="101" t="s">
        <v>5055</v>
      </c>
      <c r="D1986" s="101" t="s">
        <v>5056</v>
      </c>
      <c r="E1986" s="79"/>
    </row>
    <row r="1987" spans="1:5" ht="14.85" customHeight="1" outlineLevel="1" x14ac:dyDescent="0.25">
      <c r="A1987" s="101" t="s">
        <v>1502</v>
      </c>
      <c r="B1987" s="102" t="str">
        <f>"51.06"</f>
        <v>51.06</v>
      </c>
      <c r="C1987" s="101" t="s">
        <v>5057</v>
      </c>
      <c r="D1987" s="101" t="s">
        <v>5058</v>
      </c>
      <c r="E1987" s="79"/>
    </row>
    <row r="1988" spans="1:5" ht="14.85" customHeight="1" outlineLevel="1" x14ac:dyDescent="0.25">
      <c r="A1988" s="101" t="s">
        <v>1502</v>
      </c>
      <c r="B1988" s="102" t="str">
        <f>"51.0601"</f>
        <v>51.0601</v>
      </c>
      <c r="C1988" s="101" t="s">
        <v>5059</v>
      </c>
      <c r="D1988" s="101" t="s">
        <v>5060</v>
      </c>
      <c r="E1988" s="79"/>
    </row>
    <row r="1989" spans="1:5" ht="14.85" customHeight="1" outlineLevel="1" x14ac:dyDescent="0.25">
      <c r="A1989" s="101" t="s">
        <v>1502</v>
      </c>
      <c r="B1989" s="102" t="str">
        <f>"51.0602"</f>
        <v>51.0602</v>
      </c>
      <c r="C1989" s="101" t="s">
        <v>5061</v>
      </c>
      <c r="D1989" s="101" t="s">
        <v>5062</v>
      </c>
      <c r="E1989" s="79"/>
    </row>
    <row r="1990" spans="1:5" ht="14.85" customHeight="1" outlineLevel="1" x14ac:dyDescent="0.25">
      <c r="A1990" s="101" t="s">
        <v>1502</v>
      </c>
      <c r="B1990" s="102" t="str">
        <f>"51.0603"</f>
        <v>51.0603</v>
      </c>
      <c r="C1990" s="101" t="s">
        <v>5063</v>
      </c>
      <c r="D1990" s="101" t="s">
        <v>5064</v>
      </c>
      <c r="E1990" s="79"/>
    </row>
    <row r="1991" spans="1:5" ht="14.85" customHeight="1" outlineLevel="1" x14ac:dyDescent="0.25">
      <c r="A1991" s="101" t="s">
        <v>1502</v>
      </c>
      <c r="B1991" s="102" t="str">
        <f>"51.0699"</f>
        <v>51.0699</v>
      </c>
      <c r="C1991" s="101" t="s">
        <v>5065</v>
      </c>
      <c r="D1991" s="101" t="s">
        <v>5066</v>
      </c>
      <c r="E1991" s="79"/>
    </row>
    <row r="1992" spans="1:5" ht="14.85" customHeight="1" outlineLevel="1" x14ac:dyDescent="0.25">
      <c r="A1992" s="101" t="s">
        <v>1502</v>
      </c>
      <c r="B1992" s="102" t="str">
        <f>"51.07"</f>
        <v>51.07</v>
      </c>
      <c r="C1992" s="101" t="s">
        <v>5067</v>
      </c>
      <c r="D1992" s="101" t="s">
        <v>5068</v>
      </c>
      <c r="E1992" s="79"/>
    </row>
    <row r="1993" spans="1:5" ht="14.85" customHeight="1" outlineLevel="1" x14ac:dyDescent="0.25">
      <c r="A1993" s="101" t="s">
        <v>1502</v>
      </c>
      <c r="B1993" s="102" t="str">
        <f>"51.0701"</f>
        <v>51.0701</v>
      </c>
      <c r="C1993" s="101" t="s">
        <v>5069</v>
      </c>
      <c r="D1993" s="101" t="s">
        <v>5070</v>
      </c>
      <c r="E1993" s="79"/>
    </row>
    <row r="1994" spans="1:5" ht="14.85" customHeight="1" outlineLevel="1" x14ac:dyDescent="0.25">
      <c r="A1994" s="101" t="s">
        <v>1502</v>
      </c>
      <c r="B1994" s="102" t="str">
        <f>"51.0702"</f>
        <v>51.0702</v>
      </c>
      <c r="C1994" s="101" t="s">
        <v>5071</v>
      </c>
      <c r="D1994" s="101" t="s">
        <v>5072</v>
      </c>
      <c r="E1994" s="79"/>
    </row>
    <row r="1995" spans="1:5" ht="14.85" customHeight="1" outlineLevel="1" x14ac:dyDescent="0.25">
      <c r="A1995" s="101" t="s">
        <v>1502</v>
      </c>
      <c r="B1995" s="102" t="str">
        <f>"51.0703"</f>
        <v>51.0703</v>
      </c>
      <c r="C1995" s="101" t="s">
        <v>5073</v>
      </c>
      <c r="D1995" s="101" t="s">
        <v>5074</v>
      </c>
      <c r="E1995" s="79"/>
    </row>
    <row r="1996" spans="1:5" ht="14.85" customHeight="1" outlineLevel="1" x14ac:dyDescent="0.25">
      <c r="A1996" s="101" t="s">
        <v>1502</v>
      </c>
      <c r="B1996" s="102" t="str">
        <f>"51.0704"</f>
        <v>51.0704</v>
      </c>
      <c r="C1996" s="101" t="s">
        <v>5075</v>
      </c>
      <c r="D1996" s="101" t="s">
        <v>5076</v>
      </c>
      <c r="E1996" s="79"/>
    </row>
    <row r="1997" spans="1:5" ht="14.85" customHeight="1" outlineLevel="1" x14ac:dyDescent="0.25">
      <c r="A1997" s="101" t="s">
        <v>1502</v>
      </c>
      <c r="B1997" s="102" t="str">
        <f>"51.0705"</f>
        <v>51.0705</v>
      </c>
      <c r="C1997" s="101" t="s">
        <v>5077</v>
      </c>
      <c r="D1997" s="101" t="s">
        <v>5078</v>
      </c>
      <c r="E1997" s="79"/>
    </row>
    <row r="1998" spans="1:5" ht="14.85" customHeight="1" outlineLevel="1" x14ac:dyDescent="0.25">
      <c r="A1998" s="101" t="s">
        <v>1502</v>
      </c>
      <c r="B1998" s="102" t="str">
        <f>"51.0706"</f>
        <v>51.0706</v>
      </c>
      <c r="C1998" s="101" t="s">
        <v>5079</v>
      </c>
      <c r="D1998" s="101" t="s">
        <v>5080</v>
      </c>
      <c r="E1998" s="79"/>
    </row>
    <row r="1999" spans="1:5" ht="14.85" customHeight="1" outlineLevel="1" x14ac:dyDescent="0.25">
      <c r="A1999" s="101" t="s">
        <v>1502</v>
      </c>
      <c r="B1999" s="102" t="str">
        <f>"51.0707"</f>
        <v>51.0707</v>
      </c>
      <c r="C1999" s="101" t="s">
        <v>5081</v>
      </c>
      <c r="D1999" s="101" t="s">
        <v>5082</v>
      </c>
      <c r="E1999" s="79"/>
    </row>
    <row r="2000" spans="1:5" ht="14.85" customHeight="1" outlineLevel="1" x14ac:dyDescent="0.25">
      <c r="A2000" s="101" t="s">
        <v>1502</v>
      </c>
      <c r="B2000" s="102" t="str">
        <f>"51.0708"</f>
        <v>51.0708</v>
      </c>
      <c r="C2000" s="101" t="s">
        <v>5083</v>
      </c>
      <c r="D2000" s="101" t="s">
        <v>5084</v>
      </c>
      <c r="E2000" s="79"/>
    </row>
    <row r="2001" spans="1:5" ht="14.85" customHeight="1" outlineLevel="1" x14ac:dyDescent="0.25">
      <c r="A2001" s="101" t="s">
        <v>1502</v>
      </c>
      <c r="B2001" s="102" t="str">
        <f>"51.0709"</f>
        <v>51.0709</v>
      </c>
      <c r="C2001" s="101" t="s">
        <v>5085</v>
      </c>
      <c r="D2001" s="101" t="s">
        <v>5086</v>
      </c>
      <c r="E2001" s="79"/>
    </row>
    <row r="2002" spans="1:5" ht="14.85" customHeight="1" outlineLevel="1" x14ac:dyDescent="0.25">
      <c r="A2002" s="101" t="s">
        <v>1502</v>
      </c>
      <c r="B2002" s="102" t="str">
        <f>"51.0710"</f>
        <v>51.0710</v>
      </c>
      <c r="C2002" s="101" t="s">
        <v>5087</v>
      </c>
      <c r="D2002" s="101" t="s">
        <v>5088</v>
      </c>
      <c r="E2002" s="79"/>
    </row>
    <row r="2003" spans="1:5" ht="14.85" customHeight="1" outlineLevel="1" x14ac:dyDescent="0.25">
      <c r="A2003" s="101" t="s">
        <v>1502</v>
      </c>
      <c r="B2003" s="102" t="str">
        <f>"51.0711"</f>
        <v>51.0711</v>
      </c>
      <c r="C2003" s="101" t="s">
        <v>5089</v>
      </c>
      <c r="D2003" s="101" t="s">
        <v>5090</v>
      </c>
      <c r="E2003" s="79"/>
    </row>
    <row r="2004" spans="1:5" ht="14.85" customHeight="1" outlineLevel="1" x14ac:dyDescent="0.25">
      <c r="A2004" s="101" t="s">
        <v>1502</v>
      </c>
      <c r="B2004" s="102" t="str">
        <f>"51.0712"</f>
        <v>51.0712</v>
      </c>
      <c r="C2004" s="101" t="s">
        <v>5091</v>
      </c>
      <c r="D2004" s="101" t="s">
        <v>5092</v>
      </c>
      <c r="E2004" s="79"/>
    </row>
    <row r="2005" spans="1:5" ht="14.85" customHeight="1" outlineLevel="1" x14ac:dyDescent="0.25">
      <c r="A2005" s="101" t="s">
        <v>1502</v>
      </c>
      <c r="B2005" s="102" t="str">
        <f>"51.0713"</f>
        <v>51.0713</v>
      </c>
      <c r="C2005" s="101" t="s">
        <v>5093</v>
      </c>
      <c r="D2005" s="101" t="s">
        <v>5094</v>
      </c>
      <c r="E2005" s="79"/>
    </row>
    <row r="2006" spans="1:5" ht="14.85" customHeight="1" outlineLevel="1" x14ac:dyDescent="0.25">
      <c r="A2006" s="101" t="s">
        <v>1502</v>
      </c>
      <c r="B2006" s="102" t="str">
        <f>"51.0714"</f>
        <v>51.0714</v>
      </c>
      <c r="C2006" s="101" t="s">
        <v>5095</v>
      </c>
      <c r="D2006" s="101" t="s">
        <v>5096</v>
      </c>
      <c r="E2006" s="79"/>
    </row>
    <row r="2007" spans="1:5" ht="14.85" customHeight="1" outlineLevel="1" x14ac:dyDescent="0.25">
      <c r="A2007" s="101" t="s">
        <v>1502</v>
      </c>
      <c r="B2007" s="102" t="str">
        <f>"51.0715"</f>
        <v>51.0715</v>
      </c>
      <c r="C2007" s="101" t="s">
        <v>5097</v>
      </c>
      <c r="D2007" s="101" t="s">
        <v>5098</v>
      </c>
      <c r="E2007" s="79"/>
    </row>
    <row r="2008" spans="1:5" ht="14.85" customHeight="1" outlineLevel="1" x14ac:dyDescent="0.25">
      <c r="A2008" s="101" t="s">
        <v>1502</v>
      </c>
      <c r="B2008" s="102" t="str">
        <f>"51.0716"</f>
        <v>51.0716</v>
      </c>
      <c r="C2008" s="101" t="s">
        <v>5099</v>
      </c>
      <c r="D2008" s="101" t="s">
        <v>5100</v>
      </c>
      <c r="E2008" s="79"/>
    </row>
    <row r="2009" spans="1:5" ht="14.85" customHeight="1" outlineLevel="1" x14ac:dyDescent="0.25">
      <c r="A2009" s="101" t="s">
        <v>1502</v>
      </c>
      <c r="B2009" s="102" t="str">
        <f>"51.0717"</f>
        <v>51.0717</v>
      </c>
      <c r="C2009" s="101" t="s">
        <v>5101</v>
      </c>
      <c r="D2009" s="101" t="s">
        <v>5102</v>
      </c>
      <c r="E2009" s="79"/>
    </row>
    <row r="2010" spans="1:5" ht="14.85" customHeight="1" outlineLevel="1" x14ac:dyDescent="0.25">
      <c r="A2010" s="101" t="s">
        <v>1502</v>
      </c>
      <c r="B2010" s="102" t="str">
        <f>"51.0718"</f>
        <v>51.0718</v>
      </c>
      <c r="C2010" s="101" t="s">
        <v>5103</v>
      </c>
      <c r="D2010" s="101" t="s">
        <v>5104</v>
      </c>
      <c r="E2010" s="79"/>
    </row>
    <row r="2011" spans="1:5" ht="14.85" customHeight="1" outlineLevel="1" x14ac:dyDescent="0.25">
      <c r="A2011" s="101" t="s">
        <v>1502</v>
      </c>
      <c r="B2011" s="102" t="str">
        <f>"51.0719"</f>
        <v>51.0719</v>
      </c>
      <c r="C2011" s="101" t="s">
        <v>5105</v>
      </c>
      <c r="D2011" s="101" t="s">
        <v>5106</v>
      </c>
      <c r="E2011" s="79"/>
    </row>
    <row r="2012" spans="1:5" ht="14.85" customHeight="1" outlineLevel="1" x14ac:dyDescent="0.25">
      <c r="A2012" s="101" t="s">
        <v>1502</v>
      </c>
      <c r="B2012" s="102" t="str">
        <f>"51.0720"</f>
        <v>51.0720</v>
      </c>
      <c r="C2012" s="101" t="s">
        <v>5107</v>
      </c>
      <c r="D2012" s="101" t="s">
        <v>5108</v>
      </c>
      <c r="E2012" s="79"/>
    </row>
    <row r="2013" spans="1:5" ht="14.85" customHeight="1" outlineLevel="1" x14ac:dyDescent="0.25">
      <c r="A2013" s="101" t="s">
        <v>1502</v>
      </c>
      <c r="B2013" s="102" t="str">
        <f>"51.0721"</f>
        <v>51.0721</v>
      </c>
      <c r="C2013" s="101" t="s">
        <v>5109</v>
      </c>
      <c r="D2013" s="101" t="s">
        <v>5110</v>
      </c>
      <c r="E2013" s="79"/>
    </row>
    <row r="2014" spans="1:5" ht="14.85" customHeight="1" outlineLevel="1" x14ac:dyDescent="0.25">
      <c r="A2014" s="101" t="s">
        <v>1502</v>
      </c>
      <c r="B2014" s="102" t="str">
        <f>"51.0722"</f>
        <v>51.0722</v>
      </c>
      <c r="C2014" s="101" t="s">
        <v>5111</v>
      </c>
      <c r="D2014" s="101" t="s">
        <v>5112</v>
      </c>
      <c r="E2014" s="79"/>
    </row>
    <row r="2015" spans="1:5" ht="14.85" customHeight="1" outlineLevel="1" x14ac:dyDescent="0.25">
      <c r="A2015" s="101" t="s">
        <v>1502</v>
      </c>
      <c r="B2015" s="102" t="str">
        <f>"51.0723"</f>
        <v>51.0723</v>
      </c>
      <c r="C2015" s="101" t="s">
        <v>5113</v>
      </c>
      <c r="D2015" s="101" t="s">
        <v>5114</v>
      </c>
      <c r="E2015" s="79"/>
    </row>
    <row r="2016" spans="1:5" ht="14.85" customHeight="1" outlineLevel="1" x14ac:dyDescent="0.25">
      <c r="A2016" s="101" t="s">
        <v>1502</v>
      </c>
      <c r="B2016" s="102" t="str">
        <f>"51.0799"</f>
        <v>51.0799</v>
      </c>
      <c r="C2016" s="101" t="s">
        <v>5115</v>
      </c>
      <c r="D2016" s="101" t="s">
        <v>5116</v>
      </c>
      <c r="E2016" s="79"/>
    </row>
    <row r="2017" spans="1:5" ht="14.85" customHeight="1" outlineLevel="1" x14ac:dyDescent="0.25">
      <c r="A2017" s="101" t="s">
        <v>1502</v>
      </c>
      <c r="B2017" s="102" t="str">
        <f>"51.08"</f>
        <v>51.08</v>
      </c>
      <c r="C2017" s="101" t="s">
        <v>5117</v>
      </c>
      <c r="D2017" s="101" t="s">
        <v>5118</v>
      </c>
      <c r="E2017" s="79"/>
    </row>
    <row r="2018" spans="1:5" ht="14.85" customHeight="1" outlineLevel="1" x14ac:dyDescent="0.25">
      <c r="A2018" s="101" t="s">
        <v>1502</v>
      </c>
      <c r="B2018" s="102" t="str">
        <f>"51.0801"</f>
        <v>51.0801</v>
      </c>
      <c r="C2018" s="101" t="s">
        <v>5119</v>
      </c>
      <c r="D2018" s="101" t="s">
        <v>5120</v>
      </c>
      <c r="E2018" s="79"/>
    </row>
    <row r="2019" spans="1:5" ht="14.85" customHeight="1" outlineLevel="1" x14ac:dyDescent="0.25">
      <c r="A2019" s="101" t="s">
        <v>1502</v>
      </c>
      <c r="B2019" s="102" t="str">
        <f>"51.0802"</f>
        <v>51.0802</v>
      </c>
      <c r="C2019" s="101" t="s">
        <v>5121</v>
      </c>
      <c r="D2019" s="101" t="s">
        <v>5122</v>
      </c>
      <c r="E2019" s="79"/>
    </row>
    <row r="2020" spans="1:5" ht="14.85" customHeight="1" outlineLevel="1" x14ac:dyDescent="0.25">
      <c r="A2020" s="101" t="s">
        <v>1502</v>
      </c>
      <c r="B2020" s="102" t="str">
        <f>"51.0803"</f>
        <v>51.0803</v>
      </c>
      <c r="C2020" s="101" t="s">
        <v>5123</v>
      </c>
      <c r="D2020" s="101" t="s">
        <v>5124</v>
      </c>
      <c r="E2020" s="79"/>
    </row>
    <row r="2021" spans="1:5" ht="14.85" customHeight="1" outlineLevel="1" x14ac:dyDescent="0.25">
      <c r="A2021" s="101" t="s">
        <v>1502</v>
      </c>
      <c r="B2021" s="102" t="str">
        <f>"51.0805"</f>
        <v>51.0805</v>
      </c>
      <c r="C2021" s="101" t="s">
        <v>5125</v>
      </c>
      <c r="D2021" s="101" t="s">
        <v>5126</v>
      </c>
      <c r="E2021" s="79"/>
    </row>
    <row r="2022" spans="1:5" ht="14.85" customHeight="1" outlineLevel="1" x14ac:dyDescent="0.25">
      <c r="A2022" s="101" t="s">
        <v>1502</v>
      </c>
      <c r="B2022" s="102" t="str">
        <f>"51.0806"</f>
        <v>51.0806</v>
      </c>
      <c r="C2022" s="101" t="s">
        <v>5127</v>
      </c>
      <c r="D2022" s="101" t="s">
        <v>5128</v>
      </c>
      <c r="E2022" s="79"/>
    </row>
    <row r="2023" spans="1:5" ht="14.85" customHeight="1" outlineLevel="1" x14ac:dyDescent="0.25">
      <c r="A2023" s="101" t="s">
        <v>1502</v>
      </c>
      <c r="B2023" s="102" t="str">
        <f>"51.0809"</f>
        <v>51.0809</v>
      </c>
      <c r="C2023" s="101" t="s">
        <v>5129</v>
      </c>
      <c r="D2023" s="101" t="s">
        <v>5130</v>
      </c>
      <c r="E2023" s="79"/>
    </row>
    <row r="2024" spans="1:5" ht="14.85" customHeight="1" outlineLevel="1" x14ac:dyDescent="0.25">
      <c r="A2024" s="101" t="s">
        <v>1502</v>
      </c>
      <c r="B2024" s="102" t="str">
        <f>"51.0810"</f>
        <v>51.0810</v>
      </c>
      <c r="C2024" s="101" t="s">
        <v>5131</v>
      </c>
      <c r="D2024" s="101" t="s">
        <v>5132</v>
      </c>
      <c r="E2024" s="79"/>
    </row>
    <row r="2025" spans="1:5" ht="14.85" customHeight="1" outlineLevel="1" x14ac:dyDescent="0.25">
      <c r="A2025" s="101" t="s">
        <v>1502</v>
      </c>
      <c r="B2025" s="102" t="str">
        <f>"51.0811"</f>
        <v>51.0811</v>
      </c>
      <c r="C2025" s="101" t="s">
        <v>5133</v>
      </c>
      <c r="D2025" s="101" t="s">
        <v>5134</v>
      </c>
      <c r="E2025" s="79"/>
    </row>
    <row r="2026" spans="1:5" ht="14.85" customHeight="1" outlineLevel="1" x14ac:dyDescent="0.25">
      <c r="A2026" s="101" t="s">
        <v>1502</v>
      </c>
      <c r="B2026" s="102" t="str">
        <f>"51.0812"</f>
        <v>51.0812</v>
      </c>
      <c r="C2026" s="101" t="s">
        <v>5135</v>
      </c>
      <c r="D2026" s="101" t="s">
        <v>5136</v>
      </c>
      <c r="E2026" s="79"/>
    </row>
    <row r="2027" spans="1:5" ht="14.85" customHeight="1" outlineLevel="1" x14ac:dyDescent="0.25">
      <c r="A2027" s="101" t="s">
        <v>1502</v>
      </c>
      <c r="B2027" s="102" t="str">
        <f>"51.0813"</f>
        <v>51.0813</v>
      </c>
      <c r="C2027" s="101" t="s">
        <v>5137</v>
      </c>
      <c r="D2027" s="101" t="s">
        <v>5138</v>
      </c>
      <c r="E2027" s="79"/>
    </row>
    <row r="2028" spans="1:5" ht="14.85" customHeight="1" outlineLevel="1" x14ac:dyDescent="0.25">
      <c r="A2028" s="101" t="s">
        <v>1502</v>
      </c>
      <c r="B2028" s="102" t="str">
        <f>"51.0814"</f>
        <v>51.0814</v>
      </c>
      <c r="C2028" s="101" t="s">
        <v>5139</v>
      </c>
      <c r="D2028" s="101" t="s">
        <v>5140</v>
      </c>
      <c r="E2028" s="79"/>
    </row>
    <row r="2029" spans="1:5" ht="14.85" customHeight="1" outlineLevel="1" x14ac:dyDescent="0.25">
      <c r="A2029" s="101" t="s">
        <v>1502</v>
      </c>
      <c r="B2029" s="102" t="str">
        <f>"51.0815"</f>
        <v>51.0815</v>
      </c>
      <c r="C2029" s="101" t="s">
        <v>5141</v>
      </c>
      <c r="D2029" s="101" t="s">
        <v>5142</v>
      </c>
      <c r="E2029" s="79"/>
    </row>
    <row r="2030" spans="1:5" ht="14.85" customHeight="1" outlineLevel="1" x14ac:dyDescent="0.25">
      <c r="A2030" s="101" t="s">
        <v>1502</v>
      </c>
      <c r="B2030" s="102" t="str">
        <f>"51.0816"</f>
        <v>51.0816</v>
      </c>
      <c r="C2030" s="101" t="s">
        <v>5143</v>
      </c>
      <c r="D2030" s="101" t="s">
        <v>5144</v>
      </c>
      <c r="E2030" s="79"/>
    </row>
    <row r="2031" spans="1:5" ht="14.85" customHeight="1" outlineLevel="1" x14ac:dyDescent="0.25">
      <c r="A2031" s="101" t="s">
        <v>1502</v>
      </c>
      <c r="B2031" s="102" t="str">
        <f>"51.0817"</f>
        <v>51.0817</v>
      </c>
      <c r="C2031" s="101" t="s">
        <v>1559</v>
      </c>
      <c r="D2031" s="101" t="s">
        <v>1560</v>
      </c>
      <c r="E2031" s="79"/>
    </row>
    <row r="2032" spans="1:5" ht="14.85" customHeight="1" outlineLevel="1" x14ac:dyDescent="0.25">
      <c r="A2032" s="101" t="s">
        <v>1502</v>
      </c>
      <c r="B2032" s="102" t="str">
        <f>"51.0899"</f>
        <v>51.0899</v>
      </c>
      <c r="C2032" s="101" t="s">
        <v>5145</v>
      </c>
      <c r="D2032" s="101" t="s">
        <v>5146</v>
      </c>
      <c r="E2032" s="79"/>
    </row>
    <row r="2033" spans="1:5" ht="14.85" customHeight="1" outlineLevel="1" x14ac:dyDescent="0.25">
      <c r="A2033" s="101" t="s">
        <v>1502</v>
      </c>
      <c r="B2033" s="102" t="str">
        <f>"51.09"</f>
        <v>51.09</v>
      </c>
      <c r="C2033" s="101" t="s">
        <v>5147</v>
      </c>
      <c r="D2033" s="101" t="s">
        <v>5148</v>
      </c>
      <c r="E2033" s="79"/>
    </row>
    <row r="2034" spans="1:5" ht="14.85" customHeight="1" outlineLevel="1" x14ac:dyDescent="0.25">
      <c r="A2034" s="101" t="s">
        <v>1502</v>
      </c>
      <c r="B2034" s="102" t="str">
        <f>"51.0901"</f>
        <v>51.0901</v>
      </c>
      <c r="C2034" s="101" t="s">
        <v>5149</v>
      </c>
      <c r="D2034" s="101" t="s">
        <v>5150</v>
      </c>
      <c r="E2034" s="79"/>
    </row>
    <row r="2035" spans="1:5" ht="14.85" customHeight="1" outlineLevel="1" x14ac:dyDescent="0.25">
      <c r="A2035" s="101" t="s">
        <v>1502</v>
      </c>
      <c r="B2035" s="102" t="str">
        <f>"51.0902"</f>
        <v>51.0902</v>
      </c>
      <c r="C2035" s="101" t="s">
        <v>5151</v>
      </c>
      <c r="D2035" s="101" t="s">
        <v>5152</v>
      </c>
      <c r="E2035" s="79"/>
    </row>
    <row r="2036" spans="1:5" ht="14.85" customHeight="1" outlineLevel="1" x14ac:dyDescent="0.25">
      <c r="A2036" s="101" t="s">
        <v>1502</v>
      </c>
      <c r="B2036" s="102" t="str">
        <f>"51.0903"</f>
        <v>51.0903</v>
      </c>
      <c r="C2036" s="101" t="s">
        <v>5153</v>
      </c>
      <c r="D2036" s="101" t="s">
        <v>5154</v>
      </c>
      <c r="E2036" s="79"/>
    </row>
    <row r="2037" spans="1:5" ht="14.85" customHeight="1" outlineLevel="1" x14ac:dyDescent="0.25">
      <c r="A2037" s="101" t="s">
        <v>1502</v>
      </c>
      <c r="B2037" s="102" t="str">
        <f>"51.0904"</f>
        <v>51.0904</v>
      </c>
      <c r="C2037" s="101" t="s">
        <v>5155</v>
      </c>
      <c r="D2037" s="101" t="s">
        <v>5156</v>
      </c>
      <c r="E2037" s="79"/>
    </row>
    <row r="2038" spans="1:5" ht="14.85" customHeight="1" outlineLevel="1" x14ac:dyDescent="0.25">
      <c r="A2038" s="101" t="s">
        <v>1502</v>
      </c>
      <c r="B2038" s="102" t="str">
        <f>"51.0905"</f>
        <v>51.0905</v>
      </c>
      <c r="C2038" s="101" t="s">
        <v>5157</v>
      </c>
      <c r="D2038" s="101" t="s">
        <v>5158</v>
      </c>
      <c r="E2038" s="79"/>
    </row>
    <row r="2039" spans="1:5" ht="14.85" customHeight="1" outlineLevel="1" x14ac:dyDescent="0.25">
      <c r="A2039" s="101" t="s">
        <v>1502</v>
      </c>
      <c r="B2039" s="102" t="str">
        <f>"51.0906"</f>
        <v>51.0906</v>
      </c>
      <c r="C2039" s="101" t="s">
        <v>5159</v>
      </c>
      <c r="D2039" s="101" t="s">
        <v>5160</v>
      </c>
      <c r="E2039" s="79"/>
    </row>
    <row r="2040" spans="1:5" ht="14.85" customHeight="1" outlineLevel="1" x14ac:dyDescent="0.25">
      <c r="A2040" s="101" t="s">
        <v>1502</v>
      </c>
      <c r="B2040" s="102" t="str">
        <f>"51.0907"</f>
        <v>51.0907</v>
      </c>
      <c r="C2040" s="101" t="s">
        <v>5161</v>
      </c>
      <c r="D2040" s="101" t="s">
        <v>5162</v>
      </c>
      <c r="E2040" s="79"/>
    </row>
    <row r="2041" spans="1:5" ht="14.85" customHeight="1" outlineLevel="1" x14ac:dyDescent="0.25">
      <c r="A2041" s="101" t="s">
        <v>1502</v>
      </c>
      <c r="B2041" s="102" t="str">
        <f>"51.0908"</f>
        <v>51.0908</v>
      </c>
      <c r="C2041" s="101" t="s">
        <v>5163</v>
      </c>
      <c r="D2041" s="101" t="s">
        <v>5164</v>
      </c>
      <c r="E2041" s="79"/>
    </row>
    <row r="2042" spans="1:5" ht="14.85" customHeight="1" outlineLevel="1" x14ac:dyDescent="0.25">
      <c r="A2042" s="101" t="s">
        <v>1502</v>
      </c>
      <c r="B2042" s="102" t="str">
        <f>"51.0909"</f>
        <v>51.0909</v>
      </c>
      <c r="C2042" s="101" t="s">
        <v>5165</v>
      </c>
      <c r="D2042" s="101" t="s">
        <v>5166</v>
      </c>
      <c r="E2042" s="79"/>
    </row>
    <row r="2043" spans="1:5" ht="14.85" customHeight="1" outlineLevel="1" x14ac:dyDescent="0.25">
      <c r="A2043" s="101" t="s">
        <v>1502</v>
      </c>
      <c r="B2043" s="102" t="str">
        <f>"51.0910"</f>
        <v>51.0910</v>
      </c>
      <c r="C2043" s="101" t="s">
        <v>5167</v>
      </c>
      <c r="D2043" s="101" t="s">
        <v>5168</v>
      </c>
      <c r="E2043" s="79"/>
    </row>
    <row r="2044" spans="1:5" ht="14.85" customHeight="1" outlineLevel="1" x14ac:dyDescent="0.25">
      <c r="A2044" s="101" t="s">
        <v>1502</v>
      </c>
      <c r="B2044" s="102" t="str">
        <f>"51.0911"</f>
        <v>51.0911</v>
      </c>
      <c r="C2044" s="101" t="s">
        <v>5169</v>
      </c>
      <c r="D2044" s="101" t="s">
        <v>5170</v>
      </c>
      <c r="E2044" s="79"/>
    </row>
    <row r="2045" spans="1:5" ht="14.85" customHeight="1" outlineLevel="1" x14ac:dyDescent="0.25">
      <c r="A2045" s="101" t="s">
        <v>1502</v>
      </c>
      <c r="B2045" s="102" t="str">
        <f>"51.0912"</f>
        <v>51.0912</v>
      </c>
      <c r="C2045" s="101" t="s">
        <v>5171</v>
      </c>
      <c r="D2045" s="101" t="s">
        <v>5172</v>
      </c>
      <c r="E2045" s="79"/>
    </row>
    <row r="2046" spans="1:5" ht="14.85" customHeight="1" outlineLevel="1" x14ac:dyDescent="0.25">
      <c r="A2046" s="101" t="s">
        <v>1502</v>
      </c>
      <c r="B2046" s="102" t="str">
        <f>"51.0913"</f>
        <v>51.0913</v>
      </c>
      <c r="C2046" s="101" t="s">
        <v>5173</v>
      </c>
      <c r="D2046" s="101" t="s">
        <v>5174</v>
      </c>
      <c r="E2046" s="79"/>
    </row>
    <row r="2047" spans="1:5" ht="14.85" customHeight="1" outlineLevel="1" x14ac:dyDescent="0.25">
      <c r="A2047" s="101" t="s">
        <v>1502</v>
      </c>
      <c r="B2047" s="102" t="str">
        <f>"51.0914"</f>
        <v>51.0914</v>
      </c>
      <c r="C2047" s="101" t="s">
        <v>5175</v>
      </c>
      <c r="D2047" s="101" t="s">
        <v>5176</v>
      </c>
      <c r="E2047" s="79"/>
    </row>
    <row r="2048" spans="1:5" ht="14.85" customHeight="1" outlineLevel="1" x14ac:dyDescent="0.25">
      <c r="A2048" s="101" t="s">
        <v>1502</v>
      </c>
      <c r="B2048" s="102" t="str">
        <f>"51.0915"</f>
        <v>51.0915</v>
      </c>
      <c r="C2048" s="101" t="s">
        <v>5177</v>
      </c>
      <c r="D2048" s="101" t="s">
        <v>5178</v>
      </c>
      <c r="E2048" s="79"/>
    </row>
    <row r="2049" spans="1:5" ht="14.85" customHeight="1" outlineLevel="1" x14ac:dyDescent="0.25">
      <c r="A2049" s="101" t="s">
        <v>1502</v>
      </c>
      <c r="B2049" s="102" t="str">
        <f>"51.0916"</f>
        <v>51.0916</v>
      </c>
      <c r="C2049" s="101" t="s">
        <v>5179</v>
      </c>
      <c r="D2049" s="101" t="s">
        <v>5180</v>
      </c>
      <c r="E2049" s="79"/>
    </row>
    <row r="2050" spans="1:5" ht="14.85" customHeight="1" outlineLevel="1" x14ac:dyDescent="0.25">
      <c r="A2050" s="101" t="s">
        <v>1502</v>
      </c>
      <c r="B2050" s="102" t="str">
        <f>"51.0917"</f>
        <v>51.0917</v>
      </c>
      <c r="C2050" s="101" t="s">
        <v>5181</v>
      </c>
      <c r="D2050" s="101" t="s">
        <v>5182</v>
      </c>
      <c r="E2050" s="79"/>
    </row>
    <row r="2051" spans="1:5" ht="14.85" customHeight="1" outlineLevel="1" x14ac:dyDescent="0.25">
      <c r="A2051" s="101" t="s">
        <v>1502</v>
      </c>
      <c r="B2051" s="102" t="str">
        <f>"51.0918"</f>
        <v>51.0918</v>
      </c>
      <c r="C2051" s="101" t="s">
        <v>5183</v>
      </c>
      <c r="D2051" s="101" t="s">
        <v>5184</v>
      </c>
      <c r="E2051" s="79"/>
    </row>
    <row r="2052" spans="1:5" ht="14.85" customHeight="1" outlineLevel="1" x14ac:dyDescent="0.25">
      <c r="A2052" s="101" t="s">
        <v>1502</v>
      </c>
      <c r="B2052" s="102" t="str">
        <f>"51.0919"</f>
        <v>51.0919</v>
      </c>
      <c r="C2052" s="101" t="s">
        <v>5185</v>
      </c>
      <c r="D2052" s="101" t="s">
        <v>5186</v>
      </c>
      <c r="E2052" s="79"/>
    </row>
    <row r="2053" spans="1:5" ht="14.85" customHeight="1" outlineLevel="1" x14ac:dyDescent="0.25">
      <c r="A2053" s="101" t="s">
        <v>1502</v>
      </c>
      <c r="B2053" s="102" t="str">
        <f>"51.0920"</f>
        <v>51.0920</v>
      </c>
      <c r="C2053" s="101" t="s">
        <v>5187</v>
      </c>
      <c r="D2053" s="101" t="s">
        <v>5188</v>
      </c>
      <c r="E2053" s="79"/>
    </row>
    <row r="2054" spans="1:5" ht="14.85" customHeight="1" outlineLevel="1" x14ac:dyDescent="0.25">
      <c r="A2054" s="101" t="s">
        <v>1502</v>
      </c>
      <c r="B2054" s="102" t="str">
        <f>"51.0921"</f>
        <v>51.0921</v>
      </c>
      <c r="C2054" s="101" t="s">
        <v>5189</v>
      </c>
      <c r="D2054" s="101" t="s">
        <v>5190</v>
      </c>
      <c r="E2054" s="79"/>
    </row>
    <row r="2055" spans="1:5" ht="14.85" customHeight="1" outlineLevel="1" x14ac:dyDescent="0.25">
      <c r="A2055" s="101" t="s">
        <v>1502</v>
      </c>
      <c r="B2055" s="102" t="str">
        <f>"51.0922"</f>
        <v>51.0922</v>
      </c>
      <c r="C2055" s="101" t="s">
        <v>5191</v>
      </c>
      <c r="D2055" s="101" t="s">
        <v>5192</v>
      </c>
      <c r="E2055" s="79"/>
    </row>
    <row r="2056" spans="1:5" ht="14.85" customHeight="1" outlineLevel="1" x14ac:dyDescent="0.25">
      <c r="A2056" s="101" t="s">
        <v>1502</v>
      </c>
      <c r="B2056" s="102" t="str">
        <f>"51.0923"</f>
        <v>51.0923</v>
      </c>
      <c r="C2056" s="101" t="s">
        <v>5193</v>
      </c>
      <c r="D2056" s="101" t="s">
        <v>5194</v>
      </c>
      <c r="E2056" s="79"/>
    </row>
    <row r="2057" spans="1:5" ht="14.85" customHeight="1" outlineLevel="1" x14ac:dyDescent="0.25">
      <c r="A2057" s="101" t="s">
        <v>1502</v>
      </c>
      <c r="B2057" s="102" t="str">
        <f>"51.0924"</f>
        <v>51.0924</v>
      </c>
      <c r="C2057" s="101" t="s">
        <v>1559</v>
      </c>
      <c r="D2057" s="101" t="s">
        <v>1560</v>
      </c>
      <c r="E2057" s="79"/>
    </row>
    <row r="2058" spans="1:5" ht="14.85" customHeight="1" outlineLevel="1" x14ac:dyDescent="0.25">
      <c r="A2058" s="101" t="s">
        <v>1502</v>
      </c>
      <c r="B2058" s="102" t="str">
        <f>"51.0999"</f>
        <v>51.0999</v>
      </c>
      <c r="C2058" s="101" t="s">
        <v>5195</v>
      </c>
      <c r="D2058" s="101" t="s">
        <v>5196</v>
      </c>
      <c r="E2058" s="79"/>
    </row>
    <row r="2059" spans="1:5" ht="14.85" customHeight="1" outlineLevel="1" x14ac:dyDescent="0.25">
      <c r="A2059" s="101" t="s">
        <v>1502</v>
      </c>
      <c r="B2059" s="102" t="str">
        <f>"51.10"</f>
        <v>51.10</v>
      </c>
      <c r="C2059" s="101" t="s">
        <v>5197</v>
      </c>
      <c r="D2059" s="101" t="s">
        <v>5198</v>
      </c>
      <c r="E2059" s="79"/>
    </row>
    <row r="2060" spans="1:5" ht="14.85" customHeight="1" outlineLevel="1" x14ac:dyDescent="0.25">
      <c r="A2060" s="101" t="s">
        <v>1502</v>
      </c>
      <c r="B2060" s="102" t="str">
        <f>"51.1001"</f>
        <v>51.1001</v>
      </c>
      <c r="C2060" s="101" t="s">
        <v>5199</v>
      </c>
      <c r="D2060" s="101" t="s">
        <v>5200</v>
      </c>
      <c r="E2060" s="79"/>
    </row>
    <row r="2061" spans="1:5" ht="14.85" customHeight="1" outlineLevel="1" x14ac:dyDescent="0.25">
      <c r="A2061" s="101" t="s">
        <v>1502</v>
      </c>
      <c r="B2061" s="102" t="str">
        <f>"51.1002"</f>
        <v>51.1002</v>
      </c>
      <c r="C2061" s="101" t="s">
        <v>5201</v>
      </c>
      <c r="D2061" s="101" t="s">
        <v>5202</v>
      </c>
      <c r="E2061" s="79"/>
    </row>
    <row r="2062" spans="1:5" ht="14.85" customHeight="1" outlineLevel="1" x14ac:dyDescent="0.25">
      <c r="A2062" s="101" t="s">
        <v>1502</v>
      </c>
      <c r="B2062" s="102" t="str">
        <f>"51.1003"</f>
        <v>51.1003</v>
      </c>
      <c r="C2062" s="101" t="s">
        <v>5203</v>
      </c>
      <c r="D2062" s="101" t="s">
        <v>5204</v>
      </c>
      <c r="E2062" s="79"/>
    </row>
    <row r="2063" spans="1:5" ht="14.85" customHeight="1" outlineLevel="1" x14ac:dyDescent="0.25">
      <c r="A2063" s="101" t="s">
        <v>1502</v>
      </c>
      <c r="B2063" s="102" t="str">
        <f>"51.1004"</f>
        <v>51.1004</v>
      </c>
      <c r="C2063" s="101" t="s">
        <v>5205</v>
      </c>
      <c r="D2063" s="101" t="s">
        <v>5206</v>
      </c>
      <c r="E2063" s="79"/>
    </row>
    <row r="2064" spans="1:5" ht="14.85" customHeight="1" outlineLevel="1" x14ac:dyDescent="0.25">
      <c r="A2064" s="101" t="s">
        <v>1502</v>
      </c>
      <c r="B2064" s="102" t="str">
        <f>"51.1005"</f>
        <v>51.1005</v>
      </c>
      <c r="C2064" s="101" t="s">
        <v>5207</v>
      </c>
      <c r="D2064" s="101" t="s">
        <v>5208</v>
      </c>
      <c r="E2064" s="79"/>
    </row>
    <row r="2065" spans="1:5" ht="14.85" customHeight="1" outlineLevel="1" x14ac:dyDescent="0.25">
      <c r="A2065" s="101" t="s">
        <v>1502</v>
      </c>
      <c r="B2065" s="102" t="str">
        <f>"51.1006"</f>
        <v>51.1006</v>
      </c>
      <c r="C2065" s="101" t="s">
        <v>5209</v>
      </c>
      <c r="D2065" s="101" t="s">
        <v>5210</v>
      </c>
      <c r="E2065" s="79"/>
    </row>
    <row r="2066" spans="1:5" ht="14.85" customHeight="1" outlineLevel="1" x14ac:dyDescent="0.25">
      <c r="A2066" s="101" t="s">
        <v>1502</v>
      </c>
      <c r="B2066" s="102" t="str">
        <f>"51.1007"</f>
        <v>51.1007</v>
      </c>
      <c r="C2066" s="101" t="s">
        <v>5211</v>
      </c>
      <c r="D2066" s="101" t="s">
        <v>5212</v>
      </c>
      <c r="E2066" s="79"/>
    </row>
    <row r="2067" spans="1:5" ht="14.85" customHeight="1" outlineLevel="1" x14ac:dyDescent="0.25">
      <c r="A2067" s="101" t="s">
        <v>1502</v>
      </c>
      <c r="B2067" s="102" t="str">
        <f>"51.1008"</f>
        <v>51.1008</v>
      </c>
      <c r="C2067" s="101" t="s">
        <v>5213</v>
      </c>
      <c r="D2067" s="101" t="s">
        <v>5214</v>
      </c>
      <c r="E2067" s="79"/>
    </row>
    <row r="2068" spans="1:5" ht="14.85" customHeight="1" outlineLevel="1" x14ac:dyDescent="0.25">
      <c r="A2068" s="101" t="s">
        <v>1502</v>
      </c>
      <c r="B2068" s="102" t="str">
        <f>"51.1009"</f>
        <v>51.1009</v>
      </c>
      <c r="C2068" s="101" t="s">
        <v>5215</v>
      </c>
      <c r="D2068" s="101" t="s">
        <v>5216</v>
      </c>
      <c r="E2068" s="79"/>
    </row>
    <row r="2069" spans="1:5" ht="14.85" customHeight="1" outlineLevel="1" x14ac:dyDescent="0.25">
      <c r="A2069" s="101" t="s">
        <v>1502</v>
      </c>
      <c r="B2069" s="102" t="str">
        <f>"51.1010"</f>
        <v>51.1010</v>
      </c>
      <c r="C2069" s="101" t="s">
        <v>5217</v>
      </c>
      <c r="D2069" s="101" t="s">
        <v>5218</v>
      </c>
      <c r="E2069" s="79"/>
    </row>
    <row r="2070" spans="1:5" ht="14.85" customHeight="1" outlineLevel="1" x14ac:dyDescent="0.25">
      <c r="A2070" s="101" t="s">
        <v>1502</v>
      </c>
      <c r="B2070" s="102" t="str">
        <f>"51.1011"</f>
        <v>51.1011</v>
      </c>
      <c r="C2070" s="101" t="s">
        <v>5219</v>
      </c>
      <c r="D2070" s="101" t="s">
        <v>5220</v>
      </c>
      <c r="E2070" s="79"/>
    </row>
    <row r="2071" spans="1:5" ht="14.85" customHeight="1" outlineLevel="1" x14ac:dyDescent="0.25">
      <c r="A2071" s="101" t="s">
        <v>1502</v>
      </c>
      <c r="B2071" s="102" t="str">
        <f>"51.1012"</f>
        <v>51.1012</v>
      </c>
      <c r="C2071" s="101" t="s">
        <v>5221</v>
      </c>
      <c r="D2071" s="101" t="s">
        <v>5222</v>
      </c>
      <c r="E2071" s="79"/>
    </row>
    <row r="2072" spans="1:5" ht="14.85" customHeight="1" outlineLevel="1" x14ac:dyDescent="0.25">
      <c r="A2072" s="101" t="s">
        <v>1502</v>
      </c>
      <c r="B2072" s="102" t="str">
        <f>"51.1099"</f>
        <v>51.1099</v>
      </c>
      <c r="C2072" s="101" t="s">
        <v>5223</v>
      </c>
      <c r="D2072" s="101" t="s">
        <v>5224</v>
      </c>
      <c r="E2072" s="79"/>
    </row>
    <row r="2073" spans="1:5" ht="14.85" customHeight="1" outlineLevel="1" x14ac:dyDescent="0.25">
      <c r="A2073" s="101" t="s">
        <v>1502</v>
      </c>
      <c r="B2073" s="102" t="str">
        <f>"51.11"</f>
        <v>51.11</v>
      </c>
      <c r="C2073" s="101" t="s">
        <v>5225</v>
      </c>
      <c r="D2073" s="101" t="s">
        <v>5226</v>
      </c>
      <c r="E2073" s="79"/>
    </row>
    <row r="2074" spans="1:5" ht="14.85" customHeight="1" outlineLevel="1" x14ac:dyDescent="0.25">
      <c r="A2074" s="101" t="s">
        <v>1502</v>
      </c>
      <c r="B2074" s="102" t="str">
        <f>"51.1101"</f>
        <v>51.1101</v>
      </c>
      <c r="C2074" s="101" t="s">
        <v>5227</v>
      </c>
      <c r="D2074" s="101" t="s">
        <v>5228</v>
      </c>
      <c r="E2074" s="79"/>
    </row>
    <row r="2075" spans="1:5" ht="14.85" customHeight="1" outlineLevel="1" x14ac:dyDescent="0.25">
      <c r="A2075" s="101" t="s">
        <v>1502</v>
      </c>
      <c r="B2075" s="102" t="str">
        <f>"51.1102"</f>
        <v>51.1102</v>
      </c>
      <c r="C2075" s="101" t="s">
        <v>5229</v>
      </c>
      <c r="D2075" s="101" t="s">
        <v>5230</v>
      </c>
      <c r="E2075" s="79"/>
    </row>
    <row r="2076" spans="1:5" ht="14.85" customHeight="1" outlineLevel="1" x14ac:dyDescent="0.25">
      <c r="A2076" s="101" t="s">
        <v>1502</v>
      </c>
      <c r="B2076" s="102" t="str">
        <f>"51.1103"</f>
        <v>51.1103</v>
      </c>
      <c r="C2076" s="101" t="s">
        <v>5231</v>
      </c>
      <c r="D2076" s="101" t="s">
        <v>5232</v>
      </c>
      <c r="E2076" s="79"/>
    </row>
    <row r="2077" spans="1:5" ht="14.85" customHeight="1" outlineLevel="1" x14ac:dyDescent="0.25">
      <c r="A2077" s="101" t="s">
        <v>1502</v>
      </c>
      <c r="B2077" s="102" t="str">
        <f>"51.1105"</f>
        <v>51.1105</v>
      </c>
      <c r="C2077" s="101" t="s">
        <v>5233</v>
      </c>
      <c r="D2077" s="101" t="s">
        <v>5234</v>
      </c>
      <c r="E2077" s="79"/>
    </row>
    <row r="2078" spans="1:5" ht="14.85" customHeight="1" outlineLevel="1" x14ac:dyDescent="0.25">
      <c r="A2078" s="101" t="s">
        <v>1502</v>
      </c>
      <c r="B2078" s="102" t="str">
        <f>"51.1106"</f>
        <v>51.1106</v>
      </c>
      <c r="C2078" s="101" t="s">
        <v>5235</v>
      </c>
      <c r="D2078" s="101" t="s">
        <v>5236</v>
      </c>
      <c r="E2078" s="79"/>
    </row>
    <row r="2079" spans="1:5" ht="14.85" customHeight="1" outlineLevel="1" x14ac:dyDescent="0.25">
      <c r="A2079" s="101" t="s">
        <v>1502</v>
      </c>
      <c r="B2079" s="102" t="str">
        <f>"51.1107"</f>
        <v>51.1107</v>
      </c>
      <c r="C2079" s="101" t="s">
        <v>5237</v>
      </c>
      <c r="D2079" s="101" t="s">
        <v>5238</v>
      </c>
      <c r="E2079" s="79"/>
    </row>
    <row r="2080" spans="1:5" ht="14.85" customHeight="1" outlineLevel="1" x14ac:dyDescent="0.25">
      <c r="A2080" s="101" t="s">
        <v>1502</v>
      </c>
      <c r="B2080" s="102" t="str">
        <f>"51.1108"</f>
        <v>51.1108</v>
      </c>
      <c r="C2080" s="101" t="s">
        <v>5239</v>
      </c>
      <c r="D2080" s="101" t="s">
        <v>5240</v>
      </c>
      <c r="E2080" s="79"/>
    </row>
    <row r="2081" spans="1:5" ht="14.85" customHeight="1" outlineLevel="1" x14ac:dyDescent="0.25">
      <c r="A2081" s="101" t="s">
        <v>1502</v>
      </c>
      <c r="B2081" s="102" t="str">
        <f>"51.1109"</f>
        <v>51.1109</v>
      </c>
      <c r="C2081" s="101" t="s">
        <v>5241</v>
      </c>
      <c r="D2081" s="101" t="s">
        <v>5242</v>
      </c>
      <c r="E2081" s="79"/>
    </row>
    <row r="2082" spans="1:5" ht="14.85" customHeight="1" outlineLevel="1" x14ac:dyDescent="0.25">
      <c r="A2082" s="101" t="s">
        <v>1502</v>
      </c>
      <c r="B2082" s="102" t="str">
        <f>"51.1110"</f>
        <v>51.1110</v>
      </c>
      <c r="C2082" s="101" t="s">
        <v>5243</v>
      </c>
      <c r="D2082" s="101" t="s">
        <v>5244</v>
      </c>
      <c r="E2082" s="79"/>
    </row>
    <row r="2083" spans="1:5" ht="14.85" customHeight="1" outlineLevel="1" x14ac:dyDescent="0.25">
      <c r="A2083" s="101" t="s">
        <v>1502</v>
      </c>
      <c r="B2083" s="102" t="str">
        <f>"51.1111"</f>
        <v>51.1111</v>
      </c>
      <c r="C2083" s="101" t="s">
        <v>5245</v>
      </c>
      <c r="D2083" s="101" t="s">
        <v>5246</v>
      </c>
      <c r="E2083" s="79"/>
    </row>
    <row r="2084" spans="1:5" ht="14.85" customHeight="1" outlineLevel="1" x14ac:dyDescent="0.25">
      <c r="A2084" s="101" t="s">
        <v>1502</v>
      </c>
      <c r="B2084" s="102" t="str">
        <f>"51.1199"</f>
        <v>51.1199</v>
      </c>
      <c r="C2084" s="101" t="s">
        <v>5247</v>
      </c>
      <c r="D2084" s="101" t="s">
        <v>5248</v>
      </c>
      <c r="E2084" s="79"/>
    </row>
    <row r="2085" spans="1:5" ht="14.85" customHeight="1" outlineLevel="1" x14ac:dyDescent="0.25">
      <c r="A2085" s="101" t="s">
        <v>1502</v>
      </c>
      <c r="B2085" s="102" t="str">
        <f>"51.12"</f>
        <v>51.12</v>
      </c>
      <c r="C2085" s="101" t="s">
        <v>5249</v>
      </c>
      <c r="D2085" s="101" t="s">
        <v>5250</v>
      </c>
      <c r="E2085" s="79"/>
    </row>
    <row r="2086" spans="1:5" ht="14.85" customHeight="1" outlineLevel="1" x14ac:dyDescent="0.25">
      <c r="A2086" s="101" t="s">
        <v>1502</v>
      </c>
      <c r="B2086" s="102" t="str">
        <f>"51.1201"</f>
        <v>51.1201</v>
      </c>
      <c r="C2086" s="101" t="s">
        <v>5249</v>
      </c>
      <c r="D2086" s="101" t="s">
        <v>5251</v>
      </c>
      <c r="E2086" s="79"/>
    </row>
    <row r="2087" spans="1:5" ht="14.85" customHeight="1" outlineLevel="1" x14ac:dyDescent="0.25">
      <c r="A2087" s="101" t="s">
        <v>1502</v>
      </c>
      <c r="B2087" s="102" t="str">
        <f>"51.1202"</f>
        <v>51.1202</v>
      </c>
      <c r="C2087" s="101" t="s">
        <v>5252</v>
      </c>
      <c r="D2087" s="101" t="s">
        <v>5253</v>
      </c>
      <c r="E2087" s="79"/>
    </row>
    <row r="2088" spans="1:5" ht="14.85" customHeight="1" outlineLevel="1" x14ac:dyDescent="0.25">
      <c r="A2088" s="101" t="s">
        <v>1502</v>
      </c>
      <c r="B2088" s="102" t="str">
        <f>"51.1203"</f>
        <v>51.1203</v>
      </c>
      <c r="C2088" s="101" t="s">
        <v>5254</v>
      </c>
      <c r="D2088" s="101" t="s">
        <v>5255</v>
      </c>
      <c r="E2088" s="79"/>
    </row>
    <row r="2089" spans="1:5" ht="14.85" customHeight="1" outlineLevel="1" x14ac:dyDescent="0.25">
      <c r="A2089" s="101" t="s">
        <v>1502</v>
      </c>
      <c r="B2089" s="102" t="str">
        <f>"51.1299"</f>
        <v>51.1299</v>
      </c>
      <c r="C2089" s="101" t="s">
        <v>5256</v>
      </c>
      <c r="D2089" s="101" t="s">
        <v>5257</v>
      </c>
      <c r="E2089" s="79"/>
    </row>
    <row r="2090" spans="1:5" ht="14.85" customHeight="1" outlineLevel="1" x14ac:dyDescent="0.25">
      <c r="A2090" s="101" t="s">
        <v>1502</v>
      </c>
      <c r="B2090" s="102" t="str">
        <f>"51.14"</f>
        <v>51.14</v>
      </c>
      <c r="C2090" s="101" t="s">
        <v>5258</v>
      </c>
      <c r="D2090" s="101" t="s">
        <v>5259</v>
      </c>
      <c r="E2090" s="79"/>
    </row>
    <row r="2091" spans="1:5" ht="14.85" customHeight="1" outlineLevel="1" x14ac:dyDescent="0.25">
      <c r="A2091" s="101" t="s">
        <v>1502</v>
      </c>
      <c r="B2091" s="102" t="str">
        <f>"51.1401"</f>
        <v>51.1401</v>
      </c>
      <c r="C2091" s="101" t="s">
        <v>5260</v>
      </c>
      <c r="D2091" s="101" t="s">
        <v>5261</v>
      </c>
      <c r="E2091" s="79"/>
    </row>
    <row r="2092" spans="1:5" ht="14.85" customHeight="1" outlineLevel="1" x14ac:dyDescent="0.25">
      <c r="A2092" s="101" t="s">
        <v>1502</v>
      </c>
      <c r="B2092" s="102" t="str">
        <f>"51.1402"</f>
        <v>51.1402</v>
      </c>
      <c r="C2092" s="101" t="s">
        <v>5262</v>
      </c>
      <c r="D2092" s="101" t="s">
        <v>5263</v>
      </c>
      <c r="E2092" s="79"/>
    </row>
    <row r="2093" spans="1:5" ht="14.85" customHeight="1" outlineLevel="1" x14ac:dyDescent="0.25">
      <c r="A2093" s="101" t="s">
        <v>1502</v>
      </c>
      <c r="B2093" s="102" t="str">
        <f>"51.1403"</f>
        <v>51.1403</v>
      </c>
      <c r="C2093" s="101" t="s">
        <v>5264</v>
      </c>
      <c r="D2093" s="101" t="s">
        <v>5265</v>
      </c>
      <c r="E2093" s="79"/>
    </row>
    <row r="2094" spans="1:5" ht="14.85" customHeight="1" outlineLevel="1" x14ac:dyDescent="0.25">
      <c r="A2094" s="101" t="s">
        <v>1502</v>
      </c>
      <c r="B2094" s="102" t="str">
        <f>"51.1404"</f>
        <v>51.1404</v>
      </c>
      <c r="C2094" s="101" t="s">
        <v>5266</v>
      </c>
      <c r="D2094" s="101" t="s">
        <v>5267</v>
      </c>
      <c r="E2094" s="79"/>
    </row>
    <row r="2095" spans="1:5" ht="14.85" customHeight="1" outlineLevel="1" x14ac:dyDescent="0.25">
      <c r="A2095" s="101" t="s">
        <v>1502</v>
      </c>
      <c r="B2095" s="102" t="str">
        <f>"51.1405"</f>
        <v>51.1405</v>
      </c>
      <c r="C2095" s="101" t="s">
        <v>5268</v>
      </c>
      <c r="D2095" s="101" t="s">
        <v>5269</v>
      </c>
      <c r="E2095" s="79"/>
    </row>
    <row r="2096" spans="1:5" ht="14.85" customHeight="1" outlineLevel="1" x14ac:dyDescent="0.25">
      <c r="A2096" s="101" t="s">
        <v>1502</v>
      </c>
      <c r="B2096" s="102" t="str">
        <f>"51.1499"</f>
        <v>51.1499</v>
      </c>
      <c r="C2096" s="101" t="s">
        <v>5270</v>
      </c>
      <c r="D2096" s="101" t="s">
        <v>5271</v>
      </c>
      <c r="E2096" s="79"/>
    </row>
    <row r="2097" spans="1:5" ht="14.85" customHeight="1" outlineLevel="1" x14ac:dyDescent="0.25">
      <c r="A2097" s="101" t="s">
        <v>1502</v>
      </c>
      <c r="B2097" s="102" t="str">
        <f>"51.15"</f>
        <v>51.15</v>
      </c>
      <c r="C2097" s="101" t="s">
        <v>5272</v>
      </c>
      <c r="D2097" s="101" t="s">
        <v>5273</v>
      </c>
      <c r="E2097" s="79"/>
    </row>
    <row r="2098" spans="1:5" ht="14.85" customHeight="1" outlineLevel="1" x14ac:dyDescent="0.25">
      <c r="A2098" s="101" t="s">
        <v>1502</v>
      </c>
      <c r="B2098" s="102" t="str">
        <f>"51.1501"</f>
        <v>51.1501</v>
      </c>
      <c r="C2098" s="101" t="s">
        <v>5274</v>
      </c>
      <c r="D2098" s="101" t="s">
        <v>5275</v>
      </c>
      <c r="E2098" s="79"/>
    </row>
    <row r="2099" spans="1:5" ht="14.85" customHeight="1" outlineLevel="1" x14ac:dyDescent="0.25">
      <c r="A2099" s="101" t="s">
        <v>1502</v>
      </c>
      <c r="B2099" s="102" t="str">
        <f>"51.1502"</f>
        <v>51.1502</v>
      </c>
      <c r="C2099" s="101" t="s">
        <v>5276</v>
      </c>
      <c r="D2099" s="101" t="s">
        <v>5277</v>
      </c>
      <c r="E2099" s="79"/>
    </row>
    <row r="2100" spans="1:5" ht="14.85" customHeight="1" outlineLevel="1" x14ac:dyDescent="0.25">
      <c r="A2100" s="101" t="s">
        <v>1502</v>
      </c>
      <c r="B2100" s="102" t="str">
        <f>"51.1503"</f>
        <v>51.1503</v>
      </c>
      <c r="C2100" s="101" t="s">
        <v>5278</v>
      </c>
      <c r="D2100" s="101" t="s">
        <v>5279</v>
      </c>
      <c r="E2100" s="79"/>
    </row>
    <row r="2101" spans="1:5" ht="14.85" customHeight="1" outlineLevel="1" x14ac:dyDescent="0.25">
      <c r="A2101" s="101" t="s">
        <v>1502</v>
      </c>
      <c r="B2101" s="102" t="str">
        <f>"51.1504"</f>
        <v>51.1504</v>
      </c>
      <c r="C2101" s="101" t="s">
        <v>5280</v>
      </c>
      <c r="D2101" s="101" t="s">
        <v>5281</v>
      </c>
      <c r="E2101" s="79"/>
    </row>
    <row r="2102" spans="1:5" ht="14.85" customHeight="1" outlineLevel="1" x14ac:dyDescent="0.25">
      <c r="A2102" s="101" t="s">
        <v>1502</v>
      </c>
      <c r="B2102" s="102" t="str">
        <f>"51.1505"</f>
        <v>51.1505</v>
      </c>
      <c r="C2102" s="101" t="s">
        <v>5282</v>
      </c>
      <c r="D2102" s="101" t="s">
        <v>5283</v>
      </c>
      <c r="E2102" s="79"/>
    </row>
    <row r="2103" spans="1:5" ht="14.85" customHeight="1" outlineLevel="1" x14ac:dyDescent="0.25">
      <c r="A2103" s="101" t="s">
        <v>1502</v>
      </c>
      <c r="B2103" s="102" t="str">
        <f>"51.1506"</f>
        <v>51.1506</v>
      </c>
      <c r="C2103" s="101" t="s">
        <v>5284</v>
      </c>
      <c r="D2103" s="101" t="s">
        <v>5285</v>
      </c>
      <c r="E2103" s="79"/>
    </row>
    <row r="2104" spans="1:5" ht="14.85" customHeight="1" outlineLevel="1" x14ac:dyDescent="0.25">
      <c r="A2104" s="101" t="s">
        <v>1502</v>
      </c>
      <c r="B2104" s="102" t="str">
        <f>"51.1507"</f>
        <v>51.1507</v>
      </c>
      <c r="C2104" s="101" t="s">
        <v>5286</v>
      </c>
      <c r="D2104" s="101" t="s">
        <v>5287</v>
      </c>
      <c r="E2104" s="79"/>
    </row>
    <row r="2105" spans="1:5" ht="14.85" customHeight="1" outlineLevel="1" x14ac:dyDescent="0.25">
      <c r="A2105" s="101" t="s">
        <v>1502</v>
      </c>
      <c r="B2105" s="102" t="str">
        <f>"51.1508"</f>
        <v>51.1508</v>
      </c>
      <c r="C2105" s="101" t="s">
        <v>5288</v>
      </c>
      <c r="D2105" s="101" t="s">
        <v>5289</v>
      </c>
      <c r="E2105" s="79"/>
    </row>
    <row r="2106" spans="1:5" ht="14.85" customHeight="1" outlineLevel="1" x14ac:dyDescent="0.25">
      <c r="A2106" s="101" t="s">
        <v>1502</v>
      </c>
      <c r="B2106" s="102" t="str">
        <f>"51.1509"</f>
        <v>51.1509</v>
      </c>
      <c r="C2106" s="101" t="s">
        <v>5290</v>
      </c>
      <c r="D2106" s="101" t="s">
        <v>5291</v>
      </c>
      <c r="E2106" s="79"/>
    </row>
    <row r="2107" spans="1:5" ht="14.85" customHeight="1" outlineLevel="1" x14ac:dyDescent="0.25">
      <c r="A2107" s="101" t="s">
        <v>1502</v>
      </c>
      <c r="B2107" s="102" t="str">
        <f>"51.1510"</f>
        <v>51.1510</v>
      </c>
      <c r="C2107" s="101" t="s">
        <v>5292</v>
      </c>
      <c r="D2107" s="101" t="s">
        <v>5293</v>
      </c>
      <c r="E2107" s="79"/>
    </row>
    <row r="2108" spans="1:5" ht="14.85" customHeight="1" outlineLevel="1" x14ac:dyDescent="0.25">
      <c r="A2108" s="101" t="s">
        <v>1502</v>
      </c>
      <c r="B2108" s="102" t="str">
        <f>"51.1511"</f>
        <v>51.1511</v>
      </c>
      <c r="C2108" s="101" t="s">
        <v>5294</v>
      </c>
      <c r="D2108" s="101" t="s">
        <v>5295</v>
      </c>
      <c r="E2108" s="79"/>
    </row>
    <row r="2109" spans="1:5" ht="14.85" customHeight="1" outlineLevel="1" x14ac:dyDescent="0.25">
      <c r="A2109" s="101" t="s">
        <v>1502</v>
      </c>
      <c r="B2109" s="102" t="str">
        <f>"51.1512"</f>
        <v>51.1512</v>
      </c>
      <c r="C2109" s="101" t="s">
        <v>5296</v>
      </c>
      <c r="D2109" s="101" t="s">
        <v>5297</v>
      </c>
      <c r="E2109" s="79"/>
    </row>
    <row r="2110" spans="1:5" ht="14.85" customHeight="1" outlineLevel="1" x14ac:dyDescent="0.25">
      <c r="A2110" s="101" t="s">
        <v>1502</v>
      </c>
      <c r="B2110" s="102" t="str">
        <f>"51.1513"</f>
        <v>51.1513</v>
      </c>
      <c r="C2110" s="101" t="s">
        <v>5298</v>
      </c>
      <c r="D2110" s="101" t="s">
        <v>5299</v>
      </c>
      <c r="E2110" s="79"/>
    </row>
    <row r="2111" spans="1:5" ht="14.85" customHeight="1" outlineLevel="1" x14ac:dyDescent="0.25">
      <c r="A2111" s="101" t="s">
        <v>1502</v>
      </c>
      <c r="B2111" s="102" t="str">
        <f>"51.1580"</f>
        <v>51.1580</v>
      </c>
      <c r="C2111" s="101" t="s">
        <v>1559</v>
      </c>
      <c r="D2111" s="101" t="s">
        <v>1560</v>
      </c>
      <c r="E2111" s="79"/>
    </row>
    <row r="2112" spans="1:5" ht="14.85" customHeight="1" outlineLevel="1" x14ac:dyDescent="0.25">
      <c r="A2112" s="101" t="s">
        <v>1502</v>
      </c>
      <c r="B2112" s="102" t="str">
        <f>"51.1599"</f>
        <v>51.1599</v>
      </c>
      <c r="C2112" s="101" t="s">
        <v>5300</v>
      </c>
      <c r="D2112" s="101" t="s">
        <v>5301</v>
      </c>
      <c r="E2112" s="79"/>
    </row>
    <row r="2113" spans="1:5" ht="14.85" customHeight="1" outlineLevel="1" x14ac:dyDescent="0.25">
      <c r="A2113" s="101" t="s">
        <v>1502</v>
      </c>
      <c r="B2113" s="102" t="str">
        <f>"51.17"</f>
        <v>51.17</v>
      </c>
      <c r="C2113" s="101" t="s">
        <v>5302</v>
      </c>
      <c r="D2113" s="101" t="s">
        <v>5303</v>
      </c>
      <c r="E2113" s="79"/>
    </row>
    <row r="2114" spans="1:5" ht="14.85" customHeight="1" outlineLevel="1" x14ac:dyDescent="0.25">
      <c r="A2114" s="101" t="s">
        <v>1502</v>
      </c>
      <c r="B2114" s="102" t="str">
        <f>"51.1701"</f>
        <v>51.1701</v>
      </c>
      <c r="C2114" s="101" t="s">
        <v>5302</v>
      </c>
      <c r="D2114" s="101" t="s">
        <v>5304</v>
      </c>
      <c r="E2114" s="79"/>
    </row>
    <row r="2115" spans="1:5" ht="14.85" customHeight="1" outlineLevel="1" x14ac:dyDescent="0.25">
      <c r="A2115" s="101" t="s">
        <v>1502</v>
      </c>
      <c r="B2115" s="102" t="str">
        <f>"51.18"</f>
        <v>51.18</v>
      </c>
      <c r="C2115" s="101" t="s">
        <v>5305</v>
      </c>
      <c r="D2115" s="101" t="s">
        <v>5306</v>
      </c>
      <c r="E2115" s="79"/>
    </row>
    <row r="2116" spans="1:5" ht="14.85" customHeight="1" outlineLevel="1" x14ac:dyDescent="0.25">
      <c r="A2116" s="101" t="s">
        <v>1502</v>
      </c>
      <c r="B2116" s="102" t="str">
        <f>"51.1801"</f>
        <v>51.1801</v>
      </c>
      <c r="C2116" s="101" t="s">
        <v>5307</v>
      </c>
      <c r="D2116" s="101" t="s">
        <v>5308</v>
      </c>
      <c r="E2116" s="79"/>
    </row>
    <row r="2117" spans="1:5" ht="14.85" customHeight="1" outlineLevel="1" x14ac:dyDescent="0.25">
      <c r="A2117" s="101" t="s">
        <v>1502</v>
      </c>
      <c r="B2117" s="102" t="str">
        <f>"51.1802"</f>
        <v>51.1802</v>
      </c>
      <c r="C2117" s="101" t="s">
        <v>5309</v>
      </c>
      <c r="D2117" s="101" t="s">
        <v>5310</v>
      </c>
      <c r="E2117" s="79"/>
    </row>
    <row r="2118" spans="1:5" ht="14.85" customHeight="1" outlineLevel="1" x14ac:dyDescent="0.25">
      <c r="A2118" s="101" t="s">
        <v>1502</v>
      </c>
      <c r="B2118" s="102" t="str">
        <f>"51.1803"</f>
        <v>51.1803</v>
      </c>
      <c r="C2118" s="101" t="s">
        <v>5311</v>
      </c>
      <c r="D2118" s="101" t="s">
        <v>5312</v>
      </c>
      <c r="E2118" s="79"/>
    </row>
    <row r="2119" spans="1:5" ht="14.85" customHeight="1" outlineLevel="1" x14ac:dyDescent="0.25">
      <c r="A2119" s="101" t="s">
        <v>1502</v>
      </c>
      <c r="B2119" s="102" t="str">
        <f>"51.1804"</f>
        <v>51.1804</v>
      </c>
      <c r="C2119" s="101" t="s">
        <v>5313</v>
      </c>
      <c r="D2119" s="101" t="s">
        <v>5314</v>
      </c>
      <c r="E2119" s="79"/>
    </row>
    <row r="2120" spans="1:5" ht="14.85" customHeight="1" outlineLevel="1" x14ac:dyDescent="0.25">
      <c r="A2120" s="101" t="s">
        <v>1502</v>
      </c>
      <c r="B2120" s="102" t="str">
        <f>"51.1899"</f>
        <v>51.1899</v>
      </c>
      <c r="C2120" s="101" t="s">
        <v>5315</v>
      </c>
      <c r="D2120" s="101" t="s">
        <v>5316</v>
      </c>
      <c r="E2120" s="79"/>
    </row>
    <row r="2121" spans="1:5" ht="14.85" customHeight="1" outlineLevel="1" x14ac:dyDescent="0.25">
      <c r="A2121" s="101" t="s">
        <v>1502</v>
      </c>
      <c r="B2121" s="102" t="str">
        <f>"51.20"</f>
        <v>51.20</v>
      </c>
      <c r="C2121" s="101" t="s">
        <v>5317</v>
      </c>
      <c r="D2121" s="101" t="s">
        <v>5318</v>
      </c>
      <c r="E2121" s="79"/>
    </row>
    <row r="2122" spans="1:5" ht="14.85" customHeight="1" outlineLevel="1" x14ac:dyDescent="0.25">
      <c r="A2122" s="101" t="s">
        <v>1502</v>
      </c>
      <c r="B2122" s="102" t="str">
        <f>"51.2001"</f>
        <v>51.2001</v>
      </c>
      <c r="C2122" s="101" t="s">
        <v>5319</v>
      </c>
      <c r="D2122" s="101" t="s">
        <v>5320</v>
      </c>
      <c r="E2122" s="79"/>
    </row>
    <row r="2123" spans="1:5" ht="14.85" customHeight="1" outlineLevel="1" x14ac:dyDescent="0.25">
      <c r="A2123" s="101" t="s">
        <v>1502</v>
      </c>
      <c r="B2123" s="102" t="str">
        <f>"51.2002"</f>
        <v>51.2002</v>
      </c>
      <c r="C2123" s="101" t="s">
        <v>5321</v>
      </c>
      <c r="D2123" s="101" t="s">
        <v>5322</v>
      </c>
      <c r="E2123" s="79"/>
    </row>
    <row r="2124" spans="1:5" ht="14.85" customHeight="1" outlineLevel="1" x14ac:dyDescent="0.25">
      <c r="A2124" s="101" t="s">
        <v>1502</v>
      </c>
      <c r="B2124" s="102" t="str">
        <f>"51.2003"</f>
        <v>51.2003</v>
      </c>
      <c r="C2124" s="101" t="s">
        <v>5323</v>
      </c>
      <c r="D2124" s="101" t="s">
        <v>5324</v>
      </c>
      <c r="E2124" s="79"/>
    </row>
    <row r="2125" spans="1:5" ht="14.85" customHeight="1" outlineLevel="1" x14ac:dyDescent="0.25">
      <c r="A2125" s="101" t="s">
        <v>1502</v>
      </c>
      <c r="B2125" s="102" t="str">
        <f>"51.2004"</f>
        <v>51.2004</v>
      </c>
      <c r="C2125" s="101" t="s">
        <v>5325</v>
      </c>
      <c r="D2125" s="101" t="s">
        <v>5326</v>
      </c>
      <c r="E2125" s="79"/>
    </row>
    <row r="2126" spans="1:5" ht="14.85" customHeight="1" outlineLevel="1" x14ac:dyDescent="0.25">
      <c r="A2126" s="101" t="s">
        <v>1502</v>
      </c>
      <c r="B2126" s="102" t="str">
        <f>"51.2005"</f>
        <v>51.2005</v>
      </c>
      <c r="C2126" s="101" t="s">
        <v>5327</v>
      </c>
      <c r="D2126" s="101" t="s">
        <v>5328</v>
      </c>
      <c r="E2126" s="79"/>
    </row>
    <row r="2127" spans="1:5" ht="14.85" customHeight="1" outlineLevel="1" x14ac:dyDescent="0.25">
      <c r="A2127" s="101" t="s">
        <v>1502</v>
      </c>
      <c r="B2127" s="102" t="str">
        <f>"51.2006"</f>
        <v>51.2006</v>
      </c>
      <c r="C2127" s="101" t="s">
        <v>5329</v>
      </c>
      <c r="D2127" s="101" t="s">
        <v>5330</v>
      </c>
      <c r="E2127" s="79"/>
    </row>
    <row r="2128" spans="1:5" ht="14.85" customHeight="1" outlineLevel="1" x14ac:dyDescent="0.25">
      <c r="A2128" s="101" t="s">
        <v>1502</v>
      </c>
      <c r="B2128" s="102" t="str">
        <f>"51.2007"</f>
        <v>51.2007</v>
      </c>
      <c r="C2128" s="101" t="s">
        <v>5331</v>
      </c>
      <c r="D2128" s="101" t="s">
        <v>5332</v>
      </c>
      <c r="E2128" s="79"/>
    </row>
    <row r="2129" spans="1:5" ht="14.85" customHeight="1" outlineLevel="1" x14ac:dyDescent="0.25">
      <c r="A2129" s="101" t="s">
        <v>1502</v>
      </c>
      <c r="B2129" s="102" t="str">
        <f>"51.2008"</f>
        <v>51.2008</v>
      </c>
      <c r="C2129" s="101" t="s">
        <v>5333</v>
      </c>
      <c r="D2129" s="101" t="s">
        <v>5334</v>
      </c>
      <c r="E2129" s="79"/>
    </row>
    <row r="2130" spans="1:5" ht="14.85" customHeight="1" outlineLevel="1" x14ac:dyDescent="0.25">
      <c r="A2130" s="101" t="s">
        <v>1502</v>
      </c>
      <c r="B2130" s="102" t="str">
        <f>"51.2009"</f>
        <v>51.2009</v>
      </c>
      <c r="C2130" s="101" t="s">
        <v>5335</v>
      </c>
      <c r="D2130" s="101" t="s">
        <v>5336</v>
      </c>
      <c r="E2130" s="79"/>
    </row>
    <row r="2131" spans="1:5" ht="14.85" customHeight="1" outlineLevel="1" x14ac:dyDescent="0.25">
      <c r="A2131" s="101" t="s">
        <v>1502</v>
      </c>
      <c r="B2131" s="102" t="str">
        <f>"51.2010"</f>
        <v>51.2010</v>
      </c>
      <c r="C2131" s="101" t="s">
        <v>5337</v>
      </c>
      <c r="D2131" s="101" t="s">
        <v>5338</v>
      </c>
      <c r="E2131" s="79"/>
    </row>
    <row r="2132" spans="1:5" ht="14.85" customHeight="1" outlineLevel="1" x14ac:dyDescent="0.25">
      <c r="A2132" s="101" t="s">
        <v>1502</v>
      </c>
      <c r="B2132" s="102" t="str">
        <f>"51.2011"</f>
        <v>51.2011</v>
      </c>
      <c r="C2132" s="101" t="s">
        <v>5339</v>
      </c>
      <c r="D2132" s="101" t="s">
        <v>5340</v>
      </c>
      <c r="E2132" s="79"/>
    </row>
    <row r="2133" spans="1:5" ht="14.85" customHeight="1" outlineLevel="1" x14ac:dyDescent="0.25">
      <c r="A2133" s="101" t="s">
        <v>1502</v>
      </c>
      <c r="B2133" s="102" t="str">
        <f>"51.2099"</f>
        <v>51.2099</v>
      </c>
      <c r="C2133" s="101" t="s">
        <v>5341</v>
      </c>
      <c r="D2133" s="101" t="s">
        <v>5342</v>
      </c>
      <c r="E2133" s="79"/>
    </row>
    <row r="2134" spans="1:5" ht="14.85" customHeight="1" outlineLevel="1" x14ac:dyDescent="0.25">
      <c r="A2134" s="101" t="s">
        <v>1502</v>
      </c>
      <c r="B2134" s="102" t="str">
        <f>"51.22"</f>
        <v>51.22</v>
      </c>
      <c r="C2134" s="101" t="s">
        <v>5343</v>
      </c>
      <c r="D2134" s="101" t="s">
        <v>5344</v>
      </c>
      <c r="E2134" s="79"/>
    </row>
    <row r="2135" spans="1:5" ht="14.85" customHeight="1" outlineLevel="1" x14ac:dyDescent="0.25">
      <c r="A2135" s="101" t="s">
        <v>1502</v>
      </c>
      <c r="B2135" s="102" t="str">
        <f>"51.2201"</f>
        <v>51.2201</v>
      </c>
      <c r="C2135" s="101" t="s">
        <v>5345</v>
      </c>
      <c r="D2135" s="101" t="s">
        <v>5346</v>
      </c>
      <c r="E2135" s="79"/>
    </row>
    <row r="2136" spans="1:5" ht="14.85" customHeight="1" outlineLevel="1" x14ac:dyDescent="0.25">
      <c r="A2136" s="101" t="s">
        <v>1502</v>
      </c>
      <c r="B2136" s="102" t="str">
        <f>"51.2202"</f>
        <v>51.2202</v>
      </c>
      <c r="C2136" s="101" t="s">
        <v>5347</v>
      </c>
      <c r="D2136" s="101" t="s">
        <v>5348</v>
      </c>
      <c r="E2136" s="79"/>
    </row>
    <row r="2137" spans="1:5" ht="14.85" customHeight="1" outlineLevel="1" x14ac:dyDescent="0.25">
      <c r="A2137" s="101" t="s">
        <v>1502</v>
      </c>
      <c r="B2137" s="102" t="str">
        <f>"51.2205"</f>
        <v>51.2205</v>
      </c>
      <c r="C2137" s="101" t="s">
        <v>5349</v>
      </c>
      <c r="D2137" s="101" t="s">
        <v>5350</v>
      </c>
      <c r="E2137" s="79"/>
    </row>
    <row r="2138" spans="1:5" ht="14.85" customHeight="1" outlineLevel="1" x14ac:dyDescent="0.25">
      <c r="A2138" s="101" t="s">
        <v>1502</v>
      </c>
      <c r="B2138" s="102" t="str">
        <f>"51.2206"</f>
        <v>51.2206</v>
      </c>
      <c r="C2138" s="101" t="s">
        <v>5351</v>
      </c>
      <c r="D2138" s="101" t="s">
        <v>5352</v>
      </c>
      <c r="E2138" s="79"/>
    </row>
    <row r="2139" spans="1:5" ht="14.85" customHeight="1" outlineLevel="1" x14ac:dyDescent="0.25">
      <c r="A2139" s="101" t="s">
        <v>1502</v>
      </c>
      <c r="B2139" s="102" t="str">
        <f>"51.2207"</f>
        <v>51.2207</v>
      </c>
      <c r="C2139" s="101" t="s">
        <v>5353</v>
      </c>
      <c r="D2139" s="101" t="s">
        <v>5354</v>
      </c>
      <c r="E2139" s="79"/>
    </row>
    <row r="2140" spans="1:5" ht="14.85" customHeight="1" outlineLevel="1" x14ac:dyDescent="0.25">
      <c r="A2140" s="101" t="s">
        <v>1502</v>
      </c>
      <c r="B2140" s="102" t="str">
        <f>"51.2208"</f>
        <v>51.2208</v>
      </c>
      <c r="C2140" s="101" t="s">
        <v>5355</v>
      </c>
      <c r="D2140" s="101" t="s">
        <v>5356</v>
      </c>
      <c r="E2140" s="79"/>
    </row>
    <row r="2141" spans="1:5" ht="14.85" customHeight="1" outlineLevel="1" x14ac:dyDescent="0.25">
      <c r="A2141" s="101" t="s">
        <v>1502</v>
      </c>
      <c r="B2141" s="102" t="str">
        <f>"51.2209"</f>
        <v>51.2209</v>
      </c>
      <c r="C2141" s="101" t="s">
        <v>5357</v>
      </c>
      <c r="D2141" s="101" t="s">
        <v>5358</v>
      </c>
      <c r="E2141" s="79"/>
    </row>
    <row r="2142" spans="1:5" ht="14.85" customHeight="1" outlineLevel="1" x14ac:dyDescent="0.25">
      <c r="A2142" s="101" t="s">
        <v>1502</v>
      </c>
      <c r="B2142" s="102" t="str">
        <f>"51.2210"</f>
        <v>51.2210</v>
      </c>
      <c r="C2142" s="101" t="s">
        <v>5359</v>
      </c>
      <c r="D2142" s="101" t="s">
        <v>5360</v>
      </c>
      <c r="E2142" s="79"/>
    </row>
    <row r="2143" spans="1:5" ht="14.85" customHeight="1" outlineLevel="1" x14ac:dyDescent="0.25">
      <c r="A2143" s="101" t="s">
        <v>1502</v>
      </c>
      <c r="B2143" s="102" t="str">
        <f>"51.2211"</f>
        <v>51.2211</v>
      </c>
      <c r="C2143" s="101" t="s">
        <v>5361</v>
      </c>
      <c r="D2143" s="101" t="s">
        <v>5362</v>
      </c>
      <c r="E2143" s="79"/>
    </row>
    <row r="2144" spans="1:5" ht="14.85" customHeight="1" outlineLevel="1" x14ac:dyDescent="0.25">
      <c r="A2144" s="101" t="s">
        <v>1502</v>
      </c>
      <c r="B2144" s="102" t="str">
        <f>"51.2212"</f>
        <v>51.2212</v>
      </c>
      <c r="C2144" s="101" t="s">
        <v>5363</v>
      </c>
      <c r="D2144" s="101" t="s">
        <v>5364</v>
      </c>
      <c r="E2144" s="79"/>
    </row>
    <row r="2145" spans="1:5" ht="14.85" customHeight="1" outlineLevel="1" x14ac:dyDescent="0.25">
      <c r="A2145" s="101" t="s">
        <v>1502</v>
      </c>
      <c r="B2145" s="102" t="str">
        <f>"51.2213"</f>
        <v>51.2213</v>
      </c>
      <c r="C2145" s="101" t="s">
        <v>5365</v>
      </c>
      <c r="D2145" s="101" t="s">
        <v>5366</v>
      </c>
      <c r="E2145" s="79"/>
    </row>
    <row r="2146" spans="1:5" ht="14.85" customHeight="1" outlineLevel="1" x14ac:dyDescent="0.25">
      <c r="A2146" s="101" t="s">
        <v>1502</v>
      </c>
      <c r="B2146" s="102" t="str">
        <f>"51.2214"</f>
        <v>51.2214</v>
      </c>
      <c r="C2146" s="101" t="s">
        <v>5367</v>
      </c>
      <c r="D2146" s="101" t="s">
        <v>5368</v>
      </c>
      <c r="E2146" s="79"/>
    </row>
    <row r="2147" spans="1:5" ht="14.85" customHeight="1" outlineLevel="1" x14ac:dyDescent="0.25">
      <c r="A2147" s="101" t="s">
        <v>1502</v>
      </c>
      <c r="B2147" s="102" t="str">
        <f>"51.2280"</f>
        <v>51.2280</v>
      </c>
      <c r="C2147" s="101" t="s">
        <v>1559</v>
      </c>
      <c r="D2147" s="101" t="s">
        <v>1560</v>
      </c>
      <c r="E2147" s="79"/>
    </row>
    <row r="2148" spans="1:5" ht="14.85" customHeight="1" outlineLevel="1" x14ac:dyDescent="0.25">
      <c r="A2148" s="101" t="s">
        <v>1502</v>
      </c>
      <c r="B2148" s="102" t="str">
        <f>"51.2299"</f>
        <v>51.2299</v>
      </c>
      <c r="C2148" s="101" t="s">
        <v>5369</v>
      </c>
      <c r="D2148" s="101" t="s">
        <v>5370</v>
      </c>
      <c r="E2148" s="79"/>
    </row>
    <row r="2149" spans="1:5" ht="14.85" customHeight="1" outlineLevel="1" x14ac:dyDescent="0.25">
      <c r="A2149" s="101" t="s">
        <v>1502</v>
      </c>
      <c r="B2149" s="102" t="str">
        <f>"51.23"</f>
        <v>51.23</v>
      </c>
      <c r="C2149" s="101" t="s">
        <v>5371</v>
      </c>
      <c r="D2149" s="101" t="s">
        <v>5372</v>
      </c>
      <c r="E2149" s="79"/>
    </row>
    <row r="2150" spans="1:5" ht="14.85" customHeight="1" outlineLevel="1" x14ac:dyDescent="0.25">
      <c r="A2150" s="101" t="s">
        <v>1502</v>
      </c>
      <c r="B2150" s="102" t="str">
        <f>"51.2300"</f>
        <v>51.2300</v>
      </c>
      <c r="C2150" s="101" t="s">
        <v>5373</v>
      </c>
      <c r="D2150" s="101" t="s">
        <v>5374</v>
      </c>
      <c r="E2150" s="79"/>
    </row>
    <row r="2151" spans="1:5" ht="14.85" customHeight="1" outlineLevel="1" x14ac:dyDescent="0.25">
      <c r="A2151" s="101" t="s">
        <v>1502</v>
      </c>
      <c r="B2151" s="102" t="str">
        <f>"51.2301"</f>
        <v>51.2301</v>
      </c>
      <c r="C2151" s="101" t="s">
        <v>5375</v>
      </c>
      <c r="D2151" s="101" t="s">
        <v>5376</v>
      </c>
      <c r="E2151" s="79"/>
    </row>
    <row r="2152" spans="1:5" ht="14.85" customHeight="1" outlineLevel="1" x14ac:dyDescent="0.25">
      <c r="A2152" s="101" t="s">
        <v>1502</v>
      </c>
      <c r="B2152" s="102" t="str">
        <f>"51.2302"</f>
        <v>51.2302</v>
      </c>
      <c r="C2152" s="101" t="s">
        <v>5377</v>
      </c>
      <c r="D2152" s="101" t="s">
        <v>5378</v>
      </c>
      <c r="E2152" s="79"/>
    </row>
    <row r="2153" spans="1:5" ht="14.85" customHeight="1" outlineLevel="1" x14ac:dyDescent="0.25">
      <c r="A2153" s="101" t="s">
        <v>1502</v>
      </c>
      <c r="B2153" s="102" t="str">
        <f>"51.2305"</f>
        <v>51.2305</v>
      </c>
      <c r="C2153" s="101" t="s">
        <v>5379</v>
      </c>
      <c r="D2153" s="101" t="s">
        <v>5380</v>
      </c>
      <c r="E2153" s="79"/>
    </row>
    <row r="2154" spans="1:5" ht="14.85" customHeight="1" outlineLevel="1" x14ac:dyDescent="0.25">
      <c r="A2154" s="101" t="s">
        <v>1502</v>
      </c>
      <c r="B2154" s="102" t="str">
        <f>"51.2306"</f>
        <v>51.2306</v>
      </c>
      <c r="C2154" s="101" t="s">
        <v>5381</v>
      </c>
      <c r="D2154" s="101" t="s">
        <v>5382</v>
      </c>
      <c r="E2154" s="79"/>
    </row>
    <row r="2155" spans="1:5" ht="14.85" customHeight="1" outlineLevel="1" x14ac:dyDescent="0.25">
      <c r="A2155" s="101" t="s">
        <v>1502</v>
      </c>
      <c r="B2155" s="102" t="str">
        <f>"51.2307"</f>
        <v>51.2307</v>
      </c>
      <c r="C2155" s="101" t="s">
        <v>5383</v>
      </c>
      <c r="D2155" s="101" t="s">
        <v>5384</v>
      </c>
      <c r="E2155" s="79"/>
    </row>
    <row r="2156" spans="1:5" ht="14.85" customHeight="1" outlineLevel="1" x14ac:dyDescent="0.25">
      <c r="A2156" s="101" t="s">
        <v>1502</v>
      </c>
      <c r="B2156" s="102" t="str">
        <f>"51.2308"</f>
        <v>51.2308</v>
      </c>
      <c r="C2156" s="101" t="s">
        <v>5385</v>
      </c>
      <c r="D2156" s="101" t="s">
        <v>5386</v>
      </c>
      <c r="E2156" s="79"/>
    </row>
    <row r="2157" spans="1:5" ht="14.85" customHeight="1" outlineLevel="1" x14ac:dyDescent="0.25">
      <c r="A2157" s="101" t="s">
        <v>1502</v>
      </c>
      <c r="B2157" s="102" t="str">
        <f>"51.2309"</f>
        <v>51.2309</v>
      </c>
      <c r="C2157" s="101" t="s">
        <v>5387</v>
      </c>
      <c r="D2157" s="101" t="s">
        <v>5388</v>
      </c>
      <c r="E2157" s="79"/>
    </row>
    <row r="2158" spans="1:5" ht="14.85" customHeight="1" outlineLevel="1" x14ac:dyDescent="0.25">
      <c r="A2158" s="101" t="s">
        <v>1502</v>
      </c>
      <c r="B2158" s="102" t="str">
        <f>"51.2310"</f>
        <v>51.2310</v>
      </c>
      <c r="C2158" s="101" t="s">
        <v>5389</v>
      </c>
      <c r="D2158" s="101" t="s">
        <v>5390</v>
      </c>
      <c r="E2158" s="79"/>
    </row>
    <row r="2159" spans="1:5" ht="14.85" customHeight="1" outlineLevel="1" x14ac:dyDescent="0.25">
      <c r="A2159" s="101" t="s">
        <v>1502</v>
      </c>
      <c r="B2159" s="102" t="str">
        <f>"51.2311"</f>
        <v>51.2311</v>
      </c>
      <c r="C2159" s="101" t="s">
        <v>5391</v>
      </c>
      <c r="D2159" s="101" t="s">
        <v>5392</v>
      </c>
      <c r="E2159" s="79"/>
    </row>
    <row r="2160" spans="1:5" ht="14.85" customHeight="1" outlineLevel="1" x14ac:dyDescent="0.25">
      <c r="A2160" s="101" t="s">
        <v>1502</v>
      </c>
      <c r="B2160" s="102" t="str">
        <f>"51.2312"</f>
        <v>51.2312</v>
      </c>
      <c r="C2160" s="101" t="s">
        <v>5393</v>
      </c>
      <c r="D2160" s="101" t="s">
        <v>5394</v>
      </c>
      <c r="E2160" s="79"/>
    </row>
    <row r="2161" spans="1:5" ht="14.85" customHeight="1" outlineLevel="1" x14ac:dyDescent="0.25">
      <c r="A2161" s="101" t="s">
        <v>1502</v>
      </c>
      <c r="B2161" s="102" t="str">
        <f>"51.2313"</f>
        <v>51.2313</v>
      </c>
      <c r="C2161" s="101" t="s">
        <v>5395</v>
      </c>
      <c r="D2161" s="101" t="s">
        <v>5396</v>
      </c>
      <c r="E2161" s="79"/>
    </row>
    <row r="2162" spans="1:5" ht="14.85" customHeight="1" outlineLevel="1" x14ac:dyDescent="0.25">
      <c r="A2162" s="101" t="s">
        <v>1502</v>
      </c>
      <c r="B2162" s="102" t="str">
        <f>"51.2314"</f>
        <v>51.2314</v>
      </c>
      <c r="C2162" s="101" t="s">
        <v>5397</v>
      </c>
      <c r="D2162" s="101" t="s">
        <v>5398</v>
      </c>
      <c r="E2162" s="79"/>
    </row>
    <row r="2163" spans="1:5" ht="14.85" customHeight="1" outlineLevel="1" x14ac:dyDescent="0.25">
      <c r="A2163" s="101" t="s">
        <v>1502</v>
      </c>
      <c r="B2163" s="102" t="str">
        <f>"51.2315"</f>
        <v>51.2315</v>
      </c>
      <c r="C2163" s="101" t="s">
        <v>5399</v>
      </c>
      <c r="D2163" s="101" t="s">
        <v>5400</v>
      </c>
      <c r="E2163" s="79"/>
    </row>
    <row r="2164" spans="1:5" ht="14.85" customHeight="1" outlineLevel="1" x14ac:dyDescent="0.25">
      <c r="A2164" s="101" t="s">
        <v>1502</v>
      </c>
      <c r="B2164" s="102" t="str">
        <f>"51.2316"</f>
        <v>51.2316</v>
      </c>
      <c r="C2164" s="101" t="s">
        <v>5401</v>
      </c>
      <c r="D2164" s="101" t="s">
        <v>5402</v>
      </c>
      <c r="E2164" s="79"/>
    </row>
    <row r="2165" spans="1:5" ht="14.85" customHeight="1" outlineLevel="1" x14ac:dyDescent="0.25">
      <c r="A2165" s="101" t="s">
        <v>1502</v>
      </c>
      <c r="B2165" s="102" t="str">
        <f>"51.2317"</f>
        <v>51.2317</v>
      </c>
      <c r="C2165" s="101" t="s">
        <v>5403</v>
      </c>
      <c r="D2165" s="101" t="s">
        <v>5404</v>
      </c>
      <c r="E2165" s="79"/>
    </row>
    <row r="2166" spans="1:5" ht="14.85" customHeight="1" outlineLevel="1" x14ac:dyDescent="0.25">
      <c r="A2166" s="101" t="s">
        <v>1502</v>
      </c>
      <c r="B2166" s="102" t="str">
        <f>"51.2399"</f>
        <v>51.2399</v>
      </c>
      <c r="C2166" s="101" t="s">
        <v>5405</v>
      </c>
      <c r="D2166" s="101" t="s">
        <v>5406</v>
      </c>
      <c r="E2166" s="79"/>
    </row>
    <row r="2167" spans="1:5" ht="14.85" customHeight="1" outlineLevel="1" x14ac:dyDescent="0.25">
      <c r="A2167" s="101" t="s">
        <v>1502</v>
      </c>
      <c r="B2167" s="102" t="str">
        <f>"51.26"</f>
        <v>51.26</v>
      </c>
      <c r="C2167" s="101" t="s">
        <v>5407</v>
      </c>
      <c r="D2167" s="101" t="s">
        <v>5408</v>
      </c>
      <c r="E2167" s="79"/>
    </row>
    <row r="2168" spans="1:5" ht="14.85" customHeight="1" outlineLevel="1" x14ac:dyDescent="0.25">
      <c r="A2168" s="101" t="s">
        <v>1502</v>
      </c>
      <c r="B2168" s="102" t="str">
        <f>"51.2601"</f>
        <v>51.2601</v>
      </c>
      <c r="C2168" s="101" t="s">
        <v>5409</v>
      </c>
      <c r="D2168" s="101" t="s">
        <v>5410</v>
      </c>
      <c r="E2168" s="79"/>
    </row>
    <row r="2169" spans="1:5" ht="14.85" customHeight="1" outlineLevel="1" x14ac:dyDescent="0.25">
      <c r="A2169" s="101" t="s">
        <v>1502</v>
      </c>
      <c r="B2169" s="102" t="str">
        <f>"51.2602"</f>
        <v>51.2602</v>
      </c>
      <c r="C2169" s="101" t="s">
        <v>5411</v>
      </c>
      <c r="D2169" s="101" t="s">
        <v>5412</v>
      </c>
      <c r="E2169" s="79"/>
    </row>
    <row r="2170" spans="1:5" ht="14.85" customHeight="1" outlineLevel="1" x14ac:dyDescent="0.25">
      <c r="A2170" s="101" t="s">
        <v>1502</v>
      </c>
      <c r="B2170" s="102" t="str">
        <f>"51.2603"</f>
        <v>51.2603</v>
      </c>
      <c r="C2170" s="101" t="s">
        <v>5413</v>
      </c>
      <c r="D2170" s="101" t="s">
        <v>5414</v>
      </c>
      <c r="E2170" s="79"/>
    </row>
    <row r="2171" spans="1:5" ht="14.85" customHeight="1" outlineLevel="1" x14ac:dyDescent="0.25">
      <c r="A2171" s="101" t="s">
        <v>1502</v>
      </c>
      <c r="B2171" s="102" t="str">
        <f>"51.2604"</f>
        <v>51.2604</v>
      </c>
      <c r="C2171" s="101" t="s">
        <v>5415</v>
      </c>
      <c r="D2171" s="101" t="s">
        <v>5416</v>
      </c>
      <c r="E2171" s="79"/>
    </row>
    <row r="2172" spans="1:5" ht="14.85" customHeight="1" outlineLevel="1" x14ac:dyDescent="0.25">
      <c r="A2172" s="101" t="s">
        <v>1502</v>
      </c>
      <c r="B2172" s="102" t="str">
        <f>"51.2605"</f>
        <v>51.2605</v>
      </c>
      <c r="C2172" s="101" t="s">
        <v>5417</v>
      </c>
      <c r="D2172" s="101" t="s">
        <v>5418</v>
      </c>
      <c r="E2172" s="79"/>
    </row>
    <row r="2173" spans="1:5" ht="14.85" customHeight="1" outlineLevel="1" x14ac:dyDescent="0.25">
      <c r="A2173" s="101" t="s">
        <v>1502</v>
      </c>
      <c r="B2173" s="102" t="str">
        <f>"51.2699"</f>
        <v>51.2699</v>
      </c>
      <c r="C2173" s="101" t="s">
        <v>5419</v>
      </c>
      <c r="D2173" s="101" t="s">
        <v>5420</v>
      </c>
      <c r="E2173" s="79"/>
    </row>
    <row r="2174" spans="1:5" ht="14.85" customHeight="1" outlineLevel="1" x14ac:dyDescent="0.25">
      <c r="A2174" s="101" t="s">
        <v>1502</v>
      </c>
      <c r="B2174" s="102" t="str">
        <f>"51.27"</f>
        <v>51.27</v>
      </c>
      <c r="C2174" s="101" t="s">
        <v>5421</v>
      </c>
      <c r="D2174" s="101" t="s">
        <v>5422</v>
      </c>
      <c r="E2174" s="79"/>
    </row>
    <row r="2175" spans="1:5" ht="14.85" customHeight="1" outlineLevel="1" x14ac:dyDescent="0.25">
      <c r="A2175" s="101" t="s">
        <v>1502</v>
      </c>
      <c r="B2175" s="102" t="str">
        <f>"51.2703"</f>
        <v>51.2703</v>
      </c>
      <c r="C2175" s="101" t="s">
        <v>5423</v>
      </c>
      <c r="D2175" s="101" t="s">
        <v>5424</v>
      </c>
      <c r="E2175" s="79"/>
    </row>
    <row r="2176" spans="1:5" ht="14.85" customHeight="1" outlineLevel="1" x14ac:dyDescent="0.25">
      <c r="A2176" s="101" t="s">
        <v>1502</v>
      </c>
      <c r="B2176" s="102" t="str">
        <f>"51.2706"</f>
        <v>51.2706</v>
      </c>
      <c r="C2176" s="101" t="s">
        <v>5425</v>
      </c>
      <c r="D2176" s="101" t="s">
        <v>5426</v>
      </c>
      <c r="E2176" s="79"/>
    </row>
    <row r="2177" spans="1:5" ht="14.85" customHeight="1" outlineLevel="1" x14ac:dyDescent="0.25">
      <c r="A2177" s="101" t="s">
        <v>1502</v>
      </c>
      <c r="B2177" s="102" t="str">
        <f>"51.2799"</f>
        <v>51.2799</v>
      </c>
      <c r="C2177" s="101" t="s">
        <v>5427</v>
      </c>
      <c r="D2177" s="101" t="s">
        <v>5428</v>
      </c>
      <c r="E2177" s="79"/>
    </row>
    <row r="2178" spans="1:5" ht="14.85" customHeight="1" outlineLevel="1" x14ac:dyDescent="0.25">
      <c r="A2178" s="101" t="s">
        <v>1502</v>
      </c>
      <c r="B2178" s="102" t="str">
        <f>"51.31"</f>
        <v>51.31</v>
      </c>
      <c r="C2178" s="101" t="s">
        <v>5429</v>
      </c>
      <c r="D2178" s="101" t="s">
        <v>5430</v>
      </c>
      <c r="E2178" s="79"/>
    </row>
    <row r="2179" spans="1:5" ht="14.85" customHeight="1" outlineLevel="1" x14ac:dyDescent="0.25">
      <c r="A2179" s="101" t="s">
        <v>1502</v>
      </c>
      <c r="B2179" s="102" t="str">
        <f>"51.3101"</f>
        <v>51.3101</v>
      </c>
      <c r="C2179" s="101" t="s">
        <v>5431</v>
      </c>
      <c r="D2179" s="101" t="s">
        <v>5432</v>
      </c>
      <c r="E2179" s="79"/>
    </row>
    <row r="2180" spans="1:5" ht="14.85" customHeight="1" outlineLevel="1" x14ac:dyDescent="0.25">
      <c r="A2180" s="101" t="s">
        <v>1502</v>
      </c>
      <c r="B2180" s="102" t="str">
        <f>"51.3102"</f>
        <v>51.3102</v>
      </c>
      <c r="C2180" s="101" t="s">
        <v>5433</v>
      </c>
      <c r="D2180" s="101" t="s">
        <v>5434</v>
      </c>
      <c r="E2180" s="79"/>
    </row>
    <row r="2181" spans="1:5" ht="14.85" customHeight="1" outlineLevel="1" x14ac:dyDescent="0.25">
      <c r="A2181" s="101" t="s">
        <v>1502</v>
      </c>
      <c r="B2181" s="102" t="str">
        <f>"51.3103"</f>
        <v>51.3103</v>
      </c>
      <c r="C2181" s="101" t="s">
        <v>5435</v>
      </c>
      <c r="D2181" s="101" t="s">
        <v>5436</v>
      </c>
      <c r="E2181" s="79"/>
    </row>
    <row r="2182" spans="1:5" ht="14.85" customHeight="1" outlineLevel="1" x14ac:dyDescent="0.25">
      <c r="A2182" s="101" t="s">
        <v>1502</v>
      </c>
      <c r="B2182" s="102" t="str">
        <f>"51.3104"</f>
        <v>51.3104</v>
      </c>
      <c r="C2182" s="101" t="s">
        <v>5437</v>
      </c>
      <c r="D2182" s="101" t="s">
        <v>5438</v>
      </c>
      <c r="E2182" s="79"/>
    </row>
    <row r="2183" spans="1:5" ht="14.85" customHeight="1" outlineLevel="1" x14ac:dyDescent="0.25">
      <c r="A2183" s="101" t="s">
        <v>1502</v>
      </c>
      <c r="B2183" s="102" t="str">
        <f>"51.3199"</f>
        <v>51.3199</v>
      </c>
      <c r="C2183" s="101" t="s">
        <v>5439</v>
      </c>
      <c r="D2183" s="101" t="s">
        <v>5440</v>
      </c>
      <c r="E2183" s="79"/>
    </row>
    <row r="2184" spans="1:5" ht="14.85" customHeight="1" outlineLevel="1" x14ac:dyDescent="0.25">
      <c r="A2184" s="101" t="s">
        <v>1502</v>
      </c>
      <c r="B2184" s="102" t="str">
        <f>"51.32"</f>
        <v>51.32</v>
      </c>
      <c r="C2184" s="101" t="s">
        <v>5441</v>
      </c>
      <c r="D2184" s="101" t="s">
        <v>5442</v>
      </c>
      <c r="E2184" s="79"/>
    </row>
    <row r="2185" spans="1:5" ht="14.85" customHeight="1" outlineLevel="1" x14ac:dyDescent="0.25">
      <c r="A2185" s="101" t="s">
        <v>1502</v>
      </c>
      <c r="B2185" s="102" t="str">
        <f>"51.3201"</f>
        <v>51.3201</v>
      </c>
      <c r="C2185" s="101" t="s">
        <v>5443</v>
      </c>
      <c r="D2185" s="101" t="s">
        <v>5444</v>
      </c>
      <c r="E2185" s="79"/>
    </row>
    <row r="2186" spans="1:5" ht="14.85" customHeight="1" outlineLevel="1" x14ac:dyDescent="0.25">
      <c r="A2186" s="101" t="s">
        <v>1502</v>
      </c>
      <c r="B2186" s="102" t="str">
        <f>"51.3202"</f>
        <v>51.3202</v>
      </c>
      <c r="C2186" s="101" t="s">
        <v>5445</v>
      </c>
      <c r="D2186" s="101" t="s">
        <v>5446</v>
      </c>
      <c r="E2186" s="79"/>
    </row>
    <row r="2187" spans="1:5" ht="14.85" customHeight="1" outlineLevel="1" x14ac:dyDescent="0.25">
      <c r="A2187" s="101" t="s">
        <v>1502</v>
      </c>
      <c r="B2187" s="102" t="str">
        <f>"51.3203"</f>
        <v>51.3203</v>
      </c>
      <c r="C2187" s="101" t="s">
        <v>5447</v>
      </c>
      <c r="D2187" s="101" t="s">
        <v>5448</v>
      </c>
      <c r="E2187" s="79"/>
    </row>
    <row r="2188" spans="1:5" ht="14.85" customHeight="1" outlineLevel="1" x14ac:dyDescent="0.25">
      <c r="A2188" s="101" t="s">
        <v>1502</v>
      </c>
      <c r="B2188" s="102" t="str">
        <f>"51.3204"</f>
        <v>51.3204</v>
      </c>
      <c r="C2188" s="101" t="s">
        <v>5449</v>
      </c>
      <c r="D2188" s="101" t="s">
        <v>5450</v>
      </c>
      <c r="E2188" s="79"/>
    </row>
    <row r="2189" spans="1:5" ht="14.85" customHeight="1" outlineLevel="1" x14ac:dyDescent="0.25">
      <c r="A2189" s="101" t="s">
        <v>1502</v>
      </c>
      <c r="B2189" s="102" t="str">
        <f>"51.3205"</f>
        <v>51.3205</v>
      </c>
      <c r="C2189" s="101" t="s">
        <v>5451</v>
      </c>
      <c r="D2189" s="101" t="s">
        <v>5452</v>
      </c>
      <c r="E2189" s="79"/>
    </row>
    <row r="2190" spans="1:5" ht="14.85" customHeight="1" outlineLevel="1" x14ac:dyDescent="0.25">
      <c r="A2190" s="101" t="s">
        <v>1502</v>
      </c>
      <c r="B2190" s="102" t="str">
        <f>"51.3206"</f>
        <v>51.3206</v>
      </c>
      <c r="C2190" s="101" t="s">
        <v>5453</v>
      </c>
      <c r="D2190" s="101" t="s">
        <v>5454</v>
      </c>
      <c r="E2190" s="79"/>
    </row>
    <row r="2191" spans="1:5" ht="14.85" customHeight="1" outlineLevel="1" x14ac:dyDescent="0.25">
      <c r="A2191" s="101" t="s">
        <v>1502</v>
      </c>
      <c r="B2191" s="102" t="str">
        <f>"51.3299"</f>
        <v>51.3299</v>
      </c>
      <c r="C2191" s="101" t="s">
        <v>5455</v>
      </c>
      <c r="D2191" s="101" t="s">
        <v>5456</v>
      </c>
      <c r="E2191" s="79"/>
    </row>
    <row r="2192" spans="1:5" ht="14.85" customHeight="1" outlineLevel="1" x14ac:dyDescent="0.25">
      <c r="A2192" s="101" t="s">
        <v>1502</v>
      </c>
      <c r="B2192" s="102" t="str">
        <f>"51.33"</f>
        <v>51.33</v>
      </c>
      <c r="C2192" s="101" t="s">
        <v>5457</v>
      </c>
      <c r="D2192" s="101" t="s">
        <v>5458</v>
      </c>
      <c r="E2192" s="79"/>
    </row>
    <row r="2193" spans="1:5" ht="14.85" customHeight="1" outlineLevel="1" x14ac:dyDescent="0.25">
      <c r="A2193" s="101" t="s">
        <v>1502</v>
      </c>
      <c r="B2193" s="102" t="str">
        <f>"51.3300"</f>
        <v>51.3300</v>
      </c>
      <c r="C2193" s="101" t="s">
        <v>5459</v>
      </c>
      <c r="D2193" s="101" t="s">
        <v>5460</v>
      </c>
      <c r="E2193" s="79"/>
    </row>
    <row r="2194" spans="1:5" ht="14.85" customHeight="1" outlineLevel="1" x14ac:dyDescent="0.25">
      <c r="A2194" s="101" t="s">
        <v>1502</v>
      </c>
      <c r="B2194" s="102" t="str">
        <f>"51.3301"</f>
        <v>51.3301</v>
      </c>
      <c r="C2194" s="101" t="s">
        <v>5461</v>
      </c>
      <c r="D2194" s="101" t="s">
        <v>5462</v>
      </c>
      <c r="E2194" s="79"/>
    </row>
    <row r="2195" spans="1:5" ht="14.85" customHeight="1" outlineLevel="1" x14ac:dyDescent="0.25">
      <c r="A2195" s="101" t="s">
        <v>1502</v>
      </c>
      <c r="B2195" s="102" t="str">
        <f>"51.3302"</f>
        <v>51.3302</v>
      </c>
      <c r="C2195" s="101" t="s">
        <v>5463</v>
      </c>
      <c r="D2195" s="101" t="s">
        <v>5464</v>
      </c>
      <c r="E2195" s="79"/>
    </row>
    <row r="2196" spans="1:5" ht="14.85" customHeight="1" outlineLevel="1" x14ac:dyDescent="0.25">
      <c r="A2196" s="101" t="s">
        <v>1502</v>
      </c>
      <c r="B2196" s="102" t="str">
        <f>"51.3303"</f>
        <v>51.3303</v>
      </c>
      <c r="C2196" s="101" t="s">
        <v>5465</v>
      </c>
      <c r="D2196" s="101" t="s">
        <v>5466</v>
      </c>
      <c r="E2196" s="79"/>
    </row>
    <row r="2197" spans="1:5" ht="14.85" customHeight="1" outlineLevel="1" x14ac:dyDescent="0.25">
      <c r="A2197" s="101" t="s">
        <v>1502</v>
      </c>
      <c r="B2197" s="102" t="str">
        <f>"51.3304"</f>
        <v>51.3304</v>
      </c>
      <c r="C2197" s="101" t="s">
        <v>5467</v>
      </c>
      <c r="D2197" s="101" t="s">
        <v>5468</v>
      </c>
      <c r="E2197" s="79"/>
    </row>
    <row r="2198" spans="1:5" ht="14.85" customHeight="1" outlineLevel="1" x14ac:dyDescent="0.25">
      <c r="A2198" s="101" t="s">
        <v>1502</v>
      </c>
      <c r="B2198" s="102" t="str">
        <f>"51.3305"</f>
        <v>51.3305</v>
      </c>
      <c r="C2198" s="101" t="s">
        <v>5469</v>
      </c>
      <c r="D2198" s="101" t="s">
        <v>5470</v>
      </c>
      <c r="E2198" s="79"/>
    </row>
    <row r="2199" spans="1:5" ht="14.85" customHeight="1" outlineLevel="1" x14ac:dyDescent="0.25">
      <c r="A2199" s="101" t="s">
        <v>1502</v>
      </c>
      <c r="B2199" s="102" t="str">
        <f>"51.3306"</f>
        <v>51.3306</v>
      </c>
      <c r="C2199" s="101" t="s">
        <v>5471</v>
      </c>
      <c r="D2199" s="101" t="s">
        <v>5472</v>
      </c>
      <c r="E2199" s="79"/>
    </row>
    <row r="2200" spans="1:5" ht="14.85" customHeight="1" outlineLevel="1" x14ac:dyDescent="0.25">
      <c r="A2200" s="101" t="s">
        <v>1502</v>
      </c>
      <c r="B2200" s="102" t="str">
        <f>"51.3399"</f>
        <v>51.3399</v>
      </c>
      <c r="C2200" s="101" t="s">
        <v>5473</v>
      </c>
      <c r="D2200" s="101" t="s">
        <v>5474</v>
      </c>
      <c r="E2200" s="79"/>
    </row>
    <row r="2201" spans="1:5" ht="14.85" customHeight="1" outlineLevel="1" x14ac:dyDescent="0.25">
      <c r="A2201" s="101" t="s">
        <v>1502</v>
      </c>
      <c r="B2201" s="102" t="str">
        <f>"51.34"</f>
        <v>51.34</v>
      </c>
      <c r="C2201" s="101" t="s">
        <v>5475</v>
      </c>
      <c r="D2201" s="101" t="s">
        <v>5476</v>
      </c>
      <c r="E2201" s="79"/>
    </row>
    <row r="2202" spans="1:5" ht="14.85" customHeight="1" outlineLevel="1" x14ac:dyDescent="0.25">
      <c r="A2202" s="101" t="s">
        <v>1502</v>
      </c>
      <c r="B2202" s="102" t="str">
        <f>"51.3401"</f>
        <v>51.3401</v>
      </c>
      <c r="C2202" s="101" t="s">
        <v>5477</v>
      </c>
      <c r="D2202" s="101" t="s">
        <v>5478</v>
      </c>
      <c r="E2202" s="79"/>
    </row>
    <row r="2203" spans="1:5" ht="14.85" customHeight="1" outlineLevel="1" x14ac:dyDescent="0.25">
      <c r="A2203" s="101" t="s">
        <v>1502</v>
      </c>
      <c r="B2203" s="102" t="str">
        <f>"51.3499"</f>
        <v>51.3499</v>
      </c>
      <c r="C2203" s="101" t="s">
        <v>5479</v>
      </c>
      <c r="D2203" s="101" t="s">
        <v>5480</v>
      </c>
      <c r="E2203" s="79"/>
    </row>
    <row r="2204" spans="1:5" ht="14.85" customHeight="1" outlineLevel="1" x14ac:dyDescent="0.25">
      <c r="A2204" s="101" t="s">
        <v>1502</v>
      </c>
      <c r="B2204" s="102" t="str">
        <f>"51.35"</f>
        <v>51.35</v>
      </c>
      <c r="C2204" s="101" t="s">
        <v>5481</v>
      </c>
      <c r="D2204" s="101" t="s">
        <v>5482</v>
      </c>
      <c r="E2204" s="79"/>
    </row>
    <row r="2205" spans="1:5" ht="14.85" customHeight="1" outlineLevel="1" x14ac:dyDescent="0.25">
      <c r="A2205" s="101" t="s">
        <v>1502</v>
      </c>
      <c r="B2205" s="102" t="str">
        <f>"51.3501"</f>
        <v>51.3501</v>
      </c>
      <c r="C2205" s="101" t="s">
        <v>5483</v>
      </c>
      <c r="D2205" s="101" t="s">
        <v>5484</v>
      </c>
      <c r="E2205" s="79"/>
    </row>
    <row r="2206" spans="1:5" ht="14.85" customHeight="1" outlineLevel="1" x14ac:dyDescent="0.25">
      <c r="A2206" s="101" t="s">
        <v>1502</v>
      </c>
      <c r="B2206" s="102" t="str">
        <f>"51.3502"</f>
        <v>51.3502</v>
      </c>
      <c r="C2206" s="101" t="s">
        <v>5485</v>
      </c>
      <c r="D2206" s="101" t="s">
        <v>5486</v>
      </c>
      <c r="E2206" s="79"/>
    </row>
    <row r="2207" spans="1:5" ht="14.85" customHeight="1" outlineLevel="1" x14ac:dyDescent="0.25">
      <c r="A2207" s="101" t="s">
        <v>1502</v>
      </c>
      <c r="B2207" s="102" t="str">
        <f>"51.3503"</f>
        <v>51.3503</v>
      </c>
      <c r="C2207" s="101" t="s">
        <v>5487</v>
      </c>
      <c r="D2207" s="101" t="s">
        <v>5488</v>
      </c>
      <c r="E2207" s="79"/>
    </row>
    <row r="2208" spans="1:5" ht="14.85" customHeight="1" outlineLevel="1" x14ac:dyDescent="0.25">
      <c r="A2208" s="101" t="s">
        <v>1502</v>
      </c>
      <c r="B2208" s="102" t="str">
        <f>"51.3599"</f>
        <v>51.3599</v>
      </c>
      <c r="C2208" s="101" t="s">
        <v>5489</v>
      </c>
      <c r="D2208" s="101" t="s">
        <v>5490</v>
      </c>
      <c r="E2208" s="79"/>
    </row>
    <row r="2209" spans="1:5" ht="14.85" customHeight="1" outlineLevel="1" x14ac:dyDescent="0.25">
      <c r="A2209" s="101" t="s">
        <v>1502</v>
      </c>
      <c r="B2209" s="102" t="str">
        <f>"51.36"</f>
        <v>51.36</v>
      </c>
      <c r="C2209" s="101" t="s">
        <v>5491</v>
      </c>
      <c r="D2209" s="101" t="s">
        <v>5492</v>
      </c>
      <c r="E2209" s="79"/>
    </row>
    <row r="2210" spans="1:5" ht="14.85" customHeight="1" outlineLevel="1" x14ac:dyDescent="0.25">
      <c r="A2210" s="101" t="s">
        <v>1502</v>
      </c>
      <c r="B2210" s="102" t="str">
        <f>"51.3601"</f>
        <v>51.3601</v>
      </c>
      <c r="C2210" s="101" t="s">
        <v>5493</v>
      </c>
      <c r="D2210" s="101" t="s">
        <v>5494</v>
      </c>
      <c r="E2210" s="79"/>
    </row>
    <row r="2211" spans="1:5" ht="14.85" customHeight="1" outlineLevel="1" x14ac:dyDescent="0.25">
      <c r="A2211" s="101" t="s">
        <v>1502</v>
      </c>
      <c r="B2211" s="102" t="str">
        <f>"51.3602"</f>
        <v>51.3602</v>
      </c>
      <c r="C2211" s="101" t="s">
        <v>5495</v>
      </c>
      <c r="D2211" s="101" t="s">
        <v>5496</v>
      </c>
      <c r="E2211" s="79"/>
    </row>
    <row r="2212" spans="1:5" ht="14.85" customHeight="1" outlineLevel="1" x14ac:dyDescent="0.25">
      <c r="A2212" s="101" t="s">
        <v>1502</v>
      </c>
      <c r="B2212" s="102" t="str">
        <f>"51.3603"</f>
        <v>51.3603</v>
      </c>
      <c r="C2212" s="101" t="s">
        <v>5497</v>
      </c>
      <c r="D2212" s="101" t="s">
        <v>5498</v>
      </c>
      <c r="E2212" s="79"/>
    </row>
    <row r="2213" spans="1:5" ht="14.85" customHeight="1" outlineLevel="1" x14ac:dyDescent="0.25">
      <c r="A2213" s="101" t="s">
        <v>1502</v>
      </c>
      <c r="B2213" s="102" t="str">
        <f>"51.3699"</f>
        <v>51.3699</v>
      </c>
      <c r="C2213" s="101" t="s">
        <v>5499</v>
      </c>
      <c r="D2213" s="101" t="s">
        <v>5500</v>
      </c>
      <c r="E2213" s="79"/>
    </row>
    <row r="2214" spans="1:5" ht="14.85" customHeight="1" outlineLevel="1" x14ac:dyDescent="0.25">
      <c r="A2214" s="101" t="s">
        <v>1502</v>
      </c>
      <c r="B2214" s="102" t="str">
        <f>"51.37"</f>
        <v>51.37</v>
      </c>
      <c r="C2214" s="101" t="s">
        <v>5501</v>
      </c>
      <c r="D2214" s="101" t="s">
        <v>5502</v>
      </c>
      <c r="E2214" s="79"/>
    </row>
    <row r="2215" spans="1:5" ht="14.85" customHeight="1" outlineLevel="1" x14ac:dyDescent="0.25">
      <c r="A2215" s="101" t="s">
        <v>1502</v>
      </c>
      <c r="B2215" s="102" t="str">
        <f>"51.3701"</f>
        <v>51.3701</v>
      </c>
      <c r="C2215" s="101" t="s">
        <v>5503</v>
      </c>
      <c r="D2215" s="101" t="s">
        <v>5504</v>
      </c>
      <c r="E2215" s="79"/>
    </row>
    <row r="2216" spans="1:5" ht="14.85" customHeight="1" outlineLevel="1" x14ac:dyDescent="0.25">
      <c r="A2216" s="101" t="s">
        <v>1502</v>
      </c>
      <c r="B2216" s="102" t="str">
        <f>"51.3702"</f>
        <v>51.3702</v>
      </c>
      <c r="C2216" s="101" t="s">
        <v>5505</v>
      </c>
      <c r="D2216" s="101" t="s">
        <v>5506</v>
      </c>
      <c r="E2216" s="79"/>
    </row>
    <row r="2217" spans="1:5" ht="14.85" customHeight="1" outlineLevel="1" x14ac:dyDescent="0.25">
      <c r="A2217" s="101" t="s">
        <v>1502</v>
      </c>
      <c r="B2217" s="102" t="str">
        <f>"51.3703"</f>
        <v>51.3703</v>
      </c>
      <c r="C2217" s="101" t="s">
        <v>5507</v>
      </c>
      <c r="D2217" s="101" t="s">
        <v>5508</v>
      </c>
      <c r="E2217" s="79"/>
    </row>
    <row r="2218" spans="1:5" ht="14.85" customHeight="1" outlineLevel="1" x14ac:dyDescent="0.25">
      <c r="A2218" s="101" t="s">
        <v>1502</v>
      </c>
      <c r="B2218" s="102" t="str">
        <f>"51.3704"</f>
        <v>51.3704</v>
      </c>
      <c r="C2218" s="101" t="s">
        <v>5509</v>
      </c>
      <c r="D2218" s="101" t="s">
        <v>5510</v>
      </c>
      <c r="E2218" s="79"/>
    </row>
    <row r="2219" spans="1:5" ht="14.85" customHeight="1" outlineLevel="1" x14ac:dyDescent="0.25">
      <c r="A2219" s="101" t="s">
        <v>1502</v>
      </c>
      <c r="B2219" s="102" t="str">
        <f>"51.3799"</f>
        <v>51.3799</v>
      </c>
      <c r="C2219" s="101" t="s">
        <v>5511</v>
      </c>
      <c r="D2219" s="101" t="s">
        <v>5512</v>
      </c>
      <c r="E2219" s="79"/>
    </row>
    <row r="2220" spans="1:5" ht="14.85" customHeight="1" outlineLevel="1" x14ac:dyDescent="0.25">
      <c r="A2220" s="101" t="s">
        <v>1502</v>
      </c>
      <c r="B2220" s="102" t="str">
        <f>"51.38"</f>
        <v>51.38</v>
      </c>
      <c r="C2220" s="101" t="s">
        <v>5513</v>
      </c>
      <c r="D2220" s="101" t="s">
        <v>5514</v>
      </c>
      <c r="E2220" s="79"/>
    </row>
    <row r="2221" spans="1:5" ht="14.85" customHeight="1" outlineLevel="1" x14ac:dyDescent="0.25">
      <c r="A2221" s="101" t="s">
        <v>1502</v>
      </c>
      <c r="B2221" s="102" t="str">
        <f>"51.3801"</f>
        <v>51.3801</v>
      </c>
      <c r="C2221" s="101" t="s">
        <v>5515</v>
      </c>
      <c r="D2221" s="101" t="s">
        <v>5516</v>
      </c>
      <c r="E2221" s="79"/>
    </row>
    <row r="2222" spans="1:5" ht="14.85" customHeight="1" outlineLevel="1" x14ac:dyDescent="0.25">
      <c r="A2222" s="101" t="s">
        <v>1502</v>
      </c>
      <c r="B2222" s="102" t="str">
        <f>"51.3802"</f>
        <v>51.3802</v>
      </c>
      <c r="C2222" s="101" t="s">
        <v>5517</v>
      </c>
      <c r="D2222" s="101" t="s">
        <v>5518</v>
      </c>
      <c r="E2222" s="79"/>
    </row>
    <row r="2223" spans="1:5" ht="14.85" customHeight="1" outlineLevel="1" x14ac:dyDescent="0.25">
      <c r="A2223" s="101" t="s">
        <v>1502</v>
      </c>
      <c r="B2223" s="102" t="str">
        <f>"51.3803"</f>
        <v>51.3803</v>
      </c>
      <c r="C2223" s="101" t="s">
        <v>5519</v>
      </c>
      <c r="D2223" s="101" t="s">
        <v>5520</v>
      </c>
      <c r="E2223" s="79"/>
    </row>
    <row r="2224" spans="1:5" ht="14.85" customHeight="1" outlineLevel="1" x14ac:dyDescent="0.25">
      <c r="A2224" s="101" t="s">
        <v>1502</v>
      </c>
      <c r="B2224" s="102" t="str">
        <f>"51.3804"</f>
        <v>51.3804</v>
      </c>
      <c r="C2224" s="101" t="s">
        <v>5521</v>
      </c>
      <c r="D2224" s="101" t="s">
        <v>5522</v>
      </c>
      <c r="E2224" s="79"/>
    </row>
    <row r="2225" spans="1:5" ht="14.85" customHeight="1" outlineLevel="1" x14ac:dyDescent="0.25">
      <c r="A2225" s="101" t="s">
        <v>1502</v>
      </c>
      <c r="B2225" s="102" t="str">
        <f>"51.3805"</f>
        <v>51.3805</v>
      </c>
      <c r="C2225" s="101" t="s">
        <v>5523</v>
      </c>
      <c r="D2225" s="101" t="s">
        <v>5524</v>
      </c>
      <c r="E2225" s="79"/>
    </row>
    <row r="2226" spans="1:5" ht="14.85" customHeight="1" outlineLevel="1" x14ac:dyDescent="0.25">
      <c r="A2226" s="101" t="s">
        <v>1502</v>
      </c>
      <c r="B2226" s="102" t="str">
        <f>"51.3806"</f>
        <v>51.3806</v>
      </c>
      <c r="C2226" s="101" t="s">
        <v>5525</v>
      </c>
      <c r="D2226" s="101" t="s">
        <v>5526</v>
      </c>
      <c r="E2226" s="79"/>
    </row>
    <row r="2227" spans="1:5" ht="14.85" customHeight="1" outlineLevel="1" x14ac:dyDescent="0.25">
      <c r="A2227" s="101" t="s">
        <v>1502</v>
      </c>
      <c r="B2227" s="102" t="str">
        <f>"51.3807"</f>
        <v>51.3807</v>
      </c>
      <c r="C2227" s="101" t="s">
        <v>5527</v>
      </c>
      <c r="D2227" s="101" t="s">
        <v>5528</v>
      </c>
      <c r="E2227" s="79"/>
    </row>
    <row r="2228" spans="1:5" ht="14.85" customHeight="1" outlineLevel="1" x14ac:dyDescent="0.25">
      <c r="A2228" s="101" t="s">
        <v>1502</v>
      </c>
      <c r="B2228" s="102" t="str">
        <f>"51.3808"</f>
        <v>51.3808</v>
      </c>
      <c r="C2228" s="101" t="s">
        <v>5529</v>
      </c>
      <c r="D2228" s="101" t="s">
        <v>5530</v>
      </c>
      <c r="E2228" s="79"/>
    </row>
    <row r="2229" spans="1:5" ht="14.85" customHeight="1" outlineLevel="1" x14ac:dyDescent="0.25">
      <c r="A2229" s="101" t="s">
        <v>1502</v>
      </c>
      <c r="B2229" s="102" t="str">
        <f>"51.3809"</f>
        <v>51.3809</v>
      </c>
      <c r="C2229" s="101" t="s">
        <v>5531</v>
      </c>
      <c r="D2229" s="101" t="s">
        <v>5532</v>
      </c>
      <c r="E2229" s="79"/>
    </row>
    <row r="2230" spans="1:5" ht="14.85" customHeight="1" outlineLevel="1" x14ac:dyDescent="0.25">
      <c r="A2230" s="101" t="s">
        <v>1502</v>
      </c>
      <c r="B2230" s="102" t="str">
        <f>"51.3810"</f>
        <v>51.3810</v>
      </c>
      <c r="C2230" s="101" t="s">
        <v>5533</v>
      </c>
      <c r="D2230" s="101" t="s">
        <v>5534</v>
      </c>
      <c r="E2230" s="79"/>
    </row>
    <row r="2231" spans="1:5" ht="14.85" customHeight="1" outlineLevel="1" x14ac:dyDescent="0.25">
      <c r="A2231" s="101" t="s">
        <v>1502</v>
      </c>
      <c r="B2231" s="102" t="str">
        <f>"51.3811"</f>
        <v>51.3811</v>
      </c>
      <c r="C2231" s="101" t="s">
        <v>5535</v>
      </c>
      <c r="D2231" s="101" t="s">
        <v>5536</v>
      </c>
      <c r="E2231" s="79"/>
    </row>
    <row r="2232" spans="1:5" ht="14.85" customHeight="1" outlineLevel="1" x14ac:dyDescent="0.25">
      <c r="A2232" s="101" t="s">
        <v>1502</v>
      </c>
      <c r="B2232" s="102" t="str">
        <f>"51.3812"</f>
        <v>51.3812</v>
      </c>
      <c r="C2232" s="101" t="s">
        <v>5537</v>
      </c>
      <c r="D2232" s="101" t="s">
        <v>5538</v>
      </c>
      <c r="E2232" s="79"/>
    </row>
    <row r="2233" spans="1:5" ht="14.85" customHeight="1" outlineLevel="1" x14ac:dyDescent="0.25">
      <c r="A2233" s="101" t="s">
        <v>1502</v>
      </c>
      <c r="B2233" s="102" t="str">
        <f>"51.3813"</f>
        <v>51.3813</v>
      </c>
      <c r="C2233" s="101" t="s">
        <v>5539</v>
      </c>
      <c r="D2233" s="101" t="s">
        <v>5540</v>
      </c>
      <c r="E2233" s="79"/>
    </row>
    <row r="2234" spans="1:5" ht="14.85" customHeight="1" outlineLevel="1" x14ac:dyDescent="0.25">
      <c r="A2234" s="101" t="s">
        <v>1502</v>
      </c>
      <c r="B2234" s="102" t="str">
        <f>"51.3814"</f>
        <v>51.3814</v>
      </c>
      <c r="C2234" s="101" t="s">
        <v>5541</v>
      </c>
      <c r="D2234" s="101" t="s">
        <v>5542</v>
      </c>
      <c r="E2234" s="79"/>
    </row>
    <row r="2235" spans="1:5" ht="14.85" customHeight="1" outlineLevel="1" x14ac:dyDescent="0.25">
      <c r="A2235" s="101" t="s">
        <v>1502</v>
      </c>
      <c r="B2235" s="102" t="str">
        <f>"51.3815"</f>
        <v>51.3815</v>
      </c>
      <c r="C2235" s="101" t="s">
        <v>5543</v>
      </c>
      <c r="D2235" s="101" t="s">
        <v>5544</v>
      </c>
      <c r="E2235" s="79"/>
    </row>
    <row r="2236" spans="1:5" ht="14.85" customHeight="1" outlineLevel="1" x14ac:dyDescent="0.25">
      <c r="A2236" s="101" t="s">
        <v>1502</v>
      </c>
      <c r="B2236" s="102" t="str">
        <f>"51.3816"</f>
        <v>51.3816</v>
      </c>
      <c r="C2236" s="101" t="s">
        <v>5545</v>
      </c>
      <c r="D2236" s="101" t="s">
        <v>5546</v>
      </c>
      <c r="E2236" s="79"/>
    </row>
    <row r="2237" spans="1:5" ht="14.85" customHeight="1" outlineLevel="1" x14ac:dyDescent="0.25">
      <c r="A2237" s="101" t="s">
        <v>1502</v>
      </c>
      <c r="B2237" s="102" t="str">
        <f>"51.3818"</f>
        <v>51.3818</v>
      </c>
      <c r="C2237" s="101" t="s">
        <v>5547</v>
      </c>
      <c r="D2237" s="101" t="s">
        <v>5548</v>
      </c>
      <c r="E2237" s="79"/>
    </row>
    <row r="2238" spans="1:5" ht="14.85" customHeight="1" outlineLevel="1" x14ac:dyDescent="0.25">
      <c r="A2238" s="101" t="s">
        <v>1502</v>
      </c>
      <c r="B2238" s="102" t="str">
        <f>"51.3819"</f>
        <v>51.3819</v>
      </c>
      <c r="C2238" s="101" t="s">
        <v>5549</v>
      </c>
      <c r="D2238" s="101" t="s">
        <v>5550</v>
      </c>
      <c r="E2238" s="79"/>
    </row>
    <row r="2239" spans="1:5" ht="14.85" customHeight="1" outlineLevel="1" x14ac:dyDescent="0.25">
      <c r="A2239" s="101" t="s">
        <v>1502</v>
      </c>
      <c r="B2239" s="102" t="str">
        <f>"51.3820"</f>
        <v>51.3820</v>
      </c>
      <c r="C2239" s="101" t="s">
        <v>5551</v>
      </c>
      <c r="D2239" s="101" t="s">
        <v>5552</v>
      </c>
      <c r="E2239" s="79"/>
    </row>
    <row r="2240" spans="1:5" ht="14.85" customHeight="1" outlineLevel="1" x14ac:dyDescent="0.25">
      <c r="A2240" s="101" t="s">
        <v>1502</v>
      </c>
      <c r="B2240" s="102" t="str">
        <f>"51.3821"</f>
        <v>51.3821</v>
      </c>
      <c r="C2240" s="101" t="s">
        <v>5553</v>
      </c>
      <c r="D2240" s="101" t="s">
        <v>5554</v>
      </c>
      <c r="E2240" s="79"/>
    </row>
    <row r="2241" spans="1:5" ht="14.85" customHeight="1" outlineLevel="1" x14ac:dyDescent="0.25">
      <c r="A2241" s="101" t="s">
        <v>1502</v>
      </c>
      <c r="B2241" s="102" t="str">
        <f>"51.3822"</f>
        <v>51.3822</v>
      </c>
      <c r="C2241" s="101" t="s">
        <v>5555</v>
      </c>
      <c r="D2241" s="101" t="s">
        <v>5556</v>
      </c>
      <c r="E2241" s="79"/>
    </row>
    <row r="2242" spans="1:5" ht="14.85" customHeight="1" outlineLevel="1" x14ac:dyDescent="0.25">
      <c r="A2242" s="101" t="s">
        <v>1502</v>
      </c>
      <c r="B2242" s="102" t="str">
        <f>"51.3823"</f>
        <v>51.3823</v>
      </c>
      <c r="C2242" s="101" t="s">
        <v>1559</v>
      </c>
      <c r="D2242" s="101" t="s">
        <v>1560</v>
      </c>
      <c r="E2242" s="79"/>
    </row>
    <row r="2243" spans="1:5" ht="14.85" customHeight="1" outlineLevel="1" x14ac:dyDescent="0.25">
      <c r="A2243" s="101" t="s">
        <v>1502</v>
      </c>
      <c r="B2243" s="102" t="str">
        <f>"51.3824"</f>
        <v>51.3824</v>
      </c>
      <c r="C2243" s="101" t="s">
        <v>5557</v>
      </c>
      <c r="D2243" s="101" t="s">
        <v>5558</v>
      </c>
      <c r="E2243" s="79"/>
    </row>
    <row r="2244" spans="1:5" ht="14.85" customHeight="1" outlineLevel="1" x14ac:dyDescent="0.25">
      <c r="A2244" s="101" t="s">
        <v>1502</v>
      </c>
      <c r="B2244" s="102" t="str">
        <f>"51.3899"</f>
        <v>51.3899</v>
      </c>
      <c r="C2244" s="101" t="s">
        <v>5559</v>
      </c>
      <c r="D2244" s="101" t="s">
        <v>5560</v>
      </c>
      <c r="E2244" s="79"/>
    </row>
    <row r="2245" spans="1:5" ht="14.85" customHeight="1" outlineLevel="1" x14ac:dyDescent="0.25">
      <c r="A2245" s="101" t="s">
        <v>1502</v>
      </c>
      <c r="B2245" s="102" t="str">
        <f>"51.39"</f>
        <v>51.39</v>
      </c>
      <c r="C2245" s="101" t="s">
        <v>5561</v>
      </c>
      <c r="D2245" s="101" t="s">
        <v>5562</v>
      </c>
      <c r="E2245" s="79"/>
    </row>
    <row r="2246" spans="1:5" ht="14.85" customHeight="1" outlineLevel="1" x14ac:dyDescent="0.25">
      <c r="A2246" s="101" t="s">
        <v>1502</v>
      </c>
      <c r="B2246" s="102" t="str">
        <f>"51.3901"</f>
        <v>51.3901</v>
      </c>
      <c r="C2246" s="101" t="s">
        <v>5563</v>
      </c>
      <c r="D2246" s="101" t="s">
        <v>5564</v>
      </c>
      <c r="E2246" s="79"/>
    </row>
    <row r="2247" spans="1:5" ht="14.85" customHeight="1" outlineLevel="1" x14ac:dyDescent="0.25">
      <c r="A2247" s="101" t="s">
        <v>1502</v>
      </c>
      <c r="B2247" s="102" t="str">
        <f>"51.3902"</f>
        <v>51.3902</v>
      </c>
      <c r="C2247" s="101" t="s">
        <v>5565</v>
      </c>
      <c r="D2247" s="101" t="s">
        <v>5566</v>
      </c>
      <c r="E2247" s="79"/>
    </row>
    <row r="2248" spans="1:5" ht="14.85" customHeight="1" outlineLevel="1" x14ac:dyDescent="0.25">
      <c r="A2248" s="101" t="s">
        <v>1502</v>
      </c>
      <c r="B2248" s="102" t="str">
        <f>"51.3999"</f>
        <v>51.3999</v>
      </c>
      <c r="C2248" s="101" t="s">
        <v>5567</v>
      </c>
      <c r="D2248" s="101" t="s">
        <v>5568</v>
      </c>
      <c r="E2248" s="79"/>
    </row>
    <row r="2249" spans="1:5" ht="14.85" customHeight="1" outlineLevel="1" x14ac:dyDescent="0.25">
      <c r="A2249" s="101" t="s">
        <v>1502</v>
      </c>
      <c r="B2249" s="102" t="str">
        <f>"51.99"</f>
        <v>51.99</v>
      </c>
      <c r="C2249" s="101" t="s">
        <v>5569</v>
      </c>
      <c r="D2249" s="101" t="s">
        <v>5570</v>
      </c>
      <c r="E2249" s="79"/>
    </row>
    <row r="2250" spans="1:5" ht="14.85" customHeight="1" outlineLevel="1" x14ac:dyDescent="0.25">
      <c r="A2250" s="101" t="s">
        <v>1502</v>
      </c>
      <c r="B2250" s="102" t="str">
        <f>"51.9980"</f>
        <v>51.9980</v>
      </c>
      <c r="C2250" s="101" t="s">
        <v>1559</v>
      </c>
      <c r="D2250" s="101" t="s">
        <v>1560</v>
      </c>
      <c r="E2250" s="79"/>
    </row>
    <row r="2251" spans="1:5" ht="14.85" customHeight="1" outlineLevel="1" x14ac:dyDescent="0.25">
      <c r="A2251" s="101" t="s">
        <v>1502</v>
      </c>
      <c r="B2251" s="102" t="str">
        <f>"51.9999"</f>
        <v>51.9999</v>
      </c>
      <c r="C2251" s="101" t="s">
        <v>5569</v>
      </c>
      <c r="D2251" s="101" t="s">
        <v>5571</v>
      </c>
      <c r="E2251" s="79"/>
    </row>
    <row r="2252" spans="1:5" ht="14.85" customHeight="1" outlineLevel="1" x14ac:dyDescent="0.25">
      <c r="A2252" s="101" t="s">
        <v>1502</v>
      </c>
      <c r="B2252" s="102" t="str">
        <f>"52"</f>
        <v>52</v>
      </c>
      <c r="C2252" s="101" t="s">
        <v>5572</v>
      </c>
      <c r="D2252" s="101" t="s">
        <v>5573</v>
      </c>
      <c r="E2252" s="79"/>
    </row>
    <row r="2253" spans="1:5" ht="14.85" customHeight="1" outlineLevel="1" x14ac:dyDescent="0.25">
      <c r="A2253" s="101" t="s">
        <v>1502</v>
      </c>
      <c r="B2253" s="102" t="str">
        <f>"52.01"</f>
        <v>52.01</v>
      </c>
      <c r="C2253" s="101" t="s">
        <v>5574</v>
      </c>
      <c r="D2253" s="101" t="s">
        <v>5575</v>
      </c>
      <c r="E2253" s="79"/>
    </row>
    <row r="2254" spans="1:5" ht="14.85" customHeight="1" outlineLevel="1" x14ac:dyDescent="0.25">
      <c r="A2254" s="101" t="s">
        <v>1502</v>
      </c>
      <c r="B2254" s="102" t="str">
        <f>"52.0101"</f>
        <v>52.0101</v>
      </c>
      <c r="C2254" s="101" t="s">
        <v>5574</v>
      </c>
      <c r="D2254" s="101" t="s">
        <v>5576</v>
      </c>
      <c r="E2254" s="79"/>
    </row>
    <row r="2255" spans="1:5" ht="14.85" customHeight="1" outlineLevel="1" x14ac:dyDescent="0.25">
      <c r="A2255" s="101" t="s">
        <v>1502</v>
      </c>
      <c r="B2255" s="102" t="str">
        <f>"52.02"</f>
        <v>52.02</v>
      </c>
      <c r="C2255" s="101" t="s">
        <v>5577</v>
      </c>
      <c r="D2255" s="101" t="s">
        <v>5578</v>
      </c>
      <c r="E2255" s="79"/>
    </row>
    <row r="2256" spans="1:5" ht="14.85" customHeight="1" outlineLevel="1" x14ac:dyDescent="0.25">
      <c r="A2256" s="101" t="s">
        <v>1502</v>
      </c>
      <c r="B2256" s="102" t="str">
        <f>"52.0201"</f>
        <v>52.0201</v>
      </c>
      <c r="C2256" s="101" t="s">
        <v>5579</v>
      </c>
      <c r="D2256" s="101" t="s">
        <v>5580</v>
      </c>
      <c r="E2256" s="79"/>
    </row>
    <row r="2257" spans="1:5" ht="14.85" customHeight="1" outlineLevel="1" x14ac:dyDescent="0.25">
      <c r="A2257" s="101" t="s">
        <v>1502</v>
      </c>
      <c r="B2257" s="102" t="str">
        <f>"52.0202"</f>
        <v>52.0202</v>
      </c>
      <c r="C2257" s="101" t="s">
        <v>5581</v>
      </c>
      <c r="D2257" s="101" t="s">
        <v>5582</v>
      </c>
      <c r="E2257" s="79"/>
    </row>
    <row r="2258" spans="1:5" ht="14.85" customHeight="1" outlineLevel="1" x14ac:dyDescent="0.25">
      <c r="A2258" s="101" t="s">
        <v>1502</v>
      </c>
      <c r="B2258" s="102" t="str">
        <f>"52.0203"</f>
        <v>52.0203</v>
      </c>
      <c r="C2258" s="101" t="s">
        <v>5583</v>
      </c>
      <c r="D2258" s="101" t="s">
        <v>5584</v>
      </c>
      <c r="E2258" s="79"/>
    </row>
    <row r="2259" spans="1:5" ht="14.85" customHeight="1" outlineLevel="1" x14ac:dyDescent="0.25">
      <c r="A2259" s="101" t="s">
        <v>1502</v>
      </c>
      <c r="B2259" s="102" t="str">
        <f>"52.0204"</f>
        <v>52.0204</v>
      </c>
      <c r="C2259" s="101" t="s">
        <v>5585</v>
      </c>
      <c r="D2259" s="101" t="s">
        <v>5586</v>
      </c>
      <c r="E2259" s="79"/>
    </row>
    <row r="2260" spans="1:5" ht="14.85" customHeight="1" outlineLevel="1" x14ac:dyDescent="0.25">
      <c r="A2260" s="101" t="s">
        <v>1502</v>
      </c>
      <c r="B2260" s="102" t="str">
        <f>"52.0205"</f>
        <v>52.0205</v>
      </c>
      <c r="C2260" s="101" t="s">
        <v>5587</v>
      </c>
      <c r="D2260" s="101" t="s">
        <v>5588</v>
      </c>
      <c r="E2260" s="79"/>
    </row>
    <row r="2261" spans="1:5" ht="14.85" customHeight="1" outlineLevel="1" x14ac:dyDescent="0.25">
      <c r="A2261" s="101" t="s">
        <v>1502</v>
      </c>
      <c r="B2261" s="102" t="str">
        <f>"52.0206"</f>
        <v>52.0206</v>
      </c>
      <c r="C2261" s="101" t="s">
        <v>5589</v>
      </c>
      <c r="D2261" s="101" t="s">
        <v>5590</v>
      </c>
      <c r="E2261" s="79"/>
    </row>
    <row r="2262" spans="1:5" ht="14.85" customHeight="1" outlineLevel="1" x14ac:dyDescent="0.25">
      <c r="A2262" s="101" t="s">
        <v>1502</v>
      </c>
      <c r="B2262" s="102" t="str">
        <f>"52.0207"</f>
        <v>52.0207</v>
      </c>
      <c r="C2262" s="101" t="s">
        <v>5591</v>
      </c>
      <c r="D2262" s="101" t="s">
        <v>5592</v>
      </c>
      <c r="E2262" s="79"/>
    </row>
    <row r="2263" spans="1:5" ht="14.85" customHeight="1" outlineLevel="1" x14ac:dyDescent="0.25">
      <c r="A2263" s="101" t="s">
        <v>1502</v>
      </c>
      <c r="B2263" s="102" t="str">
        <f>"52.0208"</f>
        <v>52.0208</v>
      </c>
      <c r="C2263" s="101" t="s">
        <v>5593</v>
      </c>
      <c r="D2263" s="101" t="s">
        <v>5594</v>
      </c>
      <c r="E2263" s="79"/>
    </row>
    <row r="2264" spans="1:5" ht="14.85" customHeight="1" outlineLevel="1" x14ac:dyDescent="0.25">
      <c r="A2264" s="101" t="s">
        <v>1502</v>
      </c>
      <c r="B2264" s="102" t="str">
        <f>"52.0209"</f>
        <v>52.0209</v>
      </c>
      <c r="C2264" s="101" t="s">
        <v>5595</v>
      </c>
      <c r="D2264" s="101" t="s">
        <v>5596</v>
      </c>
      <c r="E2264" s="79"/>
    </row>
    <row r="2265" spans="1:5" ht="14.85" customHeight="1" outlineLevel="1" x14ac:dyDescent="0.25">
      <c r="A2265" s="101" t="s">
        <v>1502</v>
      </c>
      <c r="B2265" s="102" t="str">
        <f>"52.0210"</f>
        <v>52.0210</v>
      </c>
      <c r="C2265" s="101" t="s">
        <v>5597</v>
      </c>
      <c r="D2265" s="101" t="s">
        <v>5598</v>
      </c>
      <c r="E2265" s="79"/>
    </row>
    <row r="2266" spans="1:5" ht="14.85" customHeight="1" outlineLevel="1" x14ac:dyDescent="0.25">
      <c r="A2266" s="101" t="s">
        <v>1502</v>
      </c>
      <c r="B2266" s="102" t="str">
        <f>"52.0211"</f>
        <v>52.0211</v>
      </c>
      <c r="C2266" s="101" t="s">
        <v>5599</v>
      </c>
      <c r="D2266" s="101" t="s">
        <v>5600</v>
      </c>
      <c r="E2266" s="79"/>
    </row>
    <row r="2267" spans="1:5" ht="14.85" customHeight="1" outlineLevel="1" x14ac:dyDescent="0.25">
      <c r="A2267" s="101" t="s">
        <v>1502</v>
      </c>
      <c r="B2267" s="102" t="str">
        <f>"52.0212"</f>
        <v>52.0212</v>
      </c>
      <c r="C2267" s="101" t="s">
        <v>5601</v>
      </c>
      <c r="D2267" s="101" t="s">
        <v>5602</v>
      </c>
      <c r="E2267" s="79"/>
    </row>
    <row r="2268" spans="1:5" ht="14.85" customHeight="1" outlineLevel="1" x14ac:dyDescent="0.25">
      <c r="A2268" s="101" t="s">
        <v>1502</v>
      </c>
      <c r="B2268" s="102" t="str">
        <f>"52.0213"</f>
        <v>52.0213</v>
      </c>
      <c r="C2268" s="101" t="s">
        <v>5603</v>
      </c>
      <c r="D2268" s="101" t="s">
        <v>5604</v>
      </c>
      <c r="E2268" s="79"/>
    </row>
    <row r="2269" spans="1:5" ht="14.85" customHeight="1" outlineLevel="1" x14ac:dyDescent="0.25">
      <c r="A2269" s="101" t="s">
        <v>1502</v>
      </c>
      <c r="B2269" s="102" t="str">
        <f>"52.0214"</f>
        <v>52.0214</v>
      </c>
      <c r="C2269" s="101" t="s">
        <v>5605</v>
      </c>
      <c r="D2269" s="101" t="s">
        <v>5606</v>
      </c>
      <c r="E2269" s="79"/>
    </row>
    <row r="2270" spans="1:5" ht="14.85" customHeight="1" outlineLevel="1" x14ac:dyDescent="0.25">
      <c r="A2270" s="101" t="s">
        <v>1502</v>
      </c>
      <c r="B2270" s="102" t="str">
        <f>"52.0215"</f>
        <v>52.0215</v>
      </c>
      <c r="C2270" s="101" t="s">
        <v>5607</v>
      </c>
      <c r="D2270" s="101" t="s">
        <v>5608</v>
      </c>
      <c r="E2270" s="79"/>
    </row>
    <row r="2271" spans="1:5" ht="14.85" customHeight="1" outlineLevel="1" x14ac:dyDescent="0.25">
      <c r="A2271" s="101" t="s">
        <v>1502</v>
      </c>
      <c r="B2271" s="102" t="str">
        <f>"52.0216"</f>
        <v>52.0216</v>
      </c>
      <c r="C2271" s="101" t="s">
        <v>5609</v>
      </c>
      <c r="D2271" s="101" t="s">
        <v>5610</v>
      </c>
      <c r="E2271" s="79"/>
    </row>
    <row r="2272" spans="1:5" ht="14.85" customHeight="1" outlineLevel="1" x14ac:dyDescent="0.25">
      <c r="A2272" s="101" t="s">
        <v>1502</v>
      </c>
      <c r="B2272" s="102" t="str">
        <f>"52.0299"</f>
        <v>52.0299</v>
      </c>
      <c r="C2272" s="101" t="s">
        <v>5611</v>
      </c>
      <c r="D2272" s="101" t="s">
        <v>5612</v>
      </c>
      <c r="E2272" s="79"/>
    </row>
    <row r="2273" spans="1:5" ht="14.85" customHeight="1" outlineLevel="1" x14ac:dyDescent="0.25">
      <c r="A2273" s="101" t="s">
        <v>1502</v>
      </c>
      <c r="B2273" s="102" t="str">
        <f>"52.03"</f>
        <v>52.03</v>
      </c>
      <c r="C2273" s="101" t="s">
        <v>5613</v>
      </c>
      <c r="D2273" s="101" t="s">
        <v>5614</v>
      </c>
      <c r="E2273" s="79"/>
    </row>
    <row r="2274" spans="1:5" ht="14.85" customHeight="1" outlineLevel="1" x14ac:dyDescent="0.25">
      <c r="A2274" s="101" t="s">
        <v>1502</v>
      </c>
      <c r="B2274" s="102" t="str">
        <f>"52.0301"</f>
        <v>52.0301</v>
      </c>
      <c r="C2274" s="101" t="s">
        <v>5615</v>
      </c>
      <c r="D2274" s="101" t="s">
        <v>5616</v>
      </c>
      <c r="E2274" s="79"/>
    </row>
    <row r="2275" spans="1:5" ht="14.85" customHeight="1" outlineLevel="1" x14ac:dyDescent="0.25">
      <c r="A2275" s="101" t="s">
        <v>1502</v>
      </c>
      <c r="B2275" s="102" t="str">
        <f>"52.0302"</f>
        <v>52.0302</v>
      </c>
      <c r="C2275" s="101" t="s">
        <v>5617</v>
      </c>
      <c r="D2275" s="101" t="s">
        <v>5618</v>
      </c>
      <c r="E2275" s="79"/>
    </row>
    <row r="2276" spans="1:5" ht="14.85" customHeight="1" outlineLevel="1" x14ac:dyDescent="0.25">
      <c r="A2276" s="101" t="s">
        <v>1502</v>
      </c>
      <c r="B2276" s="102" t="str">
        <f>"52.0303"</f>
        <v>52.0303</v>
      </c>
      <c r="C2276" s="101" t="s">
        <v>5619</v>
      </c>
      <c r="D2276" s="101" t="s">
        <v>5620</v>
      </c>
      <c r="E2276" s="79"/>
    </row>
    <row r="2277" spans="1:5" ht="14.85" customHeight="1" outlineLevel="1" x14ac:dyDescent="0.25">
      <c r="A2277" s="101" t="s">
        <v>1502</v>
      </c>
      <c r="B2277" s="102" t="str">
        <f>"52.0304"</f>
        <v>52.0304</v>
      </c>
      <c r="C2277" s="101" t="s">
        <v>5621</v>
      </c>
      <c r="D2277" s="101" t="s">
        <v>5622</v>
      </c>
      <c r="E2277" s="79"/>
    </row>
    <row r="2278" spans="1:5" ht="14.85" customHeight="1" outlineLevel="1" x14ac:dyDescent="0.25">
      <c r="A2278" s="101" t="s">
        <v>1502</v>
      </c>
      <c r="B2278" s="102" t="str">
        <f>"52.0305"</f>
        <v>52.0305</v>
      </c>
      <c r="C2278" s="101" t="s">
        <v>5623</v>
      </c>
      <c r="D2278" s="101" t="s">
        <v>5624</v>
      </c>
      <c r="E2278" s="79"/>
    </row>
    <row r="2279" spans="1:5" ht="14.85" customHeight="1" outlineLevel="1" x14ac:dyDescent="0.25">
      <c r="A2279" s="101" t="s">
        <v>1502</v>
      </c>
      <c r="B2279" s="102" t="str">
        <f>"52.0399"</f>
        <v>52.0399</v>
      </c>
      <c r="C2279" s="101" t="s">
        <v>5625</v>
      </c>
      <c r="D2279" s="101" t="s">
        <v>5626</v>
      </c>
      <c r="E2279" s="79"/>
    </row>
    <row r="2280" spans="1:5" ht="14.85" customHeight="1" outlineLevel="1" x14ac:dyDescent="0.25">
      <c r="A2280" s="101" t="s">
        <v>1502</v>
      </c>
      <c r="B2280" s="102" t="str">
        <f>"52.04"</f>
        <v>52.04</v>
      </c>
      <c r="C2280" s="101" t="s">
        <v>5627</v>
      </c>
      <c r="D2280" s="101" t="s">
        <v>5628</v>
      </c>
      <c r="E2280" s="79"/>
    </row>
    <row r="2281" spans="1:5" ht="14.85" customHeight="1" outlineLevel="1" x14ac:dyDescent="0.25">
      <c r="A2281" s="101" t="s">
        <v>1502</v>
      </c>
      <c r="B2281" s="102" t="str">
        <f>"52.0401"</f>
        <v>52.0401</v>
      </c>
      <c r="C2281" s="101" t="s">
        <v>5629</v>
      </c>
      <c r="D2281" s="101" t="s">
        <v>5630</v>
      </c>
      <c r="E2281" s="79"/>
    </row>
    <row r="2282" spans="1:5" ht="14.85" customHeight="1" outlineLevel="1" x14ac:dyDescent="0.25">
      <c r="A2282" s="101" t="s">
        <v>1502</v>
      </c>
      <c r="B2282" s="102" t="str">
        <f>"52.0402"</f>
        <v>52.0402</v>
      </c>
      <c r="C2282" s="101" t="s">
        <v>5631</v>
      </c>
      <c r="D2282" s="101" t="s">
        <v>5632</v>
      </c>
      <c r="E2282" s="79"/>
    </row>
    <row r="2283" spans="1:5" ht="14.85" customHeight="1" outlineLevel="1" x14ac:dyDescent="0.25">
      <c r="A2283" s="101" t="s">
        <v>1502</v>
      </c>
      <c r="B2283" s="102" t="str">
        <f>"52.0406"</f>
        <v>52.0406</v>
      </c>
      <c r="C2283" s="101" t="s">
        <v>5633</v>
      </c>
      <c r="D2283" s="101" t="s">
        <v>5634</v>
      </c>
      <c r="E2283" s="79"/>
    </row>
    <row r="2284" spans="1:5" ht="14.85" customHeight="1" outlineLevel="1" x14ac:dyDescent="0.25">
      <c r="A2284" s="101" t="s">
        <v>1502</v>
      </c>
      <c r="B2284" s="102" t="str">
        <f>"52.0407"</f>
        <v>52.0407</v>
      </c>
      <c r="C2284" s="101" t="s">
        <v>5635</v>
      </c>
      <c r="D2284" s="101" t="s">
        <v>5636</v>
      </c>
      <c r="E2284" s="79"/>
    </row>
    <row r="2285" spans="1:5" ht="14.85" customHeight="1" outlineLevel="1" x14ac:dyDescent="0.25">
      <c r="A2285" s="101" t="s">
        <v>1502</v>
      </c>
      <c r="B2285" s="102" t="str">
        <f>"52.0408"</f>
        <v>52.0408</v>
      </c>
      <c r="C2285" s="101" t="s">
        <v>5637</v>
      </c>
      <c r="D2285" s="101" t="s">
        <v>5638</v>
      </c>
      <c r="E2285" s="79"/>
    </row>
    <row r="2286" spans="1:5" ht="14.85" customHeight="1" outlineLevel="1" x14ac:dyDescent="0.25">
      <c r="A2286" s="101" t="s">
        <v>1502</v>
      </c>
      <c r="B2286" s="102" t="str">
        <f>"52.0409"</f>
        <v>52.0409</v>
      </c>
      <c r="C2286" s="101" t="s">
        <v>5639</v>
      </c>
      <c r="D2286" s="101" t="s">
        <v>5640</v>
      </c>
      <c r="E2286" s="79"/>
    </row>
    <row r="2287" spans="1:5" ht="14.85" customHeight="1" outlineLevel="1" x14ac:dyDescent="0.25">
      <c r="A2287" s="101" t="s">
        <v>1502</v>
      </c>
      <c r="B2287" s="102" t="str">
        <f>"52.0410"</f>
        <v>52.0410</v>
      </c>
      <c r="C2287" s="101" t="s">
        <v>5641</v>
      </c>
      <c r="D2287" s="101" t="s">
        <v>5642</v>
      </c>
      <c r="E2287" s="79"/>
    </row>
    <row r="2288" spans="1:5" ht="14.85" customHeight="1" outlineLevel="1" x14ac:dyDescent="0.25">
      <c r="A2288" s="101" t="s">
        <v>1502</v>
      </c>
      <c r="B2288" s="102" t="str">
        <f>"52.0411"</f>
        <v>52.0411</v>
      </c>
      <c r="C2288" s="101" t="s">
        <v>5643</v>
      </c>
      <c r="D2288" s="101" t="s">
        <v>5644</v>
      </c>
      <c r="E2288" s="79"/>
    </row>
    <row r="2289" spans="1:5" ht="14.85" customHeight="1" outlineLevel="1" x14ac:dyDescent="0.25">
      <c r="A2289" s="101" t="s">
        <v>1502</v>
      </c>
      <c r="B2289" s="102" t="str">
        <f>"52.0499"</f>
        <v>52.0499</v>
      </c>
      <c r="C2289" s="101" t="s">
        <v>5645</v>
      </c>
      <c r="D2289" s="101" t="s">
        <v>5646</v>
      </c>
      <c r="E2289" s="79"/>
    </row>
    <row r="2290" spans="1:5" ht="14.85" customHeight="1" outlineLevel="1" x14ac:dyDescent="0.25">
      <c r="A2290" s="101" t="s">
        <v>1502</v>
      </c>
      <c r="B2290" s="102" t="str">
        <f>"52.05"</f>
        <v>52.05</v>
      </c>
      <c r="C2290" s="101" t="s">
        <v>5647</v>
      </c>
      <c r="D2290" s="101" t="s">
        <v>5648</v>
      </c>
      <c r="E2290" s="79"/>
    </row>
    <row r="2291" spans="1:5" ht="14.85" customHeight="1" outlineLevel="1" x14ac:dyDescent="0.25">
      <c r="A2291" s="101" t="s">
        <v>1502</v>
      </c>
      <c r="B2291" s="102" t="str">
        <f>"52.0501"</f>
        <v>52.0501</v>
      </c>
      <c r="C2291" s="101" t="s">
        <v>5649</v>
      </c>
      <c r="D2291" s="101" t="s">
        <v>5650</v>
      </c>
      <c r="E2291" s="79"/>
    </row>
    <row r="2292" spans="1:5" ht="14.85" customHeight="1" outlineLevel="1" x14ac:dyDescent="0.25">
      <c r="A2292" s="101" t="s">
        <v>1502</v>
      </c>
      <c r="B2292" s="102" t="str">
        <f>"52.0502"</f>
        <v>52.0502</v>
      </c>
      <c r="C2292" s="101" t="s">
        <v>5651</v>
      </c>
      <c r="D2292" s="101" t="s">
        <v>5652</v>
      </c>
      <c r="E2292" s="79"/>
    </row>
    <row r="2293" spans="1:5" ht="14.85" customHeight="1" outlineLevel="1" x14ac:dyDescent="0.25">
      <c r="A2293" s="101" t="s">
        <v>1502</v>
      </c>
      <c r="B2293" s="102" t="str">
        <f>"52.0599"</f>
        <v>52.0599</v>
      </c>
      <c r="C2293" s="101" t="s">
        <v>5653</v>
      </c>
      <c r="D2293" s="101" t="s">
        <v>5654</v>
      </c>
      <c r="E2293" s="79"/>
    </row>
    <row r="2294" spans="1:5" ht="14.85" customHeight="1" outlineLevel="1" x14ac:dyDescent="0.25">
      <c r="A2294" s="101" t="s">
        <v>1502</v>
      </c>
      <c r="B2294" s="102" t="str">
        <f>"52.06"</f>
        <v>52.06</v>
      </c>
      <c r="C2294" s="101" t="s">
        <v>5655</v>
      </c>
      <c r="D2294" s="101" t="s">
        <v>5656</v>
      </c>
      <c r="E2294" s="79"/>
    </row>
    <row r="2295" spans="1:5" ht="14.85" customHeight="1" outlineLevel="1" x14ac:dyDescent="0.25">
      <c r="A2295" s="101" t="s">
        <v>1502</v>
      </c>
      <c r="B2295" s="102" t="str">
        <f>"52.0601"</f>
        <v>52.0601</v>
      </c>
      <c r="C2295" s="101" t="s">
        <v>5655</v>
      </c>
      <c r="D2295" s="101" t="s">
        <v>5657</v>
      </c>
      <c r="E2295" s="79"/>
    </row>
    <row r="2296" spans="1:5" ht="14.85" customHeight="1" outlineLevel="1" x14ac:dyDescent="0.25">
      <c r="A2296" s="101" t="s">
        <v>1502</v>
      </c>
      <c r="B2296" s="102" t="str">
        <f>"52.07"</f>
        <v>52.07</v>
      </c>
      <c r="C2296" s="101" t="s">
        <v>5658</v>
      </c>
      <c r="D2296" s="101" t="s">
        <v>5659</v>
      </c>
      <c r="E2296" s="79"/>
    </row>
    <row r="2297" spans="1:5" ht="14.85" customHeight="1" outlineLevel="1" x14ac:dyDescent="0.25">
      <c r="A2297" s="101" t="s">
        <v>1502</v>
      </c>
      <c r="B2297" s="102" t="str">
        <f>"52.0701"</f>
        <v>52.0701</v>
      </c>
      <c r="C2297" s="101" t="s">
        <v>5660</v>
      </c>
      <c r="D2297" s="101" t="s">
        <v>5661</v>
      </c>
      <c r="E2297" s="79"/>
    </row>
    <row r="2298" spans="1:5" ht="14.85" customHeight="1" outlineLevel="1" x14ac:dyDescent="0.25">
      <c r="A2298" s="101" t="s">
        <v>1502</v>
      </c>
      <c r="B2298" s="102" t="str">
        <f>"52.0702"</f>
        <v>52.0702</v>
      </c>
      <c r="C2298" s="101" t="s">
        <v>5662</v>
      </c>
      <c r="D2298" s="101" t="s">
        <v>5663</v>
      </c>
      <c r="E2298" s="79"/>
    </row>
    <row r="2299" spans="1:5" ht="14.85" customHeight="1" outlineLevel="1" x14ac:dyDescent="0.25">
      <c r="A2299" s="101" t="s">
        <v>1502</v>
      </c>
      <c r="B2299" s="102" t="str">
        <f>"52.0703"</f>
        <v>52.0703</v>
      </c>
      <c r="C2299" s="101" t="s">
        <v>5664</v>
      </c>
      <c r="D2299" s="101" t="s">
        <v>5665</v>
      </c>
      <c r="E2299" s="79"/>
    </row>
    <row r="2300" spans="1:5" ht="14.85" customHeight="1" outlineLevel="1" x14ac:dyDescent="0.25">
      <c r="A2300" s="101" t="s">
        <v>1502</v>
      </c>
      <c r="B2300" s="102" t="str">
        <f>"52.0704"</f>
        <v>52.0704</v>
      </c>
      <c r="C2300" s="101" t="s">
        <v>5666</v>
      </c>
      <c r="D2300" s="101" t="s">
        <v>5667</v>
      </c>
      <c r="E2300" s="79"/>
    </row>
    <row r="2301" spans="1:5" ht="14.85" customHeight="1" outlineLevel="1" x14ac:dyDescent="0.25">
      <c r="A2301" s="101" t="s">
        <v>1502</v>
      </c>
      <c r="B2301" s="102" t="str">
        <f>"52.0799"</f>
        <v>52.0799</v>
      </c>
      <c r="C2301" s="101" t="s">
        <v>5668</v>
      </c>
      <c r="D2301" s="101" t="s">
        <v>5669</v>
      </c>
      <c r="E2301" s="79"/>
    </row>
    <row r="2302" spans="1:5" ht="14.85" customHeight="1" outlineLevel="1" x14ac:dyDescent="0.25">
      <c r="A2302" s="101" t="s">
        <v>1502</v>
      </c>
      <c r="B2302" s="102" t="str">
        <f>"52.08"</f>
        <v>52.08</v>
      </c>
      <c r="C2302" s="101" t="s">
        <v>5670</v>
      </c>
      <c r="D2302" s="101" t="s">
        <v>5671</v>
      </c>
      <c r="E2302" s="79"/>
    </row>
    <row r="2303" spans="1:5" ht="14.85" customHeight="1" outlineLevel="1" x14ac:dyDescent="0.25">
      <c r="A2303" s="101" t="s">
        <v>1502</v>
      </c>
      <c r="B2303" s="102" t="str">
        <f>"52.0801"</f>
        <v>52.0801</v>
      </c>
      <c r="C2303" s="101" t="s">
        <v>5672</v>
      </c>
      <c r="D2303" s="101" t="s">
        <v>5673</v>
      </c>
      <c r="E2303" s="79"/>
    </row>
    <row r="2304" spans="1:5" ht="14.85" customHeight="1" outlineLevel="1" x14ac:dyDescent="0.25">
      <c r="A2304" s="101" t="s">
        <v>1502</v>
      </c>
      <c r="B2304" s="102" t="str">
        <f>"52.0803"</f>
        <v>52.0803</v>
      </c>
      <c r="C2304" s="101" t="s">
        <v>5674</v>
      </c>
      <c r="D2304" s="101" t="s">
        <v>5675</v>
      </c>
      <c r="E2304" s="79"/>
    </row>
    <row r="2305" spans="1:5" ht="14.85" customHeight="1" outlineLevel="1" x14ac:dyDescent="0.25">
      <c r="A2305" s="101" t="s">
        <v>1502</v>
      </c>
      <c r="B2305" s="102" t="str">
        <f>"52.0804"</f>
        <v>52.0804</v>
      </c>
      <c r="C2305" s="101" t="s">
        <v>5676</v>
      </c>
      <c r="D2305" s="101" t="s">
        <v>5677</v>
      </c>
      <c r="E2305" s="79"/>
    </row>
    <row r="2306" spans="1:5" ht="14.85" customHeight="1" outlineLevel="1" x14ac:dyDescent="0.25">
      <c r="A2306" s="101" t="s">
        <v>1502</v>
      </c>
      <c r="B2306" s="102" t="str">
        <f>"52.0806"</f>
        <v>52.0806</v>
      </c>
      <c r="C2306" s="101" t="s">
        <v>5678</v>
      </c>
      <c r="D2306" s="101" t="s">
        <v>5679</v>
      </c>
      <c r="E2306" s="79"/>
    </row>
    <row r="2307" spans="1:5" ht="14.85" customHeight="1" outlineLevel="1" x14ac:dyDescent="0.25">
      <c r="A2307" s="101" t="s">
        <v>1502</v>
      </c>
      <c r="B2307" s="102" t="str">
        <f>"52.0807"</f>
        <v>52.0807</v>
      </c>
      <c r="C2307" s="101" t="s">
        <v>5680</v>
      </c>
      <c r="D2307" s="101" t="s">
        <v>5681</v>
      </c>
      <c r="E2307" s="79"/>
    </row>
    <row r="2308" spans="1:5" ht="14.85" customHeight="1" outlineLevel="1" x14ac:dyDescent="0.25">
      <c r="A2308" s="101" t="s">
        <v>1502</v>
      </c>
      <c r="B2308" s="102" t="str">
        <f>"52.0808"</f>
        <v>52.0808</v>
      </c>
      <c r="C2308" s="101" t="s">
        <v>5682</v>
      </c>
      <c r="D2308" s="101" t="s">
        <v>5683</v>
      </c>
      <c r="E2308" s="79"/>
    </row>
    <row r="2309" spans="1:5" ht="14.85" customHeight="1" outlineLevel="1" x14ac:dyDescent="0.25">
      <c r="A2309" s="101" t="s">
        <v>1502</v>
      </c>
      <c r="B2309" s="102" t="str">
        <f>"52.0809"</f>
        <v>52.0809</v>
      </c>
      <c r="C2309" s="101" t="s">
        <v>5684</v>
      </c>
      <c r="D2309" s="101" t="s">
        <v>5685</v>
      </c>
      <c r="E2309" s="79"/>
    </row>
    <row r="2310" spans="1:5" ht="14.85" customHeight="1" outlineLevel="1" x14ac:dyDescent="0.25">
      <c r="A2310" s="101" t="s">
        <v>1502</v>
      </c>
      <c r="B2310" s="102" t="str">
        <f>"52.0810"</f>
        <v>52.0810</v>
      </c>
      <c r="C2310" s="101" t="s">
        <v>5686</v>
      </c>
      <c r="D2310" s="101" t="s">
        <v>5687</v>
      </c>
      <c r="E2310" s="79"/>
    </row>
    <row r="2311" spans="1:5" ht="14.85" customHeight="1" outlineLevel="1" x14ac:dyDescent="0.25">
      <c r="A2311" s="101" t="s">
        <v>1502</v>
      </c>
      <c r="B2311" s="102" t="str">
        <f>"52.0899"</f>
        <v>52.0899</v>
      </c>
      <c r="C2311" s="101" t="s">
        <v>5688</v>
      </c>
      <c r="D2311" s="101" t="s">
        <v>5689</v>
      </c>
      <c r="E2311" s="79"/>
    </row>
    <row r="2312" spans="1:5" ht="14.85" customHeight="1" outlineLevel="1" x14ac:dyDescent="0.25">
      <c r="A2312" s="101" t="s">
        <v>1502</v>
      </c>
      <c r="B2312" s="102" t="str">
        <f>"52.09"</f>
        <v>52.09</v>
      </c>
      <c r="C2312" s="101" t="s">
        <v>5690</v>
      </c>
      <c r="D2312" s="101" t="s">
        <v>5691</v>
      </c>
      <c r="E2312" s="79"/>
    </row>
    <row r="2313" spans="1:5" ht="14.85" customHeight="1" outlineLevel="1" x14ac:dyDescent="0.25">
      <c r="A2313" s="101" t="s">
        <v>1502</v>
      </c>
      <c r="B2313" s="102" t="str">
        <f>"52.0901"</f>
        <v>52.0901</v>
      </c>
      <c r="C2313" s="101" t="s">
        <v>5692</v>
      </c>
      <c r="D2313" s="101" t="s">
        <v>5693</v>
      </c>
      <c r="E2313" s="79"/>
    </row>
    <row r="2314" spans="1:5" ht="14.85" customHeight="1" outlineLevel="1" x14ac:dyDescent="0.25">
      <c r="A2314" s="101" t="s">
        <v>1502</v>
      </c>
      <c r="B2314" s="102" t="str">
        <f>"52.0903"</f>
        <v>52.0903</v>
      </c>
      <c r="C2314" s="101" t="s">
        <v>5694</v>
      </c>
      <c r="D2314" s="101" t="s">
        <v>5695</v>
      </c>
      <c r="E2314" s="79"/>
    </row>
    <row r="2315" spans="1:5" ht="14.85" customHeight="1" outlineLevel="1" x14ac:dyDescent="0.25">
      <c r="A2315" s="101" t="s">
        <v>1502</v>
      </c>
      <c r="B2315" s="102" t="str">
        <f>"52.0904"</f>
        <v>52.0904</v>
      </c>
      <c r="C2315" s="101" t="s">
        <v>5696</v>
      </c>
      <c r="D2315" s="101" t="s">
        <v>5697</v>
      </c>
      <c r="E2315" s="79"/>
    </row>
    <row r="2316" spans="1:5" ht="14.85" customHeight="1" outlineLevel="1" x14ac:dyDescent="0.25">
      <c r="A2316" s="101" t="s">
        <v>1502</v>
      </c>
      <c r="B2316" s="102" t="str">
        <f>"52.0905"</f>
        <v>52.0905</v>
      </c>
      <c r="C2316" s="101" t="s">
        <v>5698</v>
      </c>
      <c r="D2316" s="101" t="s">
        <v>5699</v>
      </c>
      <c r="E2316" s="79"/>
    </row>
    <row r="2317" spans="1:5" ht="14.85" customHeight="1" outlineLevel="1" x14ac:dyDescent="0.25">
      <c r="A2317" s="101" t="s">
        <v>1502</v>
      </c>
      <c r="B2317" s="102" t="str">
        <f>"52.0906"</f>
        <v>52.0906</v>
      </c>
      <c r="C2317" s="101" t="s">
        <v>5700</v>
      </c>
      <c r="D2317" s="101" t="s">
        <v>5701</v>
      </c>
      <c r="E2317" s="79"/>
    </row>
    <row r="2318" spans="1:5" ht="14.85" customHeight="1" outlineLevel="1" x14ac:dyDescent="0.25">
      <c r="A2318" s="101" t="s">
        <v>1502</v>
      </c>
      <c r="B2318" s="102" t="str">
        <f>"52.0907"</f>
        <v>52.0907</v>
      </c>
      <c r="C2318" s="101" t="s">
        <v>5702</v>
      </c>
      <c r="D2318" s="101" t="s">
        <v>5703</v>
      </c>
      <c r="E2318" s="79"/>
    </row>
    <row r="2319" spans="1:5" ht="14.85" customHeight="1" outlineLevel="1" x14ac:dyDescent="0.25">
      <c r="A2319" s="101" t="s">
        <v>1502</v>
      </c>
      <c r="B2319" s="102" t="str">
        <f>"52.0908"</f>
        <v>52.0908</v>
      </c>
      <c r="C2319" s="101" t="s">
        <v>5704</v>
      </c>
      <c r="D2319" s="101" t="s">
        <v>5705</v>
      </c>
      <c r="E2319" s="79"/>
    </row>
    <row r="2320" spans="1:5" ht="14.85" customHeight="1" outlineLevel="1" x14ac:dyDescent="0.25">
      <c r="A2320" s="101" t="s">
        <v>1502</v>
      </c>
      <c r="B2320" s="102" t="str">
        <f>"52.0909"</f>
        <v>52.0909</v>
      </c>
      <c r="C2320" s="101" t="s">
        <v>5706</v>
      </c>
      <c r="D2320" s="101" t="s">
        <v>5707</v>
      </c>
      <c r="E2320" s="79"/>
    </row>
    <row r="2321" spans="1:5" ht="14.85" customHeight="1" outlineLevel="1" x14ac:dyDescent="0.25">
      <c r="A2321" s="101" t="s">
        <v>1502</v>
      </c>
      <c r="B2321" s="102" t="str">
        <f>"52.0910"</f>
        <v>52.0910</v>
      </c>
      <c r="C2321" s="101" t="s">
        <v>5708</v>
      </c>
      <c r="D2321" s="101" t="s">
        <v>5709</v>
      </c>
      <c r="E2321" s="79"/>
    </row>
    <row r="2322" spans="1:5" ht="14.85" customHeight="1" outlineLevel="1" x14ac:dyDescent="0.25">
      <c r="A2322" s="101" t="s">
        <v>1502</v>
      </c>
      <c r="B2322" s="102" t="str">
        <f>"52.0999"</f>
        <v>52.0999</v>
      </c>
      <c r="C2322" s="101" t="s">
        <v>5710</v>
      </c>
      <c r="D2322" s="101" t="s">
        <v>5711</v>
      </c>
      <c r="E2322" s="79"/>
    </row>
    <row r="2323" spans="1:5" ht="14.85" customHeight="1" outlineLevel="1" x14ac:dyDescent="0.25">
      <c r="A2323" s="101" t="s">
        <v>1502</v>
      </c>
      <c r="B2323" s="102" t="str">
        <f>"52.10"</f>
        <v>52.10</v>
      </c>
      <c r="C2323" s="101" t="s">
        <v>5712</v>
      </c>
      <c r="D2323" s="101" t="s">
        <v>5713</v>
      </c>
      <c r="E2323" s="79"/>
    </row>
    <row r="2324" spans="1:5" ht="14.85" customHeight="1" outlineLevel="1" x14ac:dyDescent="0.25">
      <c r="A2324" s="101" t="s">
        <v>1502</v>
      </c>
      <c r="B2324" s="102" t="str">
        <f>"52.1001"</f>
        <v>52.1001</v>
      </c>
      <c r="C2324" s="101" t="s">
        <v>5714</v>
      </c>
      <c r="D2324" s="101" t="s">
        <v>5715</v>
      </c>
      <c r="E2324" s="79"/>
    </row>
    <row r="2325" spans="1:5" ht="14.85" customHeight="1" outlineLevel="1" x14ac:dyDescent="0.25">
      <c r="A2325" s="101" t="s">
        <v>1502</v>
      </c>
      <c r="B2325" s="102" t="str">
        <f>"52.1002"</f>
        <v>52.1002</v>
      </c>
      <c r="C2325" s="101" t="s">
        <v>5716</v>
      </c>
      <c r="D2325" s="101" t="s">
        <v>5717</v>
      </c>
      <c r="E2325" s="79"/>
    </row>
    <row r="2326" spans="1:5" ht="14.85" customHeight="1" outlineLevel="1" x14ac:dyDescent="0.25">
      <c r="A2326" s="101" t="s">
        <v>1502</v>
      </c>
      <c r="B2326" s="102" t="str">
        <f>"52.1003"</f>
        <v>52.1003</v>
      </c>
      <c r="C2326" s="101" t="s">
        <v>5718</v>
      </c>
      <c r="D2326" s="101" t="s">
        <v>5719</v>
      </c>
      <c r="E2326" s="79"/>
    </row>
    <row r="2327" spans="1:5" ht="14.85" customHeight="1" outlineLevel="1" x14ac:dyDescent="0.25">
      <c r="A2327" s="101" t="s">
        <v>1502</v>
      </c>
      <c r="B2327" s="102" t="str">
        <f>"52.1004"</f>
        <v>52.1004</v>
      </c>
      <c r="C2327" s="101" t="s">
        <v>5720</v>
      </c>
      <c r="D2327" s="101" t="s">
        <v>5721</v>
      </c>
      <c r="E2327" s="79"/>
    </row>
    <row r="2328" spans="1:5" ht="14.85" customHeight="1" outlineLevel="1" x14ac:dyDescent="0.25">
      <c r="A2328" s="101" t="s">
        <v>1502</v>
      </c>
      <c r="B2328" s="102" t="str">
        <f>"52.1005"</f>
        <v>52.1005</v>
      </c>
      <c r="C2328" s="101" t="s">
        <v>5722</v>
      </c>
      <c r="D2328" s="101" t="s">
        <v>5723</v>
      </c>
      <c r="E2328" s="79"/>
    </row>
    <row r="2329" spans="1:5" ht="14.85" customHeight="1" outlineLevel="1" x14ac:dyDescent="0.25">
      <c r="A2329" s="101" t="s">
        <v>1502</v>
      </c>
      <c r="B2329" s="102" t="str">
        <f>"52.1006"</f>
        <v>52.1006</v>
      </c>
      <c r="C2329" s="101" t="s">
        <v>5724</v>
      </c>
      <c r="D2329" s="101" t="s">
        <v>5725</v>
      </c>
      <c r="E2329" s="79"/>
    </row>
    <row r="2330" spans="1:5" ht="14.85" customHeight="1" outlineLevel="1" x14ac:dyDescent="0.25">
      <c r="A2330" s="101" t="s">
        <v>1502</v>
      </c>
      <c r="B2330" s="102" t="str">
        <f>"52.1099"</f>
        <v>52.1099</v>
      </c>
      <c r="C2330" s="101" t="s">
        <v>5726</v>
      </c>
      <c r="D2330" s="101" t="s">
        <v>5727</v>
      </c>
      <c r="E2330" s="79"/>
    </row>
    <row r="2331" spans="1:5" ht="14.85" customHeight="1" outlineLevel="1" x14ac:dyDescent="0.25">
      <c r="A2331" s="101" t="s">
        <v>1502</v>
      </c>
      <c r="B2331" s="102" t="str">
        <f>"52.11"</f>
        <v>52.11</v>
      </c>
      <c r="C2331" s="101" t="s">
        <v>5728</v>
      </c>
      <c r="D2331" s="101" t="s">
        <v>5729</v>
      </c>
      <c r="E2331" s="79"/>
    </row>
    <row r="2332" spans="1:5" ht="14.85" customHeight="1" outlineLevel="1" x14ac:dyDescent="0.25">
      <c r="A2332" s="101" t="s">
        <v>1502</v>
      </c>
      <c r="B2332" s="102" t="str">
        <f>"52.1101"</f>
        <v>52.1101</v>
      </c>
      <c r="C2332" s="101" t="s">
        <v>5730</v>
      </c>
      <c r="D2332" s="101" t="s">
        <v>5731</v>
      </c>
      <c r="E2332" s="79"/>
    </row>
    <row r="2333" spans="1:5" ht="14.85" customHeight="1" outlineLevel="1" x14ac:dyDescent="0.25">
      <c r="A2333" s="101" t="s">
        <v>1502</v>
      </c>
      <c r="B2333" s="102" t="str">
        <f>"52.12"</f>
        <v>52.12</v>
      </c>
      <c r="C2333" s="101" t="s">
        <v>5732</v>
      </c>
      <c r="D2333" s="101" t="s">
        <v>5733</v>
      </c>
      <c r="E2333" s="79"/>
    </row>
    <row r="2334" spans="1:5" ht="14.85" customHeight="1" outlineLevel="1" x14ac:dyDescent="0.25">
      <c r="A2334" s="101" t="s">
        <v>1502</v>
      </c>
      <c r="B2334" s="102" t="str">
        <f>"52.1201"</f>
        <v>52.1201</v>
      </c>
      <c r="C2334" s="101" t="s">
        <v>5734</v>
      </c>
      <c r="D2334" s="101" t="s">
        <v>5735</v>
      </c>
      <c r="E2334" s="79"/>
    </row>
    <row r="2335" spans="1:5" ht="14.85" customHeight="1" outlineLevel="1" x14ac:dyDescent="0.25">
      <c r="A2335" s="101" t="s">
        <v>1502</v>
      </c>
      <c r="B2335" s="102" t="str">
        <f>"52.1206"</f>
        <v>52.1206</v>
      </c>
      <c r="C2335" s="101" t="s">
        <v>5736</v>
      </c>
      <c r="D2335" s="101" t="s">
        <v>5737</v>
      </c>
      <c r="E2335" s="79"/>
    </row>
    <row r="2336" spans="1:5" ht="14.85" customHeight="1" outlineLevel="1" x14ac:dyDescent="0.25">
      <c r="A2336" s="101" t="s">
        <v>1502</v>
      </c>
      <c r="B2336" s="102" t="str">
        <f>"52.1207"</f>
        <v>52.1207</v>
      </c>
      <c r="C2336" s="101" t="s">
        <v>5738</v>
      </c>
      <c r="D2336" s="101" t="s">
        <v>5739</v>
      </c>
      <c r="E2336" s="79"/>
    </row>
    <row r="2337" spans="1:5" ht="14.85" customHeight="1" outlineLevel="1" x14ac:dyDescent="0.25">
      <c r="A2337" s="101" t="s">
        <v>1502</v>
      </c>
      <c r="B2337" s="102" t="str">
        <f>"52.1299"</f>
        <v>52.1299</v>
      </c>
      <c r="C2337" s="101" t="s">
        <v>5740</v>
      </c>
      <c r="D2337" s="101" t="s">
        <v>5741</v>
      </c>
      <c r="E2337" s="79"/>
    </row>
    <row r="2338" spans="1:5" ht="14.85" customHeight="1" outlineLevel="1" x14ac:dyDescent="0.25">
      <c r="A2338" s="101" t="s">
        <v>1502</v>
      </c>
      <c r="B2338" s="102" t="str">
        <f>"52.13"</f>
        <v>52.13</v>
      </c>
      <c r="C2338" s="101" t="s">
        <v>5742</v>
      </c>
      <c r="D2338" s="101" t="s">
        <v>5743</v>
      </c>
      <c r="E2338" s="79"/>
    </row>
    <row r="2339" spans="1:5" ht="14.85" customHeight="1" outlineLevel="1" x14ac:dyDescent="0.25">
      <c r="A2339" s="101" t="s">
        <v>1502</v>
      </c>
      <c r="B2339" s="102" t="str">
        <f>"52.1301"</f>
        <v>52.1301</v>
      </c>
      <c r="C2339" s="101" t="s">
        <v>5744</v>
      </c>
      <c r="D2339" s="101" t="s">
        <v>5745</v>
      </c>
      <c r="E2339" s="79"/>
    </row>
    <row r="2340" spans="1:5" ht="14.85" customHeight="1" outlineLevel="1" x14ac:dyDescent="0.25">
      <c r="A2340" s="101" t="s">
        <v>1502</v>
      </c>
      <c r="B2340" s="102" t="str">
        <f>"52.1302"</f>
        <v>52.1302</v>
      </c>
      <c r="C2340" s="101" t="s">
        <v>5746</v>
      </c>
      <c r="D2340" s="101" t="s">
        <v>5747</v>
      </c>
      <c r="E2340" s="79"/>
    </row>
    <row r="2341" spans="1:5" ht="14.85" customHeight="1" outlineLevel="1" x14ac:dyDescent="0.25">
      <c r="A2341" s="101" t="s">
        <v>1502</v>
      </c>
      <c r="B2341" s="102" t="str">
        <f>"52.1304"</f>
        <v>52.1304</v>
      </c>
      <c r="C2341" s="101" t="s">
        <v>5748</v>
      </c>
      <c r="D2341" s="101" t="s">
        <v>5749</v>
      </c>
      <c r="E2341" s="79"/>
    </row>
    <row r="2342" spans="1:5" ht="14.85" customHeight="1" outlineLevel="1" x14ac:dyDescent="0.25">
      <c r="A2342" s="101" t="s">
        <v>1502</v>
      </c>
      <c r="B2342" s="102" t="str">
        <f>"52.1399"</f>
        <v>52.1399</v>
      </c>
      <c r="C2342" s="101" t="s">
        <v>5750</v>
      </c>
      <c r="D2342" s="101" t="s">
        <v>5751</v>
      </c>
      <c r="E2342" s="79"/>
    </row>
    <row r="2343" spans="1:5" ht="14.85" customHeight="1" outlineLevel="1" x14ac:dyDescent="0.25">
      <c r="A2343" s="101" t="s">
        <v>1502</v>
      </c>
      <c r="B2343" s="102" t="str">
        <f>"52.14"</f>
        <v>52.14</v>
      </c>
      <c r="C2343" s="101" t="s">
        <v>5752</v>
      </c>
      <c r="D2343" s="101" t="s">
        <v>5753</v>
      </c>
      <c r="E2343" s="79"/>
    </row>
    <row r="2344" spans="1:5" ht="14.85" customHeight="1" outlineLevel="1" x14ac:dyDescent="0.25">
      <c r="A2344" s="101" t="s">
        <v>1502</v>
      </c>
      <c r="B2344" s="102" t="str">
        <f>"52.1401"</f>
        <v>52.1401</v>
      </c>
      <c r="C2344" s="101" t="s">
        <v>5754</v>
      </c>
      <c r="D2344" s="101" t="s">
        <v>5755</v>
      </c>
      <c r="E2344" s="79"/>
    </row>
    <row r="2345" spans="1:5" ht="14.85" customHeight="1" outlineLevel="1" x14ac:dyDescent="0.25">
      <c r="A2345" s="101" t="s">
        <v>1502</v>
      </c>
      <c r="B2345" s="102" t="str">
        <f>"52.1402"</f>
        <v>52.1402</v>
      </c>
      <c r="C2345" s="101" t="s">
        <v>5756</v>
      </c>
      <c r="D2345" s="101" t="s">
        <v>5757</v>
      </c>
      <c r="E2345" s="79"/>
    </row>
    <row r="2346" spans="1:5" ht="14.85" customHeight="1" outlineLevel="1" x14ac:dyDescent="0.25">
      <c r="A2346" s="101" t="s">
        <v>1502</v>
      </c>
      <c r="B2346" s="102" t="str">
        <f>"52.1403"</f>
        <v>52.1403</v>
      </c>
      <c r="C2346" s="101" t="s">
        <v>5758</v>
      </c>
      <c r="D2346" s="101" t="s">
        <v>5759</v>
      </c>
      <c r="E2346" s="79"/>
    </row>
    <row r="2347" spans="1:5" ht="14.85" customHeight="1" outlineLevel="1" x14ac:dyDescent="0.25">
      <c r="A2347" s="101" t="s">
        <v>1502</v>
      </c>
      <c r="B2347" s="102" t="str">
        <f>"52.1404"</f>
        <v>52.1404</v>
      </c>
      <c r="C2347" s="101" t="s">
        <v>5760</v>
      </c>
      <c r="D2347" s="101" t="s">
        <v>5761</v>
      </c>
      <c r="E2347" s="79"/>
    </row>
    <row r="2348" spans="1:5" ht="14.85" customHeight="1" outlineLevel="1" x14ac:dyDescent="0.25">
      <c r="A2348" s="101" t="s">
        <v>1502</v>
      </c>
      <c r="B2348" s="102" t="str">
        <f>"52.1499"</f>
        <v>52.1499</v>
      </c>
      <c r="C2348" s="101" t="s">
        <v>5762</v>
      </c>
      <c r="D2348" s="101" t="s">
        <v>5763</v>
      </c>
      <c r="E2348" s="79"/>
    </row>
    <row r="2349" spans="1:5" ht="14.85" customHeight="1" outlineLevel="1" x14ac:dyDescent="0.25">
      <c r="A2349" s="101" t="s">
        <v>1502</v>
      </c>
      <c r="B2349" s="102" t="str">
        <f>"52.15"</f>
        <v>52.15</v>
      </c>
      <c r="C2349" s="101" t="s">
        <v>5764</v>
      </c>
      <c r="D2349" s="101" t="s">
        <v>5765</v>
      </c>
      <c r="E2349" s="79"/>
    </row>
    <row r="2350" spans="1:5" ht="14.85" customHeight="1" outlineLevel="1" x14ac:dyDescent="0.25">
      <c r="A2350" s="101" t="s">
        <v>1502</v>
      </c>
      <c r="B2350" s="102" t="str">
        <f>"52.1501"</f>
        <v>52.1501</v>
      </c>
      <c r="C2350" s="101" t="s">
        <v>5764</v>
      </c>
      <c r="D2350" s="101" t="s">
        <v>5766</v>
      </c>
      <c r="E2350" s="79"/>
    </row>
    <row r="2351" spans="1:5" ht="14.85" customHeight="1" outlineLevel="1" x14ac:dyDescent="0.25">
      <c r="A2351" s="101" t="s">
        <v>1502</v>
      </c>
      <c r="B2351" s="102" t="str">
        <f>"52.16"</f>
        <v>52.16</v>
      </c>
      <c r="C2351" s="101" t="s">
        <v>5767</v>
      </c>
      <c r="D2351" s="101" t="s">
        <v>5768</v>
      </c>
      <c r="E2351" s="79"/>
    </row>
    <row r="2352" spans="1:5" ht="14.85" customHeight="1" outlineLevel="1" x14ac:dyDescent="0.25">
      <c r="A2352" s="101" t="s">
        <v>1502</v>
      </c>
      <c r="B2352" s="102" t="str">
        <f>"52.1601"</f>
        <v>52.1601</v>
      </c>
      <c r="C2352" s="101" t="s">
        <v>5767</v>
      </c>
      <c r="D2352" s="101" t="s">
        <v>5769</v>
      </c>
      <c r="E2352" s="79"/>
    </row>
    <row r="2353" spans="1:5" ht="14.85" customHeight="1" outlineLevel="1" x14ac:dyDescent="0.25">
      <c r="A2353" s="101" t="s">
        <v>1502</v>
      </c>
      <c r="B2353" s="102" t="str">
        <f>"52.17"</f>
        <v>52.17</v>
      </c>
      <c r="C2353" s="101" t="s">
        <v>5770</v>
      </c>
      <c r="D2353" s="101" t="s">
        <v>5771</v>
      </c>
      <c r="E2353" s="79"/>
    </row>
    <row r="2354" spans="1:5" ht="14.85" customHeight="1" outlineLevel="1" x14ac:dyDescent="0.25">
      <c r="A2354" s="101" t="s">
        <v>1502</v>
      </c>
      <c r="B2354" s="102" t="str">
        <f>"52.1701"</f>
        <v>52.1701</v>
      </c>
      <c r="C2354" s="101" t="s">
        <v>5770</v>
      </c>
      <c r="D2354" s="101" t="s">
        <v>5772</v>
      </c>
      <c r="E2354" s="79"/>
    </row>
    <row r="2355" spans="1:5" ht="14.85" customHeight="1" outlineLevel="1" x14ac:dyDescent="0.25">
      <c r="A2355" s="101" t="s">
        <v>1502</v>
      </c>
      <c r="B2355" s="102" t="str">
        <f>"52.18"</f>
        <v>52.18</v>
      </c>
      <c r="C2355" s="101" t="s">
        <v>5773</v>
      </c>
      <c r="D2355" s="101" t="s">
        <v>5774</v>
      </c>
      <c r="E2355" s="79"/>
    </row>
    <row r="2356" spans="1:5" ht="14.85" customHeight="1" outlineLevel="1" x14ac:dyDescent="0.25">
      <c r="A2356" s="101" t="s">
        <v>1502</v>
      </c>
      <c r="B2356" s="102" t="str">
        <f>"52.1801"</f>
        <v>52.1801</v>
      </c>
      <c r="C2356" s="101" t="s">
        <v>5775</v>
      </c>
      <c r="D2356" s="101" t="s">
        <v>5776</v>
      </c>
      <c r="E2356" s="79"/>
    </row>
    <row r="2357" spans="1:5" ht="14.85" customHeight="1" outlineLevel="1" x14ac:dyDescent="0.25">
      <c r="A2357" s="101" t="s">
        <v>1502</v>
      </c>
      <c r="B2357" s="102" t="str">
        <f>"52.1802"</f>
        <v>52.1802</v>
      </c>
      <c r="C2357" s="101" t="s">
        <v>5777</v>
      </c>
      <c r="D2357" s="101" t="s">
        <v>5778</v>
      </c>
      <c r="E2357" s="79"/>
    </row>
    <row r="2358" spans="1:5" ht="14.85" customHeight="1" outlineLevel="1" x14ac:dyDescent="0.25">
      <c r="A2358" s="101" t="s">
        <v>1502</v>
      </c>
      <c r="B2358" s="102" t="str">
        <f>"52.1803"</f>
        <v>52.1803</v>
      </c>
      <c r="C2358" s="101" t="s">
        <v>5779</v>
      </c>
      <c r="D2358" s="101" t="s">
        <v>5780</v>
      </c>
      <c r="E2358" s="79"/>
    </row>
    <row r="2359" spans="1:5" ht="14.85" customHeight="1" outlineLevel="1" x14ac:dyDescent="0.25">
      <c r="A2359" s="101" t="s">
        <v>1502</v>
      </c>
      <c r="B2359" s="102" t="str">
        <f>"52.1804"</f>
        <v>52.1804</v>
      </c>
      <c r="C2359" s="101" t="s">
        <v>5781</v>
      </c>
      <c r="D2359" s="101" t="s">
        <v>5782</v>
      </c>
      <c r="E2359" s="79"/>
    </row>
    <row r="2360" spans="1:5" ht="14.85" customHeight="1" outlineLevel="1" x14ac:dyDescent="0.25">
      <c r="A2360" s="101" t="s">
        <v>1502</v>
      </c>
      <c r="B2360" s="102" t="str">
        <f>"52.1880"</f>
        <v>52.1880</v>
      </c>
      <c r="C2360" s="101" t="s">
        <v>1559</v>
      </c>
      <c r="D2360" s="101" t="s">
        <v>1560</v>
      </c>
      <c r="E2360" s="79"/>
    </row>
    <row r="2361" spans="1:5" ht="14.85" customHeight="1" outlineLevel="1" x14ac:dyDescent="0.25">
      <c r="A2361" s="101" t="s">
        <v>1502</v>
      </c>
      <c r="B2361" s="102" t="str">
        <f>"52.1899"</f>
        <v>52.1899</v>
      </c>
      <c r="C2361" s="101" t="s">
        <v>5783</v>
      </c>
      <c r="D2361" s="101" t="s">
        <v>5784</v>
      </c>
      <c r="E2361" s="79"/>
    </row>
    <row r="2362" spans="1:5" ht="14.85" customHeight="1" outlineLevel="1" x14ac:dyDescent="0.25">
      <c r="A2362" s="101" t="s">
        <v>1502</v>
      </c>
      <c r="B2362" s="102" t="str">
        <f>"52.19"</f>
        <v>52.19</v>
      </c>
      <c r="C2362" s="101" t="s">
        <v>5785</v>
      </c>
      <c r="D2362" s="101" t="s">
        <v>5786</v>
      </c>
      <c r="E2362" s="79"/>
    </row>
    <row r="2363" spans="1:5" ht="14.85" customHeight="1" outlineLevel="1" x14ac:dyDescent="0.25">
      <c r="A2363" s="101" t="s">
        <v>1502</v>
      </c>
      <c r="B2363" s="102" t="str">
        <f>"52.1901"</f>
        <v>52.1901</v>
      </c>
      <c r="C2363" s="101" t="s">
        <v>5787</v>
      </c>
      <c r="D2363" s="101" t="s">
        <v>5788</v>
      </c>
      <c r="E2363" s="79"/>
    </row>
    <row r="2364" spans="1:5" ht="14.85" customHeight="1" outlineLevel="1" x14ac:dyDescent="0.25">
      <c r="A2364" s="101" t="s">
        <v>1502</v>
      </c>
      <c r="B2364" s="102" t="str">
        <f>"52.1902"</f>
        <v>52.1902</v>
      </c>
      <c r="C2364" s="101" t="s">
        <v>5789</v>
      </c>
      <c r="D2364" s="101" t="s">
        <v>5790</v>
      </c>
      <c r="E2364" s="79"/>
    </row>
    <row r="2365" spans="1:5" ht="14.85" customHeight="1" outlineLevel="1" x14ac:dyDescent="0.25">
      <c r="A2365" s="101" t="s">
        <v>1502</v>
      </c>
      <c r="B2365" s="102" t="str">
        <f>"52.1903"</f>
        <v>52.1903</v>
      </c>
      <c r="C2365" s="101" t="s">
        <v>5791</v>
      </c>
      <c r="D2365" s="101" t="s">
        <v>5792</v>
      </c>
      <c r="E2365" s="79"/>
    </row>
    <row r="2366" spans="1:5" ht="14.85" customHeight="1" outlineLevel="1" x14ac:dyDescent="0.25">
      <c r="A2366" s="101" t="s">
        <v>1502</v>
      </c>
      <c r="B2366" s="102" t="str">
        <f>"52.1904"</f>
        <v>52.1904</v>
      </c>
      <c r="C2366" s="101" t="s">
        <v>5793</v>
      </c>
      <c r="D2366" s="101" t="s">
        <v>5794</v>
      </c>
      <c r="E2366" s="79"/>
    </row>
    <row r="2367" spans="1:5" ht="14.85" customHeight="1" outlineLevel="1" x14ac:dyDescent="0.25">
      <c r="A2367" s="101" t="s">
        <v>1502</v>
      </c>
      <c r="B2367" s="102" t="str">
        <f>"52.1905"</f>
        <v>52.1905</v>
      </c>
      <c r="C2367" s="101" t="s">
        <v>5795</v>
      </c>
      <c r="D2367" s="101" t="s">
        <v>5796</v>
      </c>
      <c r="E2367" s="79"/>
    </row>
    <row r="2368" spans="1:5" ht="14.85" customHeight="1" outlineLevel="1" x14ac:dyDescent="0.25">
      <c r="A2368" s="101" t="s">
        <v>1502</v>
      </c>
      <c r="B2368" s="102" t="str">
        <f>"52.1906"</f>
        <v>52.1906</v>
      </c>
      <c r="C2368" s="101" t="s">
        <v>5797</v>
      </c>
      <c r="D2368" s="101" t="s">
        <v>5798</v>
      </c>
      <c r="E2368" s="79"/>
    </row>
    <row r="2369" spans="1:5" ht="14.85" customHeight="1" outlineLevel="1" x14ac:dyDescent="0.25">
      <c r="A2369" s="101" t="s">
        <v>1502</v>
      </c>
      <c r="B2369" s="102" t="str">
        <f>"52.1907"</f>
        <v>52.1907</v>
      </c>
      <c r="C2369" s="101" t="s">
        <v>5799</v>
      </c>
      <c r="D2369" s="101" t="s">
        <v>5800</v>
      </c>
      <c r="E2369" s="79"/>
    </row>
    <row r="2370" spans="1:5" ht="14.85" customHeight="1" outlineLevel="1" x14ac:dyDescent="0.25">
      <c r="A2370" s="101" t="s">
        <v>1502</v>
      </c>
      <c r="B2370" s="102" t="str">
        <f>"52.1908"</f>
        <v>52.1908</v>
      </c>
      <c r="C2370" s="101" t="s">
        <v>5801</v>
      </c>
      <c r="D2370" s="101" t="s">
        <v>5802</v>
      </c>
      <c r="E2370" s="79"/>
    </row>
    <row r="2371" spans="1:5" ht="14.85" customHeight="1" outlineLevel="1" x14ac:dyDescent="0.25">
      <c r="A2371" s="101" t="s">
        <v>1502</v>
      </c>
      <c r="B2371" s="102" t="str">
        <f>"52.1909"</f>
        <v>52.1909</v>
      </c>
      <c r="C2371" s="101" t="s">
        <v>5803</v>
      </c>
      <c r="D2371" s="101" t="s">
        <v>5804</v>
      </c>
      <c r="E2371" s="79"/>
    </row>
    <row r="2372" spans="1:5" ht="14.85" customHeight="1" outlineLevel="1" x14ac:dyDescent="0.25">
      <c r="A2372" s="101" t="s">
        <v>1502</v>
      </c>
      <c r="B2372" s="102" t="str">
        <f>"52.1910"</f>
        <v>52.1910</v>
      </c>
      <c r="C2372" s="101" t="s">
        <v>5805</v>
      </c>
      <c r="D2372" s="101" t="s">
        <v>5806</v>
      </c>
      <c r="E2372" s="79"/>
    </row>
    <row r="2373" spans="1:5" ht="14.85" customHeight="1" outlineLevel="1" x14ac:dyDescent="0.25">
      <c r="A2373" s="101" t="s">
        <v>1502</v>
      </c>
      <c r="B2373" s="102" t="str">
        <f>"52.1980"</f>
        <v>52.1980</v>
      </c>
      <c r="C2373" s="101" t="s">
        <v>1559</v>
      </c>
      <c r="D2373" s="101" t="s">
        <v>1560</v>
      </c>
      <c r="E2373" s="79"/>
    </row>
    <row r="2374" spans="1:5" ht="14.85" customHeight="1" outlineLevel="1" x14ac:dyDescent="0.25">
      <c r="A2374" s="101" t="s">
        <v>1502</v>
      </c>
      <c r="B2374" s="102" t="str">
        <f>"52.1999"</f>
        <v>52.1999</v>
      </c>
      <c r="C2374" s="101" t="s">
        <v>5807</v>
      </c>
      <c r="D2374" s="101" t="s">
        <v>5808</v>
      </c>
      <c r="E2374" s="79"/>
    </row>
    <row r="2375" spans="1:5" ht="14.85" customHeight="1" outlineLevel="1" x14ac:dyDescent="0.25">
      <c r="A2375" s="101" t="s">
        <v>1502</v>
      </c>
      <c r="B2375" s="102" t="str">
        <f>"52.20"</f>
        <v>52.20</v>
      </c>
      <c r="C2375" s="101" t="s">
        <v>5809</v>
      </c>
      <c r="D2375" s="101" t="s">
        <v>5810</v>
      </c>
      <c r="E2375" s="79"/>
    </row>
    <row r="2376" spans="1:5" ht="14.85" customHeight="1" outlineLevel="1" x14ac:dyDescent="0.25">
      <c r="A2376" s="101" t="s">
        <v>1502</v>
      </c>
      <c r="B2376" s="102" t="str">
        <f>"52.2001"</f>
        <v>52.2001</v>
      </c>
      <c r="C2376" s="101" t="s">
        <v>5811</v>
      </c>
      <c r="D2376" s="101" t="s">
        <v>5812</v>
      </c>
      <c r="E2376" s="79"/>
    </row>
    <row r="2377" spans="1:5" ht="14.85" customHeight="1" outlineLevel="1" x14ac:dyDescent="0.25">
      <c r="A2377" s="101" t="s">
        <v>1502</v>
      </c>
      <c r="B2377" s="102" t="str">
        <f>"52.2002"</f>
        <v>52.2002</v>
      </c>
      <c r="C2377" s="101" t="s">
        <v>5813</v>
      </c>
      <c r="D2377" s="101" t="s">
        <v>5814</v>
      </c>
      <c r="E2377" s="79"/>
    </row>
    <row r="2378" spans="1:5" ht="14.85" customHeight="1" outlineLevel="1" x14ac:dyDescent="0.25">
      <c r="A2378" s="101" t="s">
        <v>1502</v>
      </c>
      <c r="B2378" s="102" t="str">
        <f>"52.2099"</f>
        <v>52.2099</v>
      </c>
      <c r="C2378" s="101" t="s">
        <v>5815</v>
      </c>
      <c r="D2378" s="101" t="s">
        <v>5816</v>
      </c>
      <c r="E2378" s="79"/>
    </row>
    <row r="2379" spans="1:5" ht="14.85" customHeight="1" outlineLevel="1" x14ac:dyDescent="0.25">
      <c r="A2379" s="101" t="s">
        <v>1502</v>
      </c>
      <c r="B2379" s="102" t="str">
        <f>"52.21"</f>
        <v>52.21</v>
      </c>
      <c r="C2379" s="101" t="s">
        <v>5817</v>
      </c>
      <c r="D2379" s="101" t="s">
        <v>5818</v>
      </c>
      <c r="E2379" s="79"/>
    </row>
    <row r="2380" spans="1:5" ht="14.85" customHeight="1" outlineLevel="1" x14ac:dyDescent="0.25">
      <c r="A2380" s="101" t="s">
        <v>1502</v>
      </c>
      <c r="B2380" s="102" t="str">
        <f>"52.2101"</f>
        <v>52.2101</v>
      </c>
      <c r="C2380" s="101" t="s">
        <v>5817</v>
      </c>
      <c r="D2380" s="101" t="s">
        <v>5819</v>
      </c>
      <c r="E2380" s="79"/>
    </row>
    <row r="2381" spans="1:5" ht="14.85" customHeight="1" outlineLevel="1" x14ac:dyDescent="0.25">
      <c r="A2381" s="101" t="s">
        <v>1502</v>
      </c>
      <c r="B2381" s="102" t="str">
        <f>"52.99"</f>
        <v>52.99</v>
      </c>
      <c r="C2381" s="101" t="s">
        <v>5820</v>
      </c>
      <c r="D2381" s="101" t="s">
        <v>5821</v>
      </c>
      <c r="E2381" s="79"/>
    </row>
    <row r="2382" spans="1:5" ht="14.85" customHeight="1" outlineLevel="1" x14ac:dyDescent="0.25">
      <c r="A2382" s="101" t="s">
        <v>1502</v>
      </c>
      <c r="B2382" s="102" t="str">
        <f>"52.9999"</f>
        <v>52.9999</v>
      </c>
      <c r="C2382" s="101" t="s">
        <v>5820</v>
      </c>
      <c r="D2382" s="101" t="s">
        <v>5822</v>
      </c>
      <c r="E2382" s="79"/>
    </row>
    <row r="2383" spans="1:5" ht="14.85" customHeight="1" outlineLevel="1" x14ac:dyDescent="0.25">
      <c r="A2383" s="101" t="s">
        <v>1502</v>
      </c>
      <c r="B2383" s="102" t="str">
        <f>"53"</f>
        <v>53</v>
      </c>
      <c r="C2383" s="101" t="s">
        <v>5823</v>
      </c>
      <c r="D2383" s="101" t="s">
        <v>5824</v>
      </c>
      <c r="E2383" s="79"/>
    </row>
    <row r="2384" spans="1:5" ht="14.85" customHeight="1" outlineLevel="1" x14ac:dyDescent="0.25">
      <c r="A2384" s="101" t="s">
        <v>1502</v>
      </c>
      <c r="B2384" s="102" t="str">
        <f>"53.01"</f>
        <v>53.01</v>
      </c>
      <c r="C2384" s="101" t="s">
        <v>5825</v>
      </c>
      <c r="D2384" s="101" t="s">
        <v>5826</v>
      </c>
      <c r="E2384" s="79"/>
    </row>
    <row r="2385" spans="1:5" ht="14.85" customHeight="1" outlineLevel="1" x14ac:dyDescent="0.25">
      <c r="A2385" s="101" t="s">
        <v>1502</v>
      </c>
      <c r="B2385" s="102" t="str">
        <f>"53.0101"</f>
        <v>53.0101</v>
      </c>
      <c r="C2385" s="101" t="s">
        <v>5827</v>
      </c>
      <c r="D2385" s="101" t="s">
        <v>5828</v>
      </c>
      <c r="E2385" s="79"/>
    </row>
    <row r="2386" spans="1:5" ht="14.85" customHeight="1" outlineLevel="1" x14ac:dyDescent="0.25">
      <c r="A2386" s="101" t="s">
        <v>1502</v>
      </c>
      <c r="B2386" s="102" t="str">
        <f>"53.0102"</f>
        <v>53.0102</v>
      </c>
      <c r="C2386" s="101" t="s">
        <v>5829</v>
      </c>
      <c r="D2386" s="101" t="s">
        <v>5830</v>
      </c>
      <c r="E2386" s="79"/>
    </row>
    <row r="2387" spans="1:5" ht="14.85" customHeight="1" outlineLevel="1" x14ac:dyDescent="0.25">
      <c r="A2387" s="101" t="s">
        <v>1502</v>
      </c>
      <c r="B2387" s="102" t="str">
        <f>"53.0103"</f>
        <v>53.0103</v>
      </c>
      <c r="C2387" s="101" t="s">
        <v>5831</v>
      </c>
      <c r="D2387" s="101" t="s">
        <v>5832</v>
      </c>
      <c r="E2387" s="79"/>
    </row>
    <row r="2388" spans="1:5" ht="14.85" customHeight="1" outlineLevel="1" x14ac:dyDescent="0.25">
      <c r="A2388" s="101" t="s">
        <v>1502</v>
      </c>
      <c r="B2388" s="102" t="str">
        <f>"53.0104"</f>
        <v>53.0104</v>
      </c>
      <c r="C2388" s="101" t="s">
        <v>5833</v>
      </c>
      <c r="D2388" s="101" t="s">
        <v>5834</v>
      </c>
      <c r="E2388" s="79"/>
    </row>
    <row r="2389" spans="1:5" ht="14.85" customHeight="1" outlineLevel="1" x14ac:dyDescent="0.25">
      <c r="A2389" s="101" t="s">
        <v>1502</v>
      </c>
      <c r="B2389" s="102" t="str">
        <f>"53.0105"</f>
        <v>53.0105</v>
      </c>
      <c r="C2389" s="101" t="s">
        <v>5835</v>
      </c>
      <c r="D2389" s="101" t="s">
        <v>5836</v>
      </c>
      <c r="E2389" s="79"/>
    </row>
    <row r="2390" spans="1:5" ht="14.85" customHeight="1" outlineLevel="1" x14ac:dyDescent="0.25">
      <c r="A2390" s="101" t="s">
        <v>1502</v>
      </c>
      <c r="B2390" s="102" t="str">
        <f>"53.0199"</f>
        <v>53.0199</v>
      </c>
      <c r="C2390" s="101" t="s">
        <v>5837</v>
      </c>
      <c r="D2390" s="101" t="s">
        <v>5838</v>
      </c>
      <c r="E2390" s="79"/>
    </row>
    <row r="2391" spans="1:5" ht="14.85" customHeight="1" outlineLevel="1" x14ac:dyDescent="0.25">
      <c r="A2391" s="101" t="s">
        <v>1502</v>
      </c>
      <c r="B2391" s="102" t="str">
        <f>"53.02"</f>
        <v>53.02</v>
      </c>
      <c r="C2391" s="101" t="s">
        <v>5839</v>
      </c>
      <c r="D2391" s="101" t="s">
        <v>5840</v>
      </c>
      <c r="E2391" s="79"/>
    </row>
    <row r="2392" spans="1:5" ht="14.85" customHeight="1" outlineLevel="1" x14ac:dyDescent="0.25">
      <c r="A2392" s="101" t="s">
        <v>1502</v>
      </c>
      <c r="B2392" s="102" t="str">
        <f>"53.0201"</f>
        <v>53.0201</v>
      </c>
      <c r="C2392" s="101" t="s">
        <v>5841</v>
      </c>
      <c r="D2392" s="101" t="s">
        <v>5842</v>
      </c>
      <c r="E2392" s="79"/>
    </row>
    <row r="2393" spans="1:5" ht="14.85" customHeight="1" outlineLevel="1" x14ac:dyDescent="0.25">
      <c r="A2393" s="101" t="s">
        <v>1502</v>
      </c>
      <c r="B2393" s="102" t="str">
        <f>"53.0202"</f>
        <v>53.0202</v>
      </c>
      <c r="C2393" s="101" t="s">
        <v>5843</v>
      </c>
      <c r="D2393" s="101" t="s">
        <v>5844</v>
      </c>
      <c r="E2393" s="79"/>
    </row>
    <row r="2394" spans="1:5" ht="14.85" customHeight="1" outlineLevel="1" x14ac:dyDescent="0.25">
      <c r="A2394" s="101" t="s">
        <v>1502</v>
      </c>
      <c r="B2394" s="102" t="str">
        <f>"53.0203"</f>
        <v>53.0203</v>
      </c>
      <c r="C2394" s="101" t="s">
        <v>5845</v>
      </c>
      <c r="D2394" s="101" t="s">
        <v>5846</v>
      </c>
      <c r="E2394" s="79"/>
    </row>
    <row r="2395" spans="1:5" ht="14.85" customHeight="1" outlineLevel="1" x14ac:dyDescent="0.25">
      <c r="A2395" s="101" t="s">
        <v>1502</v>
      </c>
      <c r="B2395" s="102" t="str">
        <f>"53.0299"</f>
        <v>53.0299</v>
      </c>
      <c r="C2395" s="101" t="s">
        <v>5847</v>
      </c>
      <c r="D2395" s="101" t="s">
        <v>5848</v>
      </c>
      <c r="E2395" s="79"/>
    </row>
    <row r="2396" spans="1:5" ht="14.85" customHeight="1" outlineLevel="1" x14ac:dyDescent="0.25">
      <c r="A2396" s="101" t="s">
        <v>1502</v>
      </c>
      <c r="B2396" s="102" t="str">
        <f>"54"</f>
        <v>54</v>
      </c>
      <c r="C2396" s="101" t="s">
        <v>5849</v>
      </c>
      <c r="D2396" s="101" t="s">
        <v>5850</v>
      </c>
      <c r="E2396" s="79"/>
    </row>
    <row r="2397" spans="1:5" ht="14.85" customHeight="1" outlineLevel="1" x14ac:dyDescent="0.25">
      <c r="A2397" s="101" t="s">
        <v>1502</v>
      </c>
      <c r="B2397" s="102" t="str">
        <f>"54.01"</f>
        <v>54.01</v>
      </c>
      <c r="C2397" s="101" t="s">
        <v>5851</v>
      </c>
      <c r="D2397" s="101" t="s">
        <v>5852</v>
      </c>
      <c r="E2397" s="79"/>
    </row>
    <row r="2398" spans="1:5" ht="14.85" customHeight="1" outlineLevel="1" x14ac:dyDescent="0.25">
      <c r="A2398" s="101" t="s">
        <v>1502</v>
      </c>
      <c r="B2398" s="102" t="str">
        <f>"54.0101"</f>
        <v>54.0101</v>
      </c>
      <c r="C2398" s="101" t="s">
        <v>5853</v>
      </c>
      <c r="D2398" s="101" t="s">
        <v>5854</v>
      </c>
      <c r="E2398" s="79"/>
    </row>
    <row r="2399" spans="1:5" ht="14.85" customHeight="1" outlineLevel="1" x14ac:dyDescent="0.25">
      <c r="A2399" s="101" t="s">
        <v>1502</v>
      </c>
      <c r="B2399" s="102" t="str">
        <f>"54.0102"</f>
        <v>54.0102</v>
      </c>
      <c r="C2399" s="101" t="s">
        <v>5855</v>
      </c>
      <c r="D2399" s="101" t="s">
        <v>5856</v>
      </c>
      <c r="E2399" s="79"/>
    </row>
    <row r="2400" spans="1:5" ht="14.85" customHeight="1" outlineLevel="1" x14ac:dyDescent="0.25">
      <c r="A2400" s="101" t="s">
        <v>1502</v>
      </c>
      <c r="B2400" s="102" t="str">
        <f>"54.0103"</f>
        <v>54.0103</v>
      </c>
      <c r="C2400" s="101" t="s">
        <v>5857</v>
      </c>
      <c r="D2400" s="101" t="s">
        <v>5858</v>
      </c>
      <c r="E2400" s="79"/>
    </row>
    <row r="2401" spans="1:5" ht="14.85" customHeight="1" outlineLevel="1" x14ac:dyDescent="0.25">
      <c r="A2401" s="101" t="s">
        <v>1502</v>
      </c>
      <c r="B2401" s="102" t="str">
        <f>"54.0104"</f>
        <v>54.0104</v>
      </c>
      <c r="C2401" s="101" t="s">
        <v>5859</v>
      </c>
      <c r="D2401" s="101" t="s">
        <v>5860</v>
      </c>
      <c r="E2401" s="79"/>
    </row>
    <row r="2402" spans="1:5" ht="14.85" customHeight="1" outlineLevel="1" x14ac:dyDescent="0.25">
      <c r="A2402" s="101" t="s">
        <v>1502</v>
      </c>
      <c r="B2402" s="102" t="str">
        <f>"54.0105"</f>
        <v>54.0105</v>
      </c>
      <c r="C2402" s="101" t="s">
        <v>5861</v>
      </c>
      <c r="D2402" s="101" t="s">
        <v>5862</v>
      </c>
      <c r="E2402" s="79"/>
    </row>
    <row r="2403" spans="1:5" ht="14.85" customHeight="1" outlineLevel="1" x14ac:dyDescent="0.25">
      <c r="A2403" s="101" t="s">
        <v>1502</v>
      </c>
      <c r="B2403" s="102" t="str">
        <f>"54.0106"</f>
        <v>54.0106</v>
      </c>
      <c r="C2403" s="101" t="s">
        <v>5863</v>
      </c>
      <c r="D2403" s="101" t="s">
        <v>5864</v>
      </c>
      <c r="E2403" s="79"/>
    </row>
    <row r="2404" spans="1:5" ht="14.85" customHeight="1" outlineLevel="1" x14ac:dyDescent="0.25">
      <c r="A2404" s="101" t="s">
        <v>1502</v>
      </c>
      <c r="B2404" s="102" t="str">
        <f>"54.0107"</f>
        <v>54.0107</v>
      </c>
      <c r="C2404" s="101" t="s">
        <v>5865</v>
      </c>
      <c r="D2404" s="101" t="s">
        <v>5866</v>
      </c>
      <c r="E2404" s="79"/>
    </row>
    <row r="2405" spans="1:5" ht="14.85" customHeight="1" outlineLevel="1" x14ac:dyDescent="0.25">
      <c r="A2405" s="101" t="s">
        <v>1502</v>
      </c>
      <c r="B2405" s="102" t="str">
        <f>"54.0108"</f>
        <v>54.0108</v>
      </c>
      <c r="C2405" s="101" t="s">
        <v>5867</v>
      </c>
      <c r="D2405" s="101" t="s">
        <v>5868</v>
      </c>
      <c r="E2405" s="79"/>
    </row>
    <row r="2406" spans="1:5" ht="14.85" customHeight="1" outlineLevel="1" x14ac:dyDescent="0.25">
      <c r="A2406" s="101" t="s">
        <v>1502</v>
      </c>
      <c r="B2406" s="102" t="str">
        <f>"54.0199"</f>
        <v>54.0199</v>
      </c>
      <c r="C2406" s="101" t="s">
        <v>5869</v>
      </c>
      <c r="D2406" s="101" t="s">
        <v>5870</v>
      </c>
      <c r="E2406" s="79"/>
    </row>
    <row r="2407" spans="1:5" ht="14.85" customHeight="1" outlineLevel="1" x14ac:dyDescent="0.25">
      <c r="A2407" s="101" t="s">
        <v>1502</v>
      </c>
      <c r="B2407" s="102" t="str">
        <f>"55"</f>
        <v>55</v>
      </c>
      <c r="C2407" s="101" t="s">
        <v>3110</v>
      </c>
      <c r="D2407" s="101" t="s">
        <v>3111</v>
      </c>
      <c r="E2407" s="79"/>
    </row>
    <row r="2408" spans="1:5" ht="14.85" customHeight="1" outlineLevel="1" x14ac:dyDescent="0.25">
      <c r="A2408" s="101" t="s">
        <v>1502</v>
      </c>
      <c r="B2408" s="102" t="str">
        <f>"55.01"</f>
        <v>55.01</v>
      </c>
      <c r="C2408" s="101" t="s">
        <v>1559</v>
      </c>
      <c r="D2408" s="101" t="s">
        <v>5871</v>
      </c>
      <c r="E2408" s="79"/>
    </row>
    <row r="2409" spans="1:5" ht="14.85" customHeight="1" outlineLevel="1" x14ac:dyDescent="0.25">
      <c r="A2409" s="101" t="s">
        <v>1502</v>
      </c>
      <c r="B2409" s="102" t="str">
        <f>"55.0101"</f>
        <v>55.0101</v>
      </c>
      <c r="C2409" s="101" t="s">
        <v>1559</v>
      </c>
      <c r="D2409" s="101" t="s">
        <v>1560</v>
      </c>
      <c r="E2409" s="79"/>
    </row>
    <row r="2410" spans="1:5" ht="14.85" customHeight="1" outlineLevel="1" x14ac:dyDescent="0.25">
      <c r="A2410" s="101" t="s">
        <v>1502</v>
      </c>
      <c r="B2410" s="102" t="str">
        <f>"55.13"</f>
        <v>55.13</v>
      </c>
      <c r="C2410" s="101" t="s">
        <v>1559</v>
      </c>
      <c r="D2410" s="101" t="s">
        <v>5872</v>
      </c>
      <c r="E2410" s="79"/>
    </row>
    <row r="2411" spans="1:5" ht="14.85" customHeight="1" outlineLevel="1" x14ac:dyDescent="0.25">
      <c r="A2411" s="101" t="s">
        <v>1502</v>
      </c>
      <c r="B2411" s="102" t="str">
        <f>"55.1301"</f>
        <v>55.1301</v>
      </c>
      <c r="C2411" s="101" t="s">
        <v>1559</v>
      </c>
      <c r="D2411" s="101" t="s">
        <v>1560</v>
      </c>
      <c r="E2411" s="79"/>
    </row>
    <row r="2412" spans="1:5" ht="14.85" customHeight="1" outlineLevel="1" x14ac:dyDescent="0.25">
      <c r="A2412" s="101" t="s">
        <v>1502</v>
      </c>
      <c r="B2412" s="102" t="str">
        <f>"55.1302"</f>
        <v>55.1302</v>
      </c>
      <c r="C2412" s="101" t="s">
        <v>1559</v>
      </c>
      <c r="D2412" s="101" t="s">
        <v>1560</v>
      </c>
      <c r="E2412" s="79"/>
    </row>
    <row r="2413" spans="1:5" ht="14.85" customHeight="1" outlineLevel="1" x14ac:dyDescent="0.25">
      <c r="A2413" s="101" t="s">
        <v>1502</v>
      </c>
      <c r="B2413" s="102" t="str">
        <f>"55.1303"</f>
        <v>55.1303</v>
      </c>
      <c r="C2413" s="101" t="s">
        <v>1559</v>
      </c>
      <c r="D2413" s="101" t="s">
        <v>1560</v>
      </c>
      <c r="E2413" s="79"/>
    </row>
    <row r="2414" spans="1:5" ht="14.85" customHeight="1" outlineLevel="1" x14ac:dyDescent="0.25">
      <c r="A2414" s="101" t="s">
        <v>1502</v>
      </c>
      <c r="B2414" s="102" t="str">
        <f>"55.1304"</f>
        <v>55.1304</v>
      </c>
      <c r="C2414" s="101" t="s">
        <v>1559</v>
      </c>
      <c r="D2414" s="101" t="s">
        <v>1560</v>
      </c>
      <c r="E2414" s="79"/>
    </row>
    <row r="2415" spans="1:5" ht="14.85" customHeight="1" outlineLevel="1" x14ac:dyDescent="0.25">
      <c r="A2415" s="101" t="s">
        <v>1502</v>
      </c>
      <c r="B2415" s="102" t="str">
        <f>"55.1399"</f>
        <v>55.1399</v>
      </c>
      <c r="C2415" s="101" t="s">
        <v>1559</v>
      </c>
      <c r="D2415" s="101" t="s">
        <v>1560</v>
      </c>
      <c r="E2415" s="79"/>
    </row>
    <row r="2416" spans="1:5" ht="14.85" customHeight="1" outlineLevel="1" x14ac:dyDescent="0.25">
      <c r="A2416" s="101" t="s">
        <v>1502</v>
      </c>
      <c r="B2416" s="102" t="str">
        <f>"55.14"</f>
        <v>55.14</v>
      </c>
      <c r="C2416" s="101" t="s">
        <v>1559</v>
      </c>
      <c r="D2416" s="101" t="s">
        <v>5873</v>
      </c>
      <c r="E2416" s="79"/>
    </row>
    <row r="2417" spans="1:5" ht="14.85" customHeight="1" outlineLevel="1" x14ac:dyDescent="0.25">
      <c r="A2417" s="101" t="s">
        <v>1502</v>
      </c>
      <c r="B2417" s="102" t="str">
        <f>"55.1401"</f>
        <v>55.1401</v>
      </c>
      <c r="C2417" s="101" t="s">
        <v>1559</v>
      </c>
      <c r="D2417" s="101" t="s">
        <v>1560</v>
      </c>
      <c r="E2417" s="79"/>
    </row>
    <row r="2418" spans="1:5" ht="14.85" customHeight="1" outlineLevel="1" x14ac:dyDescent="0.25">
      <c r="A2418" s="101" t="s">
        <v>1502</v>
      </c>
      <c r="B2418" s="102" t="str">
        <f>"55.1403"</f>
        <v>55.1403</v>
      </c>
      <c r="C2418" s="101" t="s">
        <v>1559</v>
      </c>
      <c r="D2418" s="101" t="s">
        <v>1560</v>
      </c>
      <c r="E2418" s="79"/>
    </row>
    <row r="2419" spans="1:5" ht="14.85" customHeight="1" outlineLevel="1" x14ac:dyDescent="0.25">
      <c r="A2419" s="101" t="s">
        <v>1502</v>
      </c>
      <c r="B2419" s="102" t="str">
        <f>"55.1404"</f>
        <v>55.1404</v>
      </c>
      <c r="C2419" s="101" t="s">
        <v>1559</v>
      </c>
      <c r="D2419" s="101" t="s">
        <v>1560</v>
      </c>
      <c r="E2419" s="79"/>
    </row>
    <row r="2420" spans="1:5" ht="14.85" customHeight="1" outlineLevel="1" x14ac:dyDescent="0.25">
      <c r="A2420" s="101" t="s">
        <v>1502</v>
      </c>
      <c r="B2420" s="102" t="str">
        <f>"55.1405"</f>
        <v>55.1405</v>
      </c>
      <c r="C2420" s="101" t="s">
        <v>1559</v>
      </c>
      <c r="D2420" s="101" t="s">
        <v>1560</v>
      </c>
      <c r="E2420" s="79"/>
    </row>
    <row r="2421" spans="1:5" ht="14.85" customHeight="1" outlineLevel="1" x14ac:dyDescent="0.25">
      <c r="A2421" s="101" t="s">
        <v>1502</v>
      </c>
      <c r="B2421" s="102" t="str">
        <f>"55.1499"</f>
        <v>55.1499</v>
      </c>
      <c r="C2421" s="101" t="s">
        <v>1559</v>
      </c>
      <c r="D2421" s="101" t="s">
        <v>1560</v>
      </c>
      <c r="E2421" s="79"/>
    </row>
    <row r="2422" spans="1:5" ht="14.85" customHeight="1" outlineLevel="1" x14ac:dyDescent="0.25">
      <c r="A2422" s="101" t="s">
        <v>1502</v>
      </c>
      <c r="B2422" s="102" t="str">
        <f>"55.99"</f>
        <v>55.99</v>
      </c>
      <c r="C2422" s="101" t="s">
        <v>1559</v>
      </c>
      <c r="D2422" s="101" t="s">
        <v>5874</v>
      </c>
      <c r="E2422" s="79"/>
    </row>
    <row r="2423" spans="1:5" ht="14.85" customHeight="1" outlineLevel="1" x14ac:dyDescent="0.25">
      <c r="A2423" s="101" t="s">
        <v>1502</v>
      </c>
      <c r="B2423" s="102" t="str">
        <f>"55.9999"</f>
        <v>55.9999</v>
      </c>
      <c r="C2423" s="101" t="s">
        <v>1559</v>
      </c>
      <c r="D2423" s="101" t="s">
        <v>1560</v>
      </c>
      <c r="E2423" s="79"/>
    </row>
    <row r="2424" spans="1:5" ht="14.85" customHeight="1" outlineLevel="1" x14ac:dyDescent="0.25">
      <c r="A2424" s="101" t="s">
        <v>1502</v>
      </c>
      <c r="B2424" s="102" t="str">
        <f>"60"</f>
        <v>60</v>
      </c>
      <c r="C2424" s="101" t="s">
        <v>5875</v>
      </c>
      <c r="D2424" s="101" t="s">
        <v>5876</v>
      </c>
      <c r="E2424" s="79"/>
    </row>
    <row r="2425" spans="1:5" ht="14.85" customHeight="1" outlineLevel="1" x14ac:dyDescent="0.25">
      <c r="A2425" s="101" t="s">
        <v>1502</v>
      </c>
      <c r="B2425" s="102" t="str">
        <f>"60.01"</f>
        <v>60.01</v>
      </c>
      <c r="C2425" s="101" t="s">
        <v>5877</v>
      </c>
      <c r="D2425" s="101" t="s">
        <v>5878</v>
      </c>
      <c r="E2425" s="79"/>
    </row>
    <row r="2426" spans="1:5" ht="14.85" customHeight="1" outlineLevel="1" x14ac:dyDescent="0.25">
      <c r="A2426" s="101" t="s">
        <v>1502</v>
      </c>
      <c r="B2426" s="102" t="str">
        <f>"60.0101"</f>
        <v>60.0101</v>
      </c>
      <c r="C2426" s="101" t="s">
        <v>5879</v>
      </c>
      <c r="D2426" s="101" t="s">
        <v>5880</v>
      </c>
      <c r="E2426" s="79"/>
    </row>
    <row r="2427" spans="1:5" ht="14.85" customHeight="1" outlineLevel="1" x14ac:dyDescent="0.25">
      <c r="A2427" s="101" t="s">
        <v>1502</v>
      </c>
      <c r="B2427" s="102" t="str">
        <f>"60.0102"</f>
        <v>60.0102</v>
      </c>
      <c r="C2427" s="101" t="s">
        <v>5881</v>
      </c>
      <c r="D2427" s="101" t="s">
        <v>5882</v>
      </c>
      <c r="E2427" s="79"/>
    </row>
    <row r="2428" spans="1:5" ht="14.85" customHeight="1" outlineLevel="1" x14ac:dyDescent="0.25">
      <c r="A2428" s="101" t="s">
        <v>1502</v>
      </c>
      <c r="B2428" s="102" t="str">
        <f>"60.0103"</f>
        <v>60.0103</v>
      </c>
      <c r="C2428" s="101" t="s">
        <v>5883</v>
      </c>
      <c r="D2428" s="101" t="s">
        <v>5884</v>
      </c>
      <c r="E2428" s="79"/>
    </row>
    <row r="2429" spans="1:5" ht="14.85" customHeight="1" outlineLevel="1" x14ac:dyDescent="0.25">
      <c r="A2429" s="101" t="s">
        <v>1502</v>
      </c>
      <c r="B2429" s="102" t="str">
        <f>"60.0104"</f>
        <v>60.0104</v>
      </c>
      <c r="C2429" s="101" t="s">
        <v>5885</v>
      </c>
      <c r="D2429" s="101" t="s">
        <v>5886</v>
      </c>
      <c r="E2429" s="79"/>
    </row>
    <row r="2430" spans="1:5" ht="14.85" customHeight="1" outlineLevel="1" x14ac:dyDescent="0.25">
      <c r="A2430" s="101" t="s">
        <v>1502</v>
      </c>
      <c r="B2430" s="102" t="str">
        <f>"60.0105"</f>
        <v>60.0105</v>
      </c>
      <c r="C2430" s="101" t="s">
        <v>5887</v>
      </c>
      <c r="D2430" s="101" t="s">
        <v>5888</v>
      </c>
      <c r="E2430" s="79"/>
    </row>
    <row r="2431" spans="1:5" ht="14.85" customHeight="1" outlineLevel="1" x14ac:dyDescent="0.25">
      <c r="A2431" s="101" t="s">
        <v>1502</v>
      </c>
      <c r="B2431" s="102" t="str">
        <f>"60.0106"</f>
        <v>60.0106</v>
      </c>
      <c r="C2431" s="101" t="s">
        <v>5889</v>
      </c>
      <c r="D2431" s="101" t="s">
        <v>5890</v>
      </c>
      <c r="E2431" s="79"/>
    </row>
    <row r="2432" spans="1:5" ht="14.85" customHeight="1" outlineLevel="1" x14ac:dyDescent="0.25">
      <c r="A2432" s="101" t="s">
        <v>1502</v>
      </c>
      <c r="B2432" s="102" t="str">
        <f>"60.0107"</f>
        <v>60.0107</v>
      </c>
      <c r="C2432" s="101" t="s">
        <v>5891</v>
      </c>
      <c r="D2432" s="101" t="s">
        <v>5892</v>
      </c>
      <c r="E2432" s="79"/>
    </row>
    <row r="2433" spans="1:5" ht="14.85" customHeight="1" outlineLevel="1" x14ac:dyDescent="0.25">
      <c r="A2433" s="101" t="s">
        <v>1502</v>
      </c>
      <c r="B2433" s="102" t="str">
        <f>"60.0108"</f>
        <v>60.0108</v>
      </c>
      <c r="C2433" s="101" t="s">
        <v>5893</v>
      </c>
      <c r="D2433" s="101" t="s">
        <v>5894</v>
      </c>
      <c r="E2433" s="79"/>
    </row>
    <row r="2434" spans="1:5" ht="14.85" customHeight="1" outlineLevel="1" x14ac:dyDescent="0.25">
      <c r="A2434" s="101" t="s">
        <v>1502</v>
      </c>
      <c r="B2434" s="102" t="str">
        <f>"60.0109"</f>
        <v>60.0109</v>
      </c>
      <c r="C2434" s="101" t="s">
        <v>5895</v>
      </c>
      <c r="D2434" s="101" t="s">
        <v>5896</v>
      </c>
      <c r="E2434" s="79"/>
    </row>
    <row r="2435" spans="1:5" ht="14.85" customHeight="1" outlineLevel="1" x14ac:dyDescent="0.25">
      <c r="A2435" s="101" t="s">
        <v>1502</v>
      </c>
      <c r="B2435" s="102" t="str">
        <f>"60.0110"</f>
        <v>60.0110</v>
      </c>
      <c r="C2435" s="101" t="s">
        <v>5897</v>
      </c>
      <c r="D2435" s="101" t="s">
        <v>5898</v>
      </c>
      <c r="E2435" s="79"/>
    </row>
    <row r="2436" spans="1:5" ht="14.85" customHeight="1" outlineLevel="1" x14ac:dyDescent="0.25">
      <c r="A2436" s="101" t="s">
        <v>1502</v>
      </c>
      <c r="B2436" s="102" t="str">
        <f>"60.0199"</f>
        <v>60.0199</v>
      </c>
      <c r="C2436" s="101" t="s">
        <v>5899</v>
      </c>
      <c r="D2436" s="101" t="s">
        <v>5900</v>
      </c>
      <c r="E2436" s="79"/>
    </row>
    <row r="2437" spans="1:5" ht="14.85" customHeight="1" outlineLevel="1" x14ac:dyDescent="0.25">
      <c r="A2437" s="101" t="s">
        <v>1502</v>
      </c>
      <c r="B2437" s="102" t="str">
        <f>"60.03"</f>
        <v>60.03</v>
      </c>
      <c r="C2437" s="101" t="s">
        <v>5901</v>
      </c>
      <c r="D2437" s="101" t="s">
        <v>5902</v>
      </c>
      <c r="E2437" s="79"/>
    </row>
    <row r="2438" spans="1:5" ht="14.85" customHeight="1" outlineLevel="1" x14ac:dyDescent="0.25">
      <c r="A2438" s="101" t="s">
        <v>1502</v>
      </c>
      <c r="B2438" s="102" t="str">
        <f>"60.0301"</f>
        <v>60.0301</v>
      </c>
      <c r="C2438" s="101" t="s">
        <v>5903</v>
      </c>
      <c r="D2438" s="101" t="s">
        <v>5904</v>
      </c>
      <c r="E2438" s="79"/>
    </row>
    <row r="2439" spans="1:5" ht="14.85" customHeight="1" outlineLevel="1" x14ac:dyDescent="0.25">
      <c r="A2439" s="101" t="s">
        <v>1502</v>
      </c>
      <c r="B2439" s="102" t="str">
        <f>"60.0302"</f>
        <v>60.0302</v>
      </c>
      <c r="C2439" s="101" t="s">
        <v>5905</v>
      </c>
      <c r="D2439" s="101" t="s">
        <v>5906</v>
      </c>
      <c r="E2439" s="79"/>
    </row>
    <row r="2440" spans="1:5" ht="14.85" customHeight="1" outlineLevel="1" x14ac:dyDescent="0.25">
      <c r="A2440" s="101" t="s">
        <v>1502</v>
      </c>
      <c r="B2440" s="102" t="str">
        <f>"60.0303"</f>
        <v>60.0303</v>
      </c>
      <c r="C2440" s="101" t="s">
        <v>5907</v>
      </c>
      <c r="D2440" s="101" t="s">
        <v>5908</v>
      </c>
      <c r="E2440" s="79"/>
    </row>
    <row r="2441" spans="1:5" ht="14.85" customHeight="1" outlineLevel="1" x14ac:dyDescent="0.25">
      <c r="A2441" s="101" t="s">
        <v>1502</v>
      </c>
      <c r="B2441" s="102" t="str">
        <f>"60.0304"</f>
        <v>60.0304</v>
      </c>
      <c r="C2441" s="101" t="s">
        <v>5909</v>
      </c>
      <c r="D2441" s="101" t="s">
        <v>5910</v>
      </c>
      <c r="E2441" s="79"/>
    </row>
    <row r="2442" spans="1:5" ht="14.85" customHeight="1" outlineLevel="1" x14ac:dyDescent="0.25">
      <c r="A2442" s="101" t="s">
        <v>1502</v>
      </c>
      <c r="B2442" s="102" t="str">
        <f>"60.0305"</f>
        <v>60.0305</v>
      </c>
      <c r="C2442" s="101" t="s">
        <v>5911</v>
      </c>
      <c r="D2442" s="101" t="s">
        <v>5912</v>
      </c>
      <c r="E2442" s="79"/>
    </row>
    <row r="2443" spans="1:5" ht="14.85" customHeight="1" outlineLevel="1" x14ac:dyDescent="0.25">
      <c r="A2443" s="101" t="s">
        <v>1502</v>
      </c>
      <c r="B2443" s="102" t="str">
        <f>"60.0306"</f>
        <v>60.0306</v>
      </c>
      <c r="C2443" s="101" t="s">
        <v>5913</v>
      </c>
      <c r="D2443" s="101" t="s">
        <v>5914</v>
      </c>
      <c r="E2443" s="79"/>
    </row>
    <row r="2444" spans="1:5" ht="14.85" customHeight="1" outlineLevel="1" x14ac:dyDescent="0.25">
      <c r="A2444" s="101" t="s">
        <v>1502</v>
      </c>
      <c r="B2444" s="102" t="str">
        <f>"60.0307"</f>
        <v>60.0307</v>
      </c>
      <c r="C2444" s="101" t="s">
        <v>5915</v>
      </c>
      <c r="D2444" s="101" t="s">
        <v>5916</v>
      </c>
      <c r="E2444" s="79"/>
    </row>
    <row r="2445" spans="1:5" ht="14.85" customHeight="1" outlineLevel="1" x14ac:dyDescent="0.25">
      <c r="A2445" s="101" t="s">
        <v>1502</v>
      </c>
      <c r="B2445" s="102" t="str">
        <f>"60.0308"</f>
        <v>60.0308</v>
      </c>
      <c r="C2445" s="101" t="s">
        <v>5917</v>
      </c>
      <c r="D2445" s="101" t="s">
        <v>5918</v>
      </c>
      <c r="E2445" s="79"/>
    </row>
    <row r="2446" spans="1:5" ht="14.85" customHeight="1" outlineLevel="1" x14ac:dyDescent="0.25">
      <c r="A2446" s="101" t="s">
        <v>1502</v>
      </c>
      <c r="B2446" s="102" t="str">
        <f>"60.0309"</f>
        <v>60.0309</v>
      </c>
      <c r="C2446" s="101" t="s">
        <v>5919</v>
      </c>
      <c r="D2446" s="101" t="s">
        <v>5920</v>
      </c>
      <c r="E2446" s="79"/>
    </row>
    <row r="2447" spans="1:5" ht="14.85" customHeight="1" outlineLevel="1" x14ac:dyDescent="0.25">
      <c r="A2447" s="101" t="s">
        <v>1502</v>
      </c>
      <c r="B2447" s="102" t="str">
        <f>"60.0310"</f>
        <v>60.0310</v>
      </c>
      <c r="C2447" s="101" t="s">
        <v>5921</v>
      </c>
      <c r="D2447" s="101" t="s">
        <v>5922</v>
      </c>
      <c r="E2447" s="79"/>
    </row>
    <row r="2448" spans="1:5" ht="14.85" customHeight="1" outlineLevel="1" x14ac:dyDescent="0.25">
      <c r="A2448" s="101" t="s">
        <v>1502</v>
      </c>
      <c r="B2448" s="102" t="str">
        <f>"60.0311"</f>
        <v>60.0311</v>
      </c>
      <c r="C2448" s="101" t="s">
        <v>5923</v>
      </c>
      <c r="D2448" s="101" t="s">
        <v>5924</v>
      </c>
      <c r="E2448" s="79"/>
    </row>
    <row r="2449" spans="1:5" ht="14.85" customHeight="1" outlineLevel="1" x14ac:dyDescent="0.25">
      <c r="A2449" s="101" t="s">
        <v>1502</v>
      </c>
      <c r="B2449" s="102" t="str">
        <f>"60.0312"</f>
        <v>60.0312</v>
      </c>
      <c r="C2449" s="101" t="s">
        <v>5925</v>
      </c>
      <c r="D2449" s="101" t="s">
        <v>5926</v>
      </c>
      <c r="E2449" s="79"/>
    </row>
    <row r="2450" spans="1:5" ht="14.85" customHeight="1" outlineLevel="1" x14ac:dyDescent="0.25">
      <c r="A2450" s="101" t="s">
        <v>1502</v>
      </c>
      <c r="B2450" s="102" t="str">
        <f>"60.0313"</f>
        <v>60.0313</v>
      </c>
      <c r="C2450" s="101" t="s">
        <v>5927</v>
      </c>
      <c r="D2450" s="101" t="s">
        <v>5928</v>
      </c>
      <c r="E2450" s="79"/>
    </row>
    <row r="2451" spans="1:5" ht="14.85" customHeight="1" outlineLevel="1" x14ac:dyDescent="0.25">
      <c r="A2451" s="101" t="s">
        <v>1502</v>
      </c>
      <c r="B2451" s="102" t="str">
        <f>"60.0314"</f>
        <v>60.0314</v>
      </c>
      <c r="C2451" s="101" t="s">
        <v>5929</v>
      </c>
      <c r="D2451" s="101" t="s">
        <v>5930</v>
      </c>
      <c r="E2451" s="79"/>
    </row>
    <row r="2452" spans="1:5" ht="14.85" customHeight="1" outlineLevel="1" x14ac:dyDescent="0.25">
      <c r="A2452" s="101" t="s">
        <v>1502</v>
      </c>
      <c r="B2452" s="102" t="str">
        <f>"60.0315"</f>
        <v>60.0315</v>
      </c>
      <c r="C2452" s="101" t="s">
        <v>5931</v>
      </c>
      <c r="D2452" s="101" t="s">
        <v>5932</v>
      </c>
      <c r="E2452" s="79"/>
    </row>
    <row r="2453" spans="1:5" ht="14.85" customHeight="1" outlineLevel="1" x14ac:dyDescent="0.25">
      <c r="A2453" s="101" t="s">
        <v>1502</v>
      </c>
      <c r="B2453" s="102" t="str">
        <f>"60.0316"</f>
        <v>60.0316</v>
      </c>
      <c r="C2453" s="101" t="s">
        <v>5933</v>
      </c>
      <c r="D2453" s="101" t="s">
        <v>5934</v>
      </c>
      <c r="E2453" s="79"/>
    </row>
    <row r="2454" spans="1:5" ht="14.85" customHeight="1" outlineLevel="1" x14ac:dyDescent="0.25">
      <c r="A2454" s="101" t="s">
        <v>1502</v>
      </c>
      <c r="B2454" s="102" t="str">
        <f>"60.0317"</f>
        <v>60.0317</v>
      </c>
      <c r="C2454" s="101" t="s">
        <v>5935</v>
      </c>
      <c r="D2454" s="101" t="s">
        <v>5936</v>
      </c>
      <c r="E2454" s="79"/>
    </row>
    <row r="2455" spans="1:5" ht="14.85" customHeight="1" outlineLevel="1" x14ac:dyDescent="0.25">
      <c r="A2455" s="101" t="s">
        <v>1502</v>
      </c>
      <c r="B2455" s="102" t="str">
        <f>"60.0318"</f>
        <v>60.0318</v>
      </c>
      <c r="C2455" s="101" t="s">
        <v>5937</v>
      </c>
      <c r="D2455" s="101" t="s">
        <v>5938</v>
      </c>
      <c r="E2455" s="79"/>
    </row>
    <row r="2456" spans="1:5" ht="14.85" customHeight="1" outlineLevel="1" x14ac:dyDescent="0.25">
      <c r="A2456" s="101" t="s">
        <v>1502</v>
      </c>
      <c r="B2456" s="102" t="str">
        <f>"60.0319"</f>
        <v>60.0319</v>
      </c>
      <c r="C2456" s="101" t="s">
        <v>5939</v>
      </c>
      <c r="D2456" s="101" t="s">
        <v>5940</v>
      </c>
      <c r="E2456" s="79"/>
    </row>
    <row r="2457" spans="1:5" ht="14.85" customHeight="1" outlineLevel="1" x14ac:dyDescent="0.25">
      <c r="A2457" s="101" t="s">
        <v>1502</v>
      </c>
      <c r="B2457" s="102" t="str">
        <f>"60.0320"</f>
        <v>60.0320</v>
      </c>
      <c r="C2457" s="101" t="s">
        <v>5941</v>
      </c>
      <c r="D2457" s="101" t="s">
        <v>5942</v>
      </c>
      <c r="E2457" s="79"/>
    </row>
    <row r="2458" spans="1:5" ht="14.85" customHeight="1" outlineLevel="1" x14ac:dyDescent="0.25">
      <c r="A2458" s="101" t="s">
        <v>1502</v>
      </c>
      <c r="B2458" s="102" t="str">
        <f>"60.0399"</f>
        <v>60.0399</v>
      </c>
      <c r="C2458" s="101" t="s">
        <v>5943</v>
      </c>
      <c r="D2458" s="101" t="s">
        <v>5944</v>
      </c>
      <c r="E2458" s="79"/>
    </row>
    <row r="2459" spans="1:5" ht="14.85" customHeight="1" outlineLevel="1" x14ac:dyDescent="0.25">
      <c r="A2459" s="101" t="s">
        <v>1502</v>
      </c>
      <c r="B2459" s="102" t="str">
        <f>"60.07"</f>
        <v>60.07</v>
      </c>
      <c r="C2459" s="101" t="s">
        <v>5945</v>
      </c>
      <c r="D2459" s="101" t="s">
        <v>5946</v>
      </c>
      <c r="E2459" s="79"/>
    </row>
    <row r="2460" spans="1:5" ht="14.85" customHeight="1" outlineLevel="1" x14ac:dyDescent="0.25">
      <c r="A2460" s="101" t="s">
        <v>1502</v>
      </c>
      <c r="B2460" s="102" t="str">
        <f>"60.0701"</f>
        <v>60.0701</v>
      </c>
      <c r="C2460" s="101" t="s">
        <v>5947</v>
      </c>
      <c r="D2460" s="101" t="s">
        <v>5948</v>
      </c>
      <c r="E2460" s="79"/>
    </row>
    <row r="2461" spans="1:5" ht="14.85" customHeight="1" outlineLevel="1" x14ac:dyDescent="0.25">
      <c r="A2461" s="101" t="s">
        <v>1502</v>
      </c>
      <c r="B2461" s="102" t="str">
        <f>"60.0702"</f>
        <v>60.0702</v>
      </c>
      <c r="C2461" s="101" t="s">
        <v>5949</v>
      </c>
      <c r="D2461" s="101" t="s">
        <v>5950</v>
      </c>
      <c r="E2461" s="79"/>
    </row>
    <row r="2462" spans="1:5" ht="14.85" customHeight="1" outlineLevel="1" x14ac:dyDescent="0.25">
      <c r="A2462" s="101" t="s">
        <v>1502</v>
      </c>
      <c r="B2462" s="102" t="str">
        <f>"60.0703"</f>
        <v>60.0703</v>
      </c>
      <c r="C2462" s="101" t="s">
        <v>5951</v>
      </c>
      <c r="D2462" s="101" t="s">
        <v>5952</v>
      </c>
      <c r="E2462" s="79"/>
    </row>
    <row r="2463" spans="1:5" ht="14.85" customHeight="1" outlineLevel="1" x14ac:dyDescent="0.25">
      <c r="A2463" s="101" t="s">
        <v>1502</v>
      </c>
      <c r="B2463" s="102" t="str">
        <f>"60.0704"</f>
        <v>60.0704</v>
      </c>
      <c r="C2463" s="101" t="s">
        <v>5953</v>
      </c>
      <c r="D2463" s="101" t="s">
        <v>5954</v>
      </c>
      <c r="E2463" s="79"/>
    </row>
    <row r="2464" spans="1:5" ht="14.85" customHeight="1" outlineLevel="1" x14ac:dyDescent="0.25">
      <c r="A2464" s="101" t="s">
        <v>1502</v>
      </c>
      <c r="B2464" s="102" t="str">
        <f>"60.0705"</f>
        <v>60.0705</v>
      </c>
      <c r="C2464" s="101" t="s">
        <v>5955</v>
      </c>
      <c r="D2464" s="101" t="s">
        <v>5956</v>
      </c>
      <c r="E2464" s="79"/>
    </row>
    <row r="2465" spans="1:5" ht="14.85" customHeight="1" outlineLevel="1" x14ac:dyDescent="0.25">
      <c r="A2465" s="101" t="s">
        <v>1502</v>
      </c>
      <c r="B2465" s="102" t="str">
        <f>"60.0706"</f>
        <v>60.0706</v>
      </c>
      <c r="C2465" s="101" t="s">
        <v>5957</v>
      </c>
      <c r="D2465" s="101" t="s">
        <v>5958</v>
      </c>
      <c r="E2465" s="79"/>
    </row>
    <row r="2466" spans="1:5" ht="14.85" customHeight="1" outlineLevel="1" x14ac:dyDescent="0.25">
      <c r="A2466" s="101" t="s">
        <v>1502</v>
      </c>
      <c r="B2466" s="102" t="str">
        <f>"60.0707"</f>
        <v>60.0707</v>
      </c>
      <c r="C2466" s="101" t="s">
        <v>5959</v>
      </c>
      <c r="D2466" s="101" t="s">
        <v>5960</v>
      </c>
      <c r="E2466" s="79"/>
    </row>
    <row r="2467" spans="1:5" ht="14.85" customHeight="1" outlineLevel="1" x14ac:dyDescent="0.25">
      <c r="A2467" s="101" t="s">
        <v>1502</v>
      </c>
      <c r="B2467" s="102" t="str">
        <f>"60.0708"</f>
        <v>60.0708</v>
      </c>
      <c r="C2467" s="101" t="s">
        <v>5961</v>
      </c>
      <c r="D2467" s="101" t="s">
        <v>5962</v>
      </c>
      <c r="E2467" s="79"/>
    </row>
    <row r="2468" spans="1:5" ht="14.85" customHeight="1" outlineLevel="1" x14ac:dyDescent="0.25">
      <c r="A2468" s="101" t="s">
        <v>1502</v>
      </c>
      <c r="B2468" s="102" t="str">
        <f>"60.0709"</f>
        <v>60.0709</v>
      </c>
      <c r="C2468" s="101" t="s">
        <v>5963</v>
      </c>
      <c r="D2468" s="101" t="s">
        <v>5964</v>
      </c>
      <c r="E2468" s="79"/>
    </row>
    <row r="2469" spans="1:5" ht="14.85" customHeight="1" outlineLevel="1" x14ac:dyDescent="0.25">
      <c r="A2469" s="101" t="s">
        <v>1502</v>
      </c>
      <c r="B2469" s="102" t="str">
        <f>"60.0710"</f>
        <v>60.0710</v>
      </c>
      <c r="C2469" s="101" t="s">
        <v>5965</v>
      </c>
      <c r="D2469" s="101" t="s">
        <v>5966</v>
      </c>
      <c r="E2469" s="79"/>
    </row>
    <row r="2470" spans="1:5" ht="14.85" customHeight="1" outlineLevel="1" x14ac:dyDescent="0.25">
      <c r="A2470" s="101" t="s">
        <v>1502</v>
      </c>
      <c r="B2470" s="102" t="str">
        <f>"60.0711"</f>
        <v>60.0711</v>
      </c>
      <c r="C2470" s="101" t="s">
        <v>5967</v>
      </c>
      <c r="D2470" s="101" t="s">
        <v>5968</v>
      </c>
      <c r="E2470" s="79"/>
    </row>
    <row r="2471" spans="1:5" ht="14.85" customHeight="1" outlineLevel="1" x14ac:dyDescent="0.25">
      <c r="A2471" s="101" t="s">
        <v>1502</v>
      </c>
      <c r="B2471" s="102" t="str">
        <f>"60.0712"</f>
        <v>60.0712</v>
      </c>
      <c r="C2471" s="101" t="s">
        <v>5969</v>
      </c>
      <c r="D2471" s="101" t="s">
        <v>5970</v>
      </c>
      <c r="E2471" s="79"/>
    </row>
    <row r="2472" spans="1:5" ht="14.85" customHeight="1" outlineLevel="1" x14ac:dyDescent="0.25">
      <c r="A2472" s="101" t="s">
        <v>1502</v>
      </c>
      <c r="B2472" s="102" t="str">
        <f>"60.0713"</f>
        <v>60.0713</v>
      </c>
      <c r="C2472" s="101" t="s">
        <v>5971</v>
      </c>
      <c r="D2472" s="101" t="s">
        <v>5972</v>
      </c>
      <c r="E2472" s="79"/>
    </row>
    <row r="2473" spans="1:5" ht="14.85" customHeight="1" outlineLevel="1" x14ac:dyDescent="0.25">
      <c r="A2473" s="101" t="s">
        <v>1502</v>
      </c>
      <c r="B2473" s="102" t="str">
        <f>"60.0714"</f>
        <v>60.0714</v>
      </c>
      <c r="C2473" s="101" t="s">
        <v>5973</v>
      </c>
      <c r="D2473" s="101" t="s">
        <v>5974</v>
      </c>
      <c r="E2473" s="79"/>
    </row>
    <row r="2474" spans="1:5" ht="14.85" customHeight="1" outlineLevel="1" x14ac:dyDescent="0.25">
      <c r="A2474" s="101" t="s">
        <v>1502</v>
      </c>
      <c r="B2474" s="102" t="str">
        <f>"60.0715"</f>
        <v>60.0715</v>
      </c>
      <c r="C2474" s="101" t="s">
        <v>5975</v>
      </c>
      <c r="D2474" s="101" t="s">
        <v>5976</v>
      </c>
      <c r="E2474" s="79"/>
    </row>
    <row r="2475" spans="1:5" ht="14.85" customHeight="1" outlineLevel="1" x14ac:dyDescent="0.25">
      <c r="A2475" s="101" t="s">
        <v>1502</v>
      </c>
      <c r="B2475" s="102" t="str">
        <f>"60.0716"</f>
        <v>60.0716</v>
      </c>
      <c r="C2475" s="101" t="s">
        <v>5977</v>
      </c>
      <c r="D2475" s="101" t="s">
        <v>5978</v>
      </c>
      <c r="E2475" s="79"/>
    </row>
    <row r="2476" spans="1:5" ht="14.85" customHeight="1" outlineLevel="1" x14ac:dyDescent="0.25">
      <c r="A2476" s="101" t="s">
        <v>1502</v>
      </c>
      <c r="B2476" s="102" t="str">
        <f>"60.0717"</f>
        <v>60.0717</v>
      </c>
      <c r="C2476" s="101" t="s">
        <v>5979</v>
      </c>
      <c r="D2476" s="101" t="s">
        <v>5980</v>
      </c>
      <c r="E2476" s="79"/>
    </row>
    <row r="2477" spans="1:5" ht="14.85" customHeight="1" outlineLevel="1" x14ac:dyDescent="0.25">
      <c r="A2477" s="101" t="s">
        <v>1502</v>
      </c>
      <c r="B2477" s="102" t="str">
        <f>"60.0718"</f>
        <v>60.0718</v>
      </c>
      <c r="C2477" s="101" t="s">
        <v>5981</v>
      </c>
      <c r="D2477" s="101" t="s">
        <v>5982</v>
      </c>
      <c r="E2477" s="79"/>
    </row>
    <row r="2478" spans="1:5" ht="14.85" customHeight="1" outlineLevel="1" x14ac:dyDescent="0.25">
      <c r="A2478" s="101" t="s">
        <v>1502</v>
      </c>
      <c r="B2478" s="102" t="str">
        <f>"60.0719"</f>
        <v>60.0719</v>
      </c>
      <c r="C2478" s="101" t="s">
        <v>5983</v>
      </c>
      <c r="D2478" s="101" t="s">
        <v>5984</v>
      </c>
      <c r="E2478" s="79"/>
    </row>
    <row r="2479" spans="1:5" ht="14.85" customHeight="1" outlineLevel="1" x14ac:dyDescent="0.25">
      <c r="A2479" s="101" t="s">
        <v>1502</v>
      </c>
      <c r="B2479" s="102" t="str">
        <f>"60.0720"</f>
        <v>60.0720</v>
      </c>
      <c r="C2479" s="101" t="s">
        <v>5985</v>
      </c>
      <c r="D2479" s="101" t="s">
        <v>5986</v>
      </c>
      <c r="E2479" s="79"/>
    </row>
    <row r="2480" spans="1:5" ht="14.85" customHeight="1" outlineLevel="1" x14ac:dyDescent="0.25">
      <c r="A2480" s="101" t="s">
        <v>1502</v>
      </c>
      <c r="B2480" s="102" t="str">
        <f>"60.0721"</f>
        <v>60.0721</v>
      </c>
      <c r="C2480" s="101" t="s">
        <v>5987</v>
      </c>
      <c r="D2480" s="101" t="s">
        <v>5988</v>
      </c>
      <c r="E2480" s="79"/>
    </row>
    <row r="2481" spans="1:5" ht="14.85" customHeight="1" outlineLevel="1" x14ac:dyDescent="0.25">
      <c r="A2481" s="101" t="s">
        <v>1502</v>
      </c>
      <c r="B2481" s="102" t="str">
        <f>"60.0722"</f>
        <v>60.0722</v>
      </c>
      <c r="C2481" s="101" t="s">
        <v>5989</v>
      </c>
      <c r="D2481" s="101" t="s">
        <v>5990</v>
      </c>
      <c r="E2481" s="79"/>
    </row>
    <row r="2482" spans="1:5" ht="14.85" customHeight="1" outlineLevel="1" x14ac:dyDescent="0.25">
      <c r="A2482" s="101" t="s">
        <v>1502</v>
      </c>
      <c r="B2482" s="102" t="str">
        <f>"60.0723"</f>
        <v>60.0723</v>
      </c>
      <c r="C2482" s="101" t="s">
        <v>5991</v>
      </c>
      <c r="D2482" s="101" t="s">
        <v>5992</v>
      </c>
      <c r="E2482" s="79"/>
    </row>
    <row r="2483" spans="1:5" ht="14.85" customHeight="1" outlineLevel="1" x14ac:dyDescent="0.25">
      <c r="A2483" s="101" t="s">
        <v>1502</v>
      </c>
      <c r="B2483" s="102" t="str">
        <f>"60.0724"</f>
        <v>60.0724</v>
      </c>
      <c r="C2483" s="101" t="s">
        <v>5993</v>
      </c>
      <c r="D2483" s="101" t="s">
        <v>5994</v>
      </c>
      <c r="E2483" s="79"/>
    </row>
    <row r="2484" spans="1:5" ht="14.85" customHeight="1" outlineLevel="1" x14ac:dyDescent="0.25">
      <c r="A2484" s="101" t="s">
        <v>1502</v>
      </c>
      <c r="B2484" s="102" t="str">
        <f>"60.0725"</f>
        <v>60.0725</v>
      </c>
      <c r="C2484" s="101" t="s">
        <v>5995</v>
      </c>
      <c r="D2484" s="101" t="s">
        <v>5996</v>
      </c>
      <c r="E2484" s="79"/>
    </row>
    <row r="2485" spans="1:5" ht="14.85" customHeight="1" outlineLevel="1" x14ac:dyDescent="0.25">
      <c r="A2485" s="101" t="s">
        <v>1502</v>
      </c>
      <c r="B2485" s="102" t="str">
        <f>"60.0726"</f>
        <v>60.0726</v>
      </c>
      <c r="C2485" s="101" t="s">
        <v>5997</v>
      </c>
      <c r="D2485" s="101" t="s">
        <v>5998</v>
      </c>
      <c r="E2485" s="79"/>
    </row>
    <row r="2486" spans="1:5" ht="14.85" customHeight="1" outlineLevel="1" x14ac:dyDescent="0.25">
      <c r="A2486" s="101" t="s">
        <v>1502</v>
      </c>
      <c r="B2486" s="102" t="str">
        <f>"60.0727"</f>
        <v>60.0727</v>
      </c>
      <c r="C2486" s="101" t="s">
        <v>5999</v>
      </c>
      <c r="D2486" s="101" t="s">
        <v>6000</v>
      </c>
      <c r="E2486" s="79"/>
    </row>
    <row r="2487" spans="1:5" ht="14.85" customHeight="1" outlineLevel="1" x14ac:dyDescent="0.25">
      <c r="A2487" s="101" t="s">
        <v>1502</v>
      </c>
      <c r="B2487" s="102" t="str">
        <f>"60.0728"</f>
        <v>60.0728</v>
      </c>
      <c r="C2487" s="101" t="s">
        <v>6001</v>
      </c>
      <c r="D2487" s="101" t="s">
        <v>6002</v>
      </c>
      <c r="E2487" s="79"/>
    </row>
    <row r="2488" spans="1:5" ht="14.85" customHeight="1" outlineLevel="1" x14ac:dyDescent="0.25">
      <c r="A2488" s="101" t="s">
        <v>1502</v>
      </c>
      <c r="B2488" s="102" t="str">
        <f>"60.0729"</f>
        <v>60.0729</v>
      </c>
      <c r="C2488" s="101" t="s">
        <v>6003</v>
      </c>
      <c r="D2488" s="101" t="s">
        <v>6004</v>
      </c>
      <c r="E2488" s="79"/>
    </row>
    <row r="2489" spans="1:5" ht="14.85" customHeight="1" outlineLevel="1" x14ac:dyDescent="0.25">
      <c r="A2489" s="101" t="s">
        <v>1502</v>
      </c>
      <c r="B2489" s="102" t="str">
        <f>"60.0730"</f>
        <v>60.0730</v>
      </c>
      <c r="C2489" s="101" t="s">
        <v>6005</v>
      </c>
      <c r="D2489" s="101" t="s">
        <v>6006</v>
      </c>
      <c r="E2489" s="79"/>
    </row>
    <row r="2490" spans="1:5" ht="14.85" customHeight="1" outlineLevel="1" x14ac:dyDescent="0.25">
      <c r="A2490" s="101" t="s">
        <v>1502</v>
      </c>
      <c r="B2490" s="102" t="str">
        <f>"60.0731"</f>
        <v>60.0731</v>
      </c>
      <c r="C2490" s="101" t="s">
        <v>6007</v>
      </c>
      <c r="D2490" s="101" t="s">
        <v>6008</v>
      </c>
      <c r="E2490" s="79"/>
    </row>
    <row r="2491" spans="1:5" ht="14.85" customHeight="1" outlineLevel="1" x14ac:dyDescent="0.25">
      <c r="A2491" s="101" t="s">
        <v>1502</v>
      </c>
      <c r="B2491" s="102" t="str">
        <f>"60.0732"</f>
        <v>60.0732</v>
      </c>
      <c r="C2491" s="101" t="s">
        <v>6009</v>
      </c>
      <c r="D2491" s="101" t="s">
        <v>6010</v>
      </c>
      <c r="E2491" s="79"/>
    </row>
    <row r="2492" spans="1:5" ht="14.85" customHeight="1" outlineLevel="1" x14ac:dyDescent="0.25">
      <c r="A2492" s="101" t="s">
        <v>1502</v>
      </c>
      <c r="B2492" s="102" t="str">
        <f>"60.0733"</f>
        <v>60.0733</v>
      </c>
      <c r="C2492" s="101" t="s">
        <v>6011</v>
      </c>
      <c r="D2492" s="101" t="s">
        <v>6012</v>
      </c>
      <c r="E2492" s="79"/>
    </row>
    <row r="2493" spans="1:5" ht="14.85" customHeight="1" outlineLevel="1" x14ac:dyDescent="0.25">
      <c r="A2493" s="101" t="s">
        <v>1502</v>
      </c>
      <c r="B2493" s="102" t="str">
        <f>"60.0734"</f>
        <v>60.0734</v>
      </c>
      <c r="C2493" s="101" t="s">
        <v>6013</v>
      </c>
      <c r="D2493" s="101" t="s">
        <v>6014</v>
      </c>
      <c r="E2493" s="79"/>
    </row>
    <row r="2494" spans="1:5" ht="14.85" customHeight="1" outlineLevel="1" x14ac:dyDescent="0.25">
      <c r="A2494" s="101" t="s">
        <v>1502</v>
      </c>
      <c r="B2494" s="102" t="str">
        <f>"60.0735"</f>
        <v>60.0735</v>
      </c>
      <c r="C2494" s="101" t="s">
        <v>6015</v>
      </c>
      <c r="D2494" s="101" t="s">
        <v>6016</v>
      </c>
      <c r="E2494" s="79"/>
    </row>
    <row r="2495" spans="1:5" ht="14.85" customHeight="1" outlineLevel="1" x14ac:dyDescent="0.25">
      <c r="A2495" s="101" t="s">
        <v>1502</v>
      </c>
      <c r="B2495" s="102" t="str">
        <f>"60.0736"</f>
        <v>60.0736</v>
      </c>
      <c r="C2495" s="101" t="s">
        <v>6017</v>
      </c>
      <c r="D2495" s="101" t="s">
        <v>6018</v>
      </c>
      <c r="E2495" s="79"/>
    </row>
    <row r="2496" spans="1:5" ht="14.85" customHeight="1" outlineLevel="1" x14ac:dyDescent="0.25">
      <c r="A2496" s="101" t="s">
        <v>1502</v>
      </c>
      <c r="B2496" s="102" t="str">
        <f>"60.0737"</f>
        <v>60.0737</v>
      </c>
      <c r="C2496" s="101" t="s">
        <v>6019</v>
      </c>
      <c r="D2496" s="101" t="s">
        <v>6020</v>
      </c>
      <c r="E2496" s="79"/>
    </row>
    <row r="2497" spans="1:5" ht="14.85" customHeight="1" outlineLevel="1" x14ac:dyDescent="0.25">
      <c r="A2497" s="101" t="s">
        <v>1502</v>
      </c>
      <c r="B2497" s="102" t="str">
        <f>"60.0738"</f>
        <v>60.0738</v>
      </c>
      <c r="C2497" s="101" t="s">
        <v>6021</v>
      </c>
      <c r="D2497" s="101" t="s">
        <v>6022</v>
      </c>
      <c r="E2497" s="79"/>
    </row>
    <row r="2498" spans="1:5" ht="14.85" customHeight="1" outlineLevel="1" x14ac:dyDescent="0.25">
      <c r="A2498" s="101" t="s">
        <v>1502</v>
      </c>
      <c r="B2498" s="102" t="str">
        <f>"60.0739"</f>
        <v>60.0739</v>
      </c>
      <c r="C2498" s="101" t="s">
        <v>6023</v>
      </c>
      <c r="D2498" s="101" t="s">
        <v>6024</v>
      </c>
      <c r="E2498" s="79"/>
    </row>
    <row r="2499" spans="1:5" ht="14.85" customHeight="1" outlineLevel="1" x14ac:dyDescent="0.25">
      <c r="A2499" s="101" t="s">
        <v>1502</v>
      </c>
      <c r="B2499" s="102" t="str">
        <f>"60.0740"</f>
        <v>60.0740</v>
      </c>
      <c r="C2499" s="101" t="s">
        <v>6025</v>
      </c>
      <c r="D2499" s="101" t="s">
        <v>6026</v>
      </c>
      <c r="E2499" s="79"/>
    </row>
    <row r="2500" spans="1:5" ht="14.85" customHeight="1" outlineLevel="1" x14ac:dyDescent="0.25">
      <c r="A2500" s="101" t="s">
        <v>1502</v>
      </c>
      <c r="B2500" s="102" t="str">
        <f>"60.0741"</f>
        <v>60.0741</v>
      </c>
      <c r="C2500" s="101" t="s">
        <v>6027</v>
      </c>
      <c r="D2500" s="101" t="s">
        <v>6028</v>
      </c>
      <c r="E2500" s="79"/>
    </row>
    <row r="2501" spans="1:5" ht="14.85" customHeight="1" outlineLevel="1" x14ac:dyDescent="0.25">
      <c r="A2501" s="101" t="s">
        <v>1502</v>
      </c>
      <c r="B2501" s="102" t="str">
        <f>"60.0742"</f>
        <v>60.0742</v>
      </c>
      <c r="C2501" s="101" t="s">
        <v>6029</v>
      </c>
      <c r="D2501" s="101" t="s">
        <v>6030</v>
      </c>
      <c r="E2501" s="79"/>
    </row>
    <row r="2502" spans="1:5" ht="14.85" customHeight="1" outlineLevel="1" x14ac:dyDescent="0.25">
      <c r="A2502" s="101" t="s">
        <v>1502</v>
      </c>
      <c r="B2502" s="102" t="str">
        <f>"60.0743"</f>
        <v>60.0743</v>
      </c>
      <c r="C2502" s="101" t="s">
        <v>6031</v>
      </c>
      <c r="D2502" s="101" t="s">
        <v>6032</v>
      </c>
      <c r="E2502" s="79"/>
    </row>
    <row r="2503" spans="1:5" ht="14.85" customHeight="1" outlineLevel="1" x14ac:dyDescent="0.25">
      <c r="A2503" s="101" t="s">
        <v>1502</v>
      </c>
      <c r="B2503" s="102" t="str">
        <f>"60.0744"</f>
        <v>60.0744</v>
      </c>
      <c r="C2503" s="101" t="s">
        <v>6033</v>
      </c>
      <c r="D2503" s="101" t="s">
        <v>6034</v>
      </c>
      <c r="E2503" s="79"/>
    </row>
    <row r="2504" spans="1:5" ht="14.85" customHeight="1" outlineLevel="1" x14ac:dyDescent="0.25">
      <c r="A2504" s="101" t="s">
        <v>1502</v>
      </c>
      <c r="B2504" s="102" t="str">
        <f>"60.0745"</f>
        <v>60.0745</v>
      </c>
      <c r="C2504" s="101" t="s">
        <v>6035</v>
      </c>
      <c r="D2504" s="101" t="s">
        <v>6036</v>
      </c>
      <c r="E2504" s="79"/>
    </row>
    <row r="2505" spans="1:5" ht="14.85" customHeight="1" outlineLevel="1" x14ac:dyDescent="0.25">
      <c r="A2505" s="101" t="s">
        <v>1502</v>
      </c>
      <c r="B2505" s="102" t="str">
        <f>"60.0746"</f>
        <v>60.0746</v>
      </c>
      <c r="C2505" s="101" t="s">
        <v>6037</v>
      </c>
      <c r="D2505" s="101" t="s">
        <v>6038</v>
      </c>
      <c r="E2505" s="79"/>
    </row>
    <row r="2506" spans="1:5" ht="14.85" customHeight="1" outlineLevel="1" x14ac:dyDescent="0.25">
      <c r="A2506" s="101" t="s">
        <v>1502</v>
      </c>
      <c r="B2506" s="102" t="str">
        <f>"60.0747"</f>
        <v>60.0747</v>
      </c>
      <c r="C2506" s="101" t="s">
        <v>6039</v>
      </c>
      <c r="D2506" s="101" t="s">
        <v>6040</v>
      </c>
      <c r="E2506" s="79"/>
    </row>
    <row r="2507" spans="1:5" ht="14.85" customHeight="1" outlineLevel="1" x14ac:dyDescent="0.25">
      <c r="A2507" s="101" t="s">
        <v>1502</v>
      </c>
      <c r="B2507" s="102" t="str">
        <f>"60.0748"</f>
        <v>60.0748</v>
      </c>
      <c r="C2507" s="101" t="s">
        <v>6041</v>
      </c>
      <c r="D2507" s="101" t="s">
        <v>6042</v>
      </c>
      <c r="E2507" s="79"/>
    </row>
    <row r="2508" spans="1:5" ht="14.85" customHeight="1" outlineLevel="1" x14ac:dyDescent="0.25">
      <c r="A2508" s="101" t="s">
        <v>1502</v>
      </c>
      <c r="B2508" s="102" t="str">
        <f>"60.0749"</f>
        <v>60.0749</v>
      </c>
      <c r="C2508" s="101" t="s">
        <v>6043</v>
      </c>
      <c r="D2508" s="101" t="s">
        <v>6044</v>
      </c>
      <c r="E2508" s="79"/>
    </row>
    <row r="2509" spans="1:5" ht="14.85" customHeight="1" outlineLevel="1" x14ac:dyDescent="0.25">
      <c r="A2509" s="101" t="s">
        <v>1502</v>
      </c>
      <c r="B2509" s="102" t="str">
        <f>"60.0750"</f>
        <v>60.0750</v>
      </c>
      <c r="C2509" s="101" t="s">
        <v>6045</v>
      </c>
      <c r="D2509" s="101" t="s">
        <v>6046</v>
      </c>
      <c r="E2509" s="79"/>
    </row>
    <row r="2510" spans="1:5" ht="14.85" customHeight="1" outlineLevel="1" x14ac:dyDescent="0.25">
      <c r="A2510" s="101" t="s">
        <v>1502</v>
      </c>
      <c r="B2510" s="102" t="str">
        <f>"60.0751"</f>
        <v>60.0751</v>
      </c>
      <c r="C2510" s="101" t="s">
        <v>6047</v>
      </c>
      <c r="D2510" s="101" t="s">
        <v>6048</v>
      </c>
      <c r="E2510" s="79"/>
    </row>
    <row r="2511" spans="1:5" ht="14.85" customHeight="1" outlineLevel="1" x14ac:dyDescent="0.25">
      <c r="A2511" s="101" t="s">
        <v>1502</v>
      </c>
      <c r="B2511" s="102" t="str">
        <f>"60.0799"</f>
        <v>60.0799</v>
      </c>
      <c r="C2511" s="101" t="s">
        <v>6049</v>
      </c>
      <c r="D2511" s="101" t="s">
        <v>6050</v>
      </c>
      <c r="E2511" s="79"/>
    </row>
    <row r="2512" spans="1:5" ht="14.85" customHeight="1" outlineLevel="1" x14ac:dyDescent="0.25">
      <c r="A2512" s="101" t="s">
        <v>1502</v>
      </c>
      <c r="B2512" s="102" t="str">
        <f>"60.08"</f>
        <v>60.08</v>
      </c>
      <c r="C2512" s="101" t="s">
        <v>6051</v>
      </c>
      <c r="D2512" s="101" t="s">
        <v>6052</v>
      </c>
      <c r="E2512" s="79"/>
    </row>
    <row r="2513" spans="1:5" ht="14.85" customHeight="1" outlineLevel="1" x14ac:dyDescent="0.25">
      <c r="A2513" s="101" t="s">
        <v>1502</v>
      </c>
      <c r="B2513" s="102" t="str">
        <f>"60.0801"</f>
        <v>60.0801</v>
      </c>
      <c r="C2513" s="101" t="s">
        <v>6053</v>
      </c>
      <c r="D2513" s="101" t="s">
        <v>6054</v>
      </c>
      <c r="E2513" s="79"/>
    </row>
    <row r="2514" spans="1:5" ht="14.85" customHeight="1" outlineLevel="1" x14ac:dyDescent="0.25">
      <c r="A2514" s="101" t="s">
        <v>1502</v>
      </c>
      <c r="B2514" s="102" t="str">
        <f>"60.0802"</f>
        <v>60.0802</v>
      </c>
      <c r="C2514" s="101" t="s">
        <v>6055</v>
      </c>
      <c r="D2514" s="101" t="s">
        <v>6056</v>
      </c>
      <c r="E2514" s="79"/>
    </row>
    <row r="2515" spans="1:5" ht="14.85" customHeight="1" outlineLevel="1" x14ac:dyDescent="0.25">
      <c r="A2515" s="101" t="s">
        <v>1502</v>
      </c>
      <c r="B2515" s="102" t="str">
        <f>"60.0803"</f>
        <v>60.0803</v>
      </c>
      <c r="C2515" s="101" t="s">
        <v>6057</v>
      </c>
      <c r="D2515" s="101" t="s">
        <v>6058</v>
      </c>
      <c r="E2515" s="79"/>
    </row>
    <row r="2516" spans="1:5" ht="14.85" customHeight="1" outlineLevel="1" x14ac:dyDescent="0.25">
      <c r="A2516" s="101" t="s">
        <v>1502</v>
      </c>
      <c r="B2516" s="102" t="str">
        <f>"60.0804"</f>
        <v>60.0804</v>
      </c>
      <c r="C2516" s="101" t="s">
        <v>6059</v>
      </c>
      <c r="D2516" s="101" t="s">
        <v>6060</v>
      </c>
      <c r="E2516" s="79"/>
    </row>
    <row r="2517" spans="1:5" ht="14.85" customHeight="1" outlineLevel="1" x14ac:dyDescent="0.25">
      <c r="A2517" s="101" t="s">
        <v>1502</v>
      </c>
      <c r="B2517" s="102" t="str">
        <f>"60.0805"</f>
        <v>60.0805</v>
      </c>
      <c r="C2517" s="101" t="s">
        <v>6061</v>
      </c>
      <c r="D2517" s="101" t="s">
        <v>6062</v>
      </c>
      <c r="E2517" s="79"/>
    </row>
    <row r="2518" spans="1:5" ht="14.85" customHeight="1" outlineLevel="1" x14ac:dyDescent="0.25">
      <c r="A2518" s="101" t="s">
        <v>1502</v>
      </c>
      <c r="B2518" s="102" t="str">
        <f>"60.0806"</f>
        <v>60.0806</v>
      </c>
      <c r="C2518" s="101" t="s">
        <v>6063</v>
      </c>
      <c r="D2518" s="101" t="s">
        <v>6064</v>
      </c>
      <c r="E2518" s="79"/>
    </row>
    <row r="2519" spans="1:5" ht="14.85" customHeight="1" outlineLevel="1" x14ac:dyDescent="0.25">
      <c r="A2519" s="101" t="s">
        <v>1502</v>
      </c>
      <c r="B2519" s="102" t="str">
        <f>"60.0807"</f>
        <v>60.0807</v>
      </c>
      <c r="C2519" s="101" t="s">
        <v>6065</v>
      </c>
      <c r="D2519" s="101" t="s">
        <v>6066</v>
      </c>
      <c r="E2519" s="79"/>
    </row>
    <row r="2520" spans="1:5" ht="14.85" customHeight="1" outlineLevel="1" x14ac:dyDescent="0.25">
      <c r="A2520" s="101" t="s">
        <v>1502</v>
      </c>
      <c r="B2520" s="102" t="str">
        <f>"60.0808"</f>
        <v>60.0808</v>
      </c>
      <c r="C2520" s="101" t="s">
        <v>6067</v>
      </c>
      <c r="D2520" s="101" t="s">
        <v>6068</v>
      </c>
      <c r="E2520" s="79"/>
    </row>
    <row r="2521" spans="1:5" ht="14.85" customHeight="1" outlineLevel="1" x14ac:dyDescent="0.25">
      <c r="A2521" s="101" t="s">
        <v>1502</v>
      </c>
      <c r="B2521" s="102" t="str">
        <f>"60.0809"</f>
        <v>60.0809</v>
      </c>
      <c r="C2521" s="101" t="s">
        <v>6069</v>
      </c>
      <c r="D2521" s="101" t="s">
        <v>6070</v>
      </c>
      <c r="E2521" s="79"/>
    </row>
    <row r="2522" spans="1:5" ht="14.85" customHeight="1" outlineLevel="1" x14ac:dyDescent="0.25">
      <c r="A2522" s="101" t="s">
        <v>1502</v>
      </c>
      <c r="B2522" s="102" t="str">
        <f>"60.0810"</f>
        <v>60.0810</v>
      </c>
      <c r="C2522" s="101" t="s">
        <v>6071</v>
      </c>
      <c r="D2522" s="101" t="s">
        <v>6072</v>
      </c>
      <c r="E2522" s="79"/>
    </row>
    <row r="2523" spans="1:5" ht="14.85" customHeight="1" outlineLevel="1" x14ac:dyDescent="0.25">
      <c r="A2523" s="101" t="s">
        <v>1502</v>
      </c>
      <c r="B2523" s="102" t="str">
        <f>"60.0811"</f>
        <v>60.0811</v>
      </c>
      <c r="C2523" s="101" t="s">
        <v>6073</v>
      </c>
      <c r="D2523" s="101" t="s">
        <v>6074</v>
      </c>
      <c r="E2523" s="79"/>
    </row>
    <row r="2524" spans="1:5" ht="14.85" customHeight="1" outlineLevel="1" x14ac:dyDescent="0.25">
      <c r="A2524" s="101" t="s">
        <v>1502</v>
      </c>
      <c r="B2524" s="102" t="str">
        <f>"60.0812"</f>
        <v>60.0812</v>
      </c>
      <c r="C2524" s="101" t="s">
        <v>6075</v>
      </c>
      <c r="D2524" s="101" t="s">
        <v>6076</v>
      </c>
      <c r="E2524" s="79"/>
    </row>
    <row r="2525" spans="1:5" ht="14.85" customHeight="1" outlineLevel="1" x14ac:dyDescent="0.25">
      <c r="A2525" s="101" t="s">
        <v>1502</v>
      </c>
      <c r="B2525" s="102" t="str">
        <f>"60.0813"</f>
        <v>60.0813</v>
      </c>
      <c r="C2525" s="101" t="s">
        <v>6077</v>
      </c>
      <c r="D2525" s="101" t="s">
        <v>6078</v>
      </c>
      <c r="E2525" s="79"/>
    </row>
    <row r="2526" spans="1:5" ht="14.85" customHeight="1" outlineLevel="1" x14ac:dyDescent="0.25">
      <c r="A2526" s="101" t="s">
        <v>1502</v>
      </c>
      <c r="B2526" s="102" t="str">
        <f>"60.0814"</f>
        <v>60.0814</v>
      </c>
      <c r="C2526" s="101" t="s">
        <v>6079</v>
      </c>
      <c r="D2526" s="101" t="s">
        <v>6080</v>
      </c>
      <c r="E2526" s="79"/>
    </row>
    <row r="2527" spans="1:5" ht="14.85" customHeight="1" outlineLevel="1" x14ac:dyDescent="0.25">
      <c r="A2527" s="101" t="s">
        <v>1502</v>
      </c>
      <c r="B2527" s="102" t="str">
        <f>"60.0815"</f>
        <v>60.0815</v>
      </c>
      <c r="C2527" s="101" t="s">
        <v>6081</v>
      </c>
      <c r="D2527" s="101" t="s">
        <v>6082</v>
      </c>
      <c r="E2527" s="79"/>
    </row>
    <row r="2528" spans="1:5" ht="14.85" customHeight="1" outlineLevel="1" x14ac:dyDescent="0.25">
      <c r="A2528" s="101" t="s">
        <v>1502</v>
      </c>
      <c r="B2528" s="102" t="str">
        <f>"60.0816"</f>
        <v>60.0816</v>
      </c>
      <c r="C2528" s="101" t="s">
        <v>6083</v>
      </c>
      <c r="D2528" s="101" t="s">
        <v>6084</v>
      </c>
      <c r="E2528" s="79"/>
    </row>
    <row r="2529" spans="1:5" ht="14.85" customHeight="1" outlineLevel="1" x14ac:dyDescent="0.25">
      <c r="A2529" s="101" t="s">
        <v>1502</v>
      </c>
      <c r="B2529" s="102" t="str">
        <f>"60.0817"</f>
        <v>60.0817</v>
      </c>
      <c r="C2529" s="101" t="s">
        <v>6085</v>
      </c>
      <c r="D2529" s="101" t="s">
        <v>6086</v>
      </c>
      <c r="E2529" s="79"/>
    </row>
    <row r="2530" spans="1:5" ht="14.85" customHeight="1" outlineLevel="1" x14ac:dyDescent="0.25">
      <c r="A2530" s="101" t="s">
        <v>1502</v>
      </c>
      <c r="B2530" s="102" t="str">
        <f>"60.0818"</f>
        <v>60.0818</v>
      </c>
      <c r="C2530" s="101" t="s">
        <v>6087</v>
      </c>
      <c r="D2530" s="101" t="s">
        <v>6088</v>
      </c>
      <c r="E2530" s="79"/>
    </row>
    <row r="2531" spans="1:5" ht="14.85" customHeight="1" outlineLevel="1" x14ac:dyDescent="0.25">
      <c r="A2531" s="101" t="s">
        <v>1502</v>
      </c>
      <c r="B2531" s="102" t="str">
        <f>"60.0819"</f>
        <v>60.0819</v>
      </c>
      <c r="C2531" s="101" t="s">
        <v>6089</v>
      </c>
      <c r="D2531" s="101" t="s">
        <v>6090</v>
      </c>
      <c r="E2531" s="79"/>
    </row>
    <row r="2532" spans="1:5" ht="14.85" customHeight="1" outlineLevel="1" x14ac:dyDescent="0.25">
      <c r="A2532" s="101" t="s">
        <v>1502</v>
      </c>
      <c r="B2532" s="102" t="str">
        <f>"60.0820"</f>
        <v>60.0820</v>
      </c>
      <c r="C2532" s="101" t="s">
        <v>6091</v>
      </c>
      <c r="D2532" s="101" t="s">
        <v>6092</v>
      </c>
      <c r="E2532" s="79"/>
    </row>
    <row r="2533" spans="1:5" ht="14.85" customHeight="1" outlineLevel="1" x14ac:dyDescent="0.25">
      <c r="A2533" s="101" t="s">
        <v>1502</v>
      </c>
      <c r="B2533" s="102" t="str">
        <f>"60.0821"</f>
        <v>60.0821</v>
      </c>
      <c r="C2533" s="101" t="s">
        <v>6093</v>
      </c>
      <c r="D2533" s="101" t="s">
        <v>6094</v>
      </c>
      <c r="E2533" s="79"/>
    </row>
    <row r="2534" spans="1:5" ht="14.85" customHeight="1" outlineLevel="1" x14ac:dyDescent="0.25">
      <c r="A2534" s="101" t="s">
        <v>1502</v>
      </c>
      <c r="B2534" s="102" t="str">
        <f>"60.0822"</f>
        <v>60.0822</v>
      </c>
      <c r="C2534" s="101" t="s">
        <v>6095</v>
      </c>
      <c r="D2534" s="101" t="s">
        <v>6096</v>
      </c>
      <c r="E2534" s="79"/>
    </row>
    <row r="2535" spans="1:5" ht="14.85" customHeight="1" outlineLevel="1" x14ac:dyDescent="0.25">
      <c r="A2535" s="101" t="s">
        <v>1502</v>
      </c>
      <c r="B2535" s="102" t="str">
        <f>"60.0823"</f>
        <v>60.0823</v>
      </c>
      <c r="C2535" s="101" t="s">
        <v>6097</v>
      </c>
      <c r="D2535" s="101" t="s">
        <v>6098</v>
      </c>
      <c r="E2535" s="79"/>
    </row>
    <row r="2536" spans="1:5" ht="14.85" customHeight="1" outlineLevel="1" x14ac:dyDescent="0.25">
      <c r="A2536" s="101" t="s">
        <v>1502</v>
      </c>
      <c r="B2536" s="102" t="str">
        <f>"60.0824"</f>
        <v>60.0824</v>
      </c>
      <c r="C2536" s="101" t="s">
        <v>6099</v>
      </c>
      <c r="D2536" s="101" t="s">
        <v>6100</v>
      </c>
      <c r="E2536" s="79"/>
    </row>
    <row r="2537" spans="1:5" ht="14.85" customHeight="1" outlineLevel="1" x14ac:dyDescent="0.25">
      <c r="A2537" s="101" t="s">
        <v>1502</v>
      </c>
      <c r="B2537" s="102" t="str">
        <f>"60.0825"</f>
        <v>60.0825</v>
      </c>
      <c r="C2537" s="101" t="s">
        <v>6101</v>
      </c>
      <c r="D2537" s="101" t="s">
        <v>6102</v>
      </c>
      <c r="E2537" s="79"/>
    </row>
    <row r="2538" spans="1:5" ht="14.85" customHeight="1" outlineLevel="1" x14ac:dyDescent="0.25">
      <c r="A2538" s="101" t="s">
        <v>1502</v>
      </c>
      <c r="B2538" s="102" t="str">
        <f>"60.0826"</f>
        <v>60.0826</v>
      </c>
      <c r="C2538" s="101" t="s">
        <v>6103</v>
      </c>
      <c r="D2538" s="101" t="s">
        <v>6104</v>
      </c>
      <c r="E2538" s="79"/>
    </row>
    <row r="2539" spans="1:5" ht="14.85" customHeight="1" outlineLevel="1" x14ac:dyDescent="0.25">
      <c r="A2539" s="101" t="s">
        <v>1502</v>
      </c>
      <c r="B2539" s="102" t="str">
        <f>"60.0827"</f>
        <v>60.0827</v>
      </c>
      <c r="C2539" s="101" t="s">
        <v>6105</v>
      </c>
      <c r="D2539" s="101" t="s">
        <v>6106</v>
      </c>
      <c r="E2539" s="79"/>
    </row>
    <row r="2540" spans="1:5" ht="14.85" customHeight="1" outlineLevel="1" x14ac:dyDescent="0.25">
      <c r="A2540" s="101" t="s">
        <v>1502</v>
      </c>
      <c r="B2540" s="102" t="str">
        <f>"60.0828"</f>
        <v>60.0828</v>
      </c>
      <c r="C2540" s="101" t="s">
        <v>6107</v>
      </c>
      <c r="D2540" s="101" t="s">
        <v>6108</v>
      </c>
      <c r="E2540" s="79"/>
    </row>
    <row r="2541" spans="1:5" ht="14.85" customHeight="1" outlineLevel="1" x14ac:dyDescent="0.25">
      <c r="A2541" s="101" t="s">
        <v>1502</v>
      </c>
      <c r="B2541" s="102" t="str">
        <f>"60.0829"</f>
        <v>60.0829</v>
      </c>
      <c r="C2541" s="101" t="s">
        <v>6109</v>
      </c>
      <c r="D2541" s="101" t="s">
        <v>6110</v>
      </c>
      <c r="E2541" s="79"/>
    </row>
    <row r="2542" spans="1:5" ht="14.85" customHeight="1" outlineLevel="1" x14ac:dyDescent="0.25">
      <c r="A2542" s="101" t="s">
        <v>1502</v>
      </c>
      <c r="B2542" s="102" t="str">
        <f>"60.0830"</f>
        <v>60.0830</v>
      </c>
      <c r="C2542" s="101" t="s">
        <v>6111</v>
      </c>
      <c r="D2542" s="101" t="s">
        <v>6112</v>
      </c>
      <c r="E2542" s="79"/>
    </row>
    <row r="2543" spans="1:5" ht="14.85" customHeight="1" outlineLevel="1" x14ac:dyDescent="0.25">
      <c r="A2543" s="101" t="s">
        <v>1502</v>
      </c>
      <c r="B2543" s="102" t="str">
        <f>"60.0831"</f>
        <v>60.0831</v>
      </c>
      <c r="C2543" s="101" t="s">
        <v>6113</v>
      </c>
      <c r="D2543" s="101" t="s">
        <v>6114</v>
      </c>
      <c r="E2543" s="79"/>
    </row>
    <row r="2544" spans="1:5" ht="14.85" customHeight="1" outlineLevel="1" x14ac:dyDescent="0.25">
      <c r="A2544" s="101" t="s">
        <v>1502</v>
      </c>
      <c r="B2544" s="102" t="str">
        <f>"60.0832"</f>
        <v>60.0832</v>
      </c>
      <c r="C2544" s="101" t="s">
        <v>6115</v>
      </c>
      <c r="D2544" s="101" t="s">
        <v>6116</v>
      </c>
      <c r="E2544" s="79"/>
    </row>
    <row r="2545" spans="1:5" ht="14.85" customHeight="1" outlineLevel="1" x14ac:dyDescent="0.25">
      <c r="A2545" s="101" t="s">
        <v>1502</v>
      </c>
      <c r="B2545" s="102" t="str">
        <f>"60.0899"</f>
        <v>60.0899</v>
      </c>
      <c r="C2545" s="101" t="s">
        <v>6117</v>
      </c>
      <c r="D2545" s="101" t="s">
        <v>6118</v>
      </c>
      <c r="E2545" s="79"/>
    </row>
    <row r="2546" spans="1:5" ht="14.85" customHeight="1" outlineLevel="1" x14ac:dyDescent="0.25">
      <c r="A2546" s="101" t="s">
        <v>1502</v>
      </c>
      <c r="B2546" s="102" t="str">
        <f>"60.09"</f>
        <v>60.09</v>
      </c>
      <c r="C2546" s="101" t="s">
        <v>6119</v>
      </c>
      <c r="D2546" s="101" t="s">
        <v>6120</v>
      </c>
      <c r="E2546" s="79"/>
    </row>
    <row r="2547" spans="1:5" ht="14.85" customHeight="1" outlineLevel="1" x14ac:dyDescent="0.25">
      <c r="A2547" s="101" t="s">
        <v>1502</v>
      </c>
      <c r="B2547" s="102" t="str">
        <f>"60.0901"</f>
        <v>60.0901</v>
      </c>
      <c r="C2547" s="101" t="s">
        <v>6121</v>
      </c>
      <c r="D2547" s="101" t="s">
        <v>6122</v>
      </c>
      <c r="E2547" s="79"/>
    </row>
    <row r="2548" spans="1:5" ht="14.85" customHeight="1" outlineLevel="1" x14ac:dyDescent="0.25">
      <c r="A2548" s="101" t="s">
        <v>1502</v>
      </c>
      <c r="B2548" s="102" t="str">
        <f>"60.0902"</f>
        <v>60.0902</v>
      </c>
      <c r="C2548" s="101" t="s">
        <v>6123</v>
      </c>
      <c r="D2548" s="101" t="s">
        <v>6124</v>
      </c>
      <c r="E2548" s="79"/>
    </row>
    <row r="2549" spans="1:5" ht="14.85" customHeight="1" outlineLevel="1" x14ac:dyDescent="0.25">
      <c r="A2549" s="101" t="s">
        <v>1502</v>
      </c>
      <c r="B2549" s="102" t="str">
        <f>"60.0903"</f>
        <v>60.0903</v>
      </c>
      <c r="C2549" s="101" t="s">
        <v>6125</v>
      </c>
      <c r="D2549" s="101" t="s">
        <v>6126</v>
      </c>
      <c r="E2549" s="79"/>
    </row>
    <row r="2550" spans="1:5" ht="14.85" customHeight="1" outlineLevel="1" x14ac:dyDescent="0.25">
      <c r="A2550" s="101" t="s">
        <v>1502</v>
      </c>
      <c r="B2550" s="102" t="str">
        <f>"60.0904"</f>
        <v>60.0904</v>
      </c>
      <c r="C2550" s="101" t="s">
        <v>6127</v>
      </c>
      <c r="D2550" s="101" t="s">
        <v>6128</v>
      </c>
      <c r="E2550" s="79"/>
    </row>
    <row r="2551" spans="1:5" ht="14.85" customHeight="1" outlineLevel="1" x14ac:dyDescent="0.25">
      <c r="A2551" s="101" t="s">
        <v>1502</v>
      </c>
      <c r="B2551" s="102" t="str">
        <f>"60.0905"</f>
        <v>60.0905</v>
      </c>
      <c r="C2551" s="101" t="s">
        <v>6129</v>
      </c>
      <c r="D2551" s="101" t="s">
        <v>6130</v>
      </c>
      <c r="E2551" s="79"/>
    </row>
    <row r="2552" spans="1:5" ht="14.85" customHeight="1" outlineLevel="1" x14ac:dyDescent="0.25">
      <c r="A2552" s="101" t="s">
        <v>1502</v>
      </c>
      <c r="B2552" s="102" t="str">
        <f>"60.0906"</f>
        <v>60.0906</v>
      </c>
      <c r="C2552" s="101" t="s">
        <v>6131</v>
      </c>
      <c r="D2552" s="101" t="s">
        <v>6132</v>
      </c>
      <c r="E2552" s="79"/>
    </row>
    <row r="2553" spans="1:5" ht="14.85" customHeight="1" outlineLevel="1" x14ac:dyDescent="0.25">
      <c r="A2553" s="101" t="s">
        <v>1502</v>
      </c>
      <c r="B2553" s="102" t="str">
        <f>"60.0907"</f>
        <v>60.0907</v>
      </c>
      <c r="C2553" s="101" t="s">
        <v>6133</v>
      </c>
      <c r="D2553" s="101" t="s">
        <v>6134</v>
      </c>
      <c r="E2553" s="79"/>
    </row>
    <row r="2554" spans="1:5" ht="14.85" customHeight="1" outlineLevel="1" x14ac:dyDescent="0.25">
      <c r="A2554" s="101" t="s">
        <v>1502</v>
      </c>
      <c r="B2554" s="102" t="str">
        <f>"60.0908"</f>
        <v>60.0908</v>
      </c>
      <c r="C2554" s="101" t="s">
        <v>6135</v>
      </c>
      <c r="D2554" s="101" t="s">
        <v>6136</v>
      </c>
      <c r="E2554" s="79"/>
    </row>
    <row r="2555" spans="1:5" ht="14.85" customHeight="1" outlineLevel="1" x14ac:dyDescent="0.25">
      <c r="A2555" s="101" t="s">
        <v>1502</v>
      </c>
      <c r="B2555" s="102" t="str">
        <f>"60.0909"</f>
        <v>60.0909</v>
      </c>
      <c r="C2555" s="101" t="s">
        <v>6137</v>
      </c>
      <c r="D2555" s="101" t="s">
        <v>6138</v>
      </c>
      <c r="E2555" s="79"/>
    </row>
    <row r="2556" spans="1:5" ht="14.85" customHeight="1" outlineLevel="1" x14ac:dyDescent="0.25">
      <c r="A2556" s="101" t="s">
        <v>1502</v>
      </c>
      <c r="B2556" s="102" t="str">
        <f>"60.0910"</f>
        <v>60.0910</v>
      </c>
      <c r="C2556" s="101" t="s">
        <v>6139</v>
      </c>
      <c r="D2556" s="101" t="s">
        <v>6140</v>
      </c>
      <c r="E2556" s="79"/>
    </row>
    <row r="2557" spans="1:5" ht="14.85" customHeight="1" outlineLevel="1" x14ac:dyDescent="0.25">
      <c r="A2557" s="101" t="s">
        <v>1502</v>
      </c>
      <c r="B2557" s="102" t="str">
        <f>"60.0911"</f>
        <v>60.0911</v>
      </c>
      <c r="C2557" s="101" t="s">
        <v>6141</v>
      </c>
      <c r="D2557" s="101" t="s">
        <v>6142</v>
      </c>
      <c r="E2557" s="79"/>
    </row>
    <row r="2558" spans="1:5" ht="14.85" customHeight="1" outlineLevel="1" x14ac:dyDescent="0.25">
      <c r="A2558" s="101" t="s">
        <v>1502</v>
      </c>
      <c r="B2558" s="102" t="str">
        <f>"60.0912"</f>
        <v>60.0912</v>
      </c>
      <c r="C2558" s="101" t="s">
        <v>6143</v>
      </c>
      <c r="D2558" s="101" t="s">
        <v>6144</v>
      </c>
      <c r="E2558" s="79"/>
    </row>
    <row r="2559" spans="1:5" ht="14.85" customHeight="1" outlineLevel="1" x14ac:dyDescent="0.25">
      <c r="A2559" s="101" t="s">
        <v>1502</v>
      </c>
      <c r="B2559" s="102" t="str">
        <f>"60.0913"</f>
        <v>60.0913</v>
      </c>
      <c r="C2559" s="101" t="s">
        <v>6145</v>
      </c>
      <c r="D2559" s="101" t="s">
        <v>6146</v>
      </c>
      <c r="E2559" s="79"/>
    </row>
    <row r="2560" spans="1:5" ht="14.85" customHeight="1" outlineLevel="1" x14ac:dyDescent="0.25">
      <c r="A2560" s="101" t="s">
        <v>1502</v>
      </c>
      <c r="B2560" s="102" t="str">
        <f>"60.0914"</f>
        <v>60.0914</v>
      </c>
      <c r="C2560" s="101" t="s">
        <v>6147</v>
      </c>
      <c r="D2560" s="101" t="s">
        <v>6148</v>
      </c>
      <c r="E2560" s="79"/>
    </row>
    <row r="2561" spans="1:5" ht="14.85" customHeight="1" outlineLevel="1" x14ac:dyDescent="0.25">
      <c r="A2561" s="101" t="s">
        <v>1502</v>
      </c>
      <c r="B2561" s="102" t="str">
        <f>"60.0915"</f>
        <v>60.0915</v>
      </c>
      <c r="C2561" s="101" t="s">
        <v>6149</v>
      </c>
      <c r="D2561" s="101" t="s">
        <v>6150</v>
      </c>
      <c r="E2561" s="79"/>
    </row>
    <row r="2562" spans="1:5" ht="14.85" customHeight="1" outlineLevel="1" x14ac:dyDescent="0.25">
      <c r="A2562" s="101" t="s">
        <v>1502</v>
      </c>
      <c r="B2562" s="102" t="str">
        <f>"60.0916"</f>
        <v>60.0916</v>
      </c>
      <c r="C2562" s="101" t="s">
        <v>6151</v>
      </c>
      <c r="D2562" s="101" t="s">
        <v>6152</v>
      </c>
      <c r="E2562" s="79"/>
    </row>
    <row r="2563" spans="1:5" ht="14.85" customHeight="1" outlineLevel="1" x14ac:dyDescent="0.25">
      <c r="A2563" s="101" t="s">
        <v>1502</v>
      </c>
      <c r="B2563" s="102" t="str">
        <f>"60.0917"</f>
        <v>60.0917</v>
      </c>
      <c r="C2563" s="101" t="s">
        <v>6153</v>
      </c>
      <c r="D2563" s="101" t="s">
        <v>6154</v>
      </c>
      <c r="E2563" s="79"/>
    </row>
    <row r="2564" spans="1:5" ht="14.85" customHeight="1" outlineLevel="1" x14ac:dyDescent="0.25">
      <c r="A2564" s="101" t="s">
        <v>1502</v>
      </c>
      <c r="B2564" s="102" t="str">
        <f>"60.0918"</f>
        <v>60.0918</v>
      </c>
      <c r="C2564" s="101" t="s">
        <v>6155</v>
      </c>
      <c r="D2564" s="101" t="s">
        <v>6156</v>
      </c>
      <c r="E2564" s="79"/>
    </row>
    <row r="2565" spans="1:5" ht="14.85" customHeight="1" outlineLevel="1" x14ac:dyDescent="0.25">
      <c r="A2565" s="101" t="s">
        <v>1502</v>
      </c>
      <c r="B2565" s="102" t="str">
        <f>"60.0919"</f>
        <v>60.0919</v>
      </c>
      <c r="C2565" s="101" t="s">
        <v>6157</v>
      </c>
      <c r="D2565" s="101" t="s">
        <v>6158</v>
      </c>
      <c r="E2565" s="79"/>
    </row>
    <row r="2566" spans="1:5" ht="14.85" customHeight="1" outlineLevel="1" x14ac:dyDescent="0.25">
      <c r="A2566" s="101" t="s">
        <v>1502</v>
      </c>
      <c r="B2566" s="102" t="str">
        <f>"60.0920"</f>
        <v>60.0920</v>
      </c>
      <c r="C2566" s="101" t="s">
        <v>6159</v>
      </c>
      <c r="D2566" s="101" t="s">
        <v>6160</v>
      </c>
      <c r="E2566" s="79"/>
    </row>
    <row r="2567" spans="1:5" ht="14.85" customHeight="1" outlineLevel="1" x14ac:dyDescent="0.25">
      <c r="A2567" s="101" t="s">
        <v>1502</v>
      </c>
      <c r="B2567" s="102" t="str">
        <f>"60.0999"</f>
        <v>60.0999</v>
      </c>
      <c r="C2567" s="101" t="s">
        <v>6161</v>
      </c>
      <c r="D2567" s="101" t="s">
        <v>6162</v>
      </c>
      <c r="E2567" s="79"/>
    </row>
    <row r="2568" spans="1:5" ht="14.85" customHeight="1" outlineLevel="1" x14ac:dyDescent="0.25">
      <c r="A2568" s="101" t="s">
        <v>1502</v>
      </c>
      <c r="B2568" s="102" t="str">
        <f>"60.99"</f>
        <v>60.99</v>
      </c>
      <c r="C2568" s="101" t="s">
        <v>6163</v>
      </c>
      <c r="D2568" s="101" t="s">
        <v>6164</v>
      </c>
      <c r="E2568" s="79"/>
    </row>
    <row r="2569" spans="1:5" ht="14.85" customHeight="1" outlineLevel="1" x14ac:dyDescent="0.25">
      <c r="A2569" s="101" t="s">
        <v>1502</v>
      </c>
      <c r="B2569" s="102" t="str">
        <f>"60.9999"</f>
        <v>60.9999</v>
      </c>
      <c r="C2569" s="101" t="s">
        <v>6163</v>
      </c>
      <c r="D2569" s="101" t="s">
        <v>6165</v>
      </c>
      <c r="E2569" s="79"/>
    </row>
    <row r="2570" spans="1:5" ht="14.85" customHeight="1" outlineLevel="1" x14ac:dyDescent="0.25">
      <c r="A2570" s="101" t="s">
        <v>1502</v>
      </c>
      <c r="B2570" s="102" t="str">
        <f>"61"</f>
        <v>61</v>
      </c>
      <c r="C2570" s="101" t="s">
        <v>6166</v>
      </c>
      <c r="D2570" s="101" t="s">
        <v>6167</v>
      </c>
      <c r="E2570" s="79"/>
    </row>
    <row r="2571" spans="1:5" ht="14.85" customHeight="1" outlineLevel="1" x14ac:dyDescent="0.25">
      <c r="A2571" s="101" t="s">
        <v>1502</v>
      </c>
      <c r="B2571" s="102" t="str">
        <f>"61.01"</f>
        <v>61.01</v>
      </c>
      <c r="C2571" s="101" t="s">
        <v>6168</v>
      </c>
      <c r="D2571" s="101" t="s">
        <v>6169</v>
      </c>
      <c r="E2571" s="79"/>
    </row>
    <row r="2572" spans="1:5" ht="14.85" customHeight="1" outlineLevel="1" x14ac:dyDescent="0.25">
      <c r="A2572" s="101" t="s">
        <v>1502</v>
      </c>
      <c r="B2572" s="102" t="str">
        <f>"61.0101"</f>
        <v>61.0101</v>
      </c>
      <c r="C2572" s="101" t="s">
        <v>6170</v>
      </c>
      <c r="D2572" s="101" t="s">
        <v>6171</v>
      </c>
      <c r="E2572" s="79"/>
    </row>
    <row r="2573" spans="1:5" ht="14.85" customHeight="1" outlineLevel="1" x14ac:dyDescent="0.25">
      <c r="A2573" s="101" t="s">
        <v>1502</v>
      </c>
      <c r="B2573" s="102" t="str">
        <f>"61.0102"</f>
        <v>61.0102</v>
      </c>
      <c r="C2573" s="101" t="s">
        <v>6172</v>
      </c>
      <c r="D2573" s="101" t="s">
        <v>6173</v>
      </c>
      <c r="E2573" s="79"/>
    </row>
    <row r="2574" spans="1:5" ht="14.85" customHeight="1" outlineLevel="1" x14ac:dyDescent="0.25">
      <c r="A2574" s="101" t="s">
        <v>1502</v>
      </c>
      <c r="B2574" s="102" t="str">
        <f>"61.0103"</f>
        <v>61.0103</v>
      </c>
      <c r="C2574" s="101" t="s">
        <v>6174</v>
      </c>
      <c r="D2574" s="101" t="s">
        <v>6175</v>
      </c>
      <c r="E2574" s="79"/>
    </row>
    <row r="2575" spans="1:5" ht="14.85" customHeight="1" outlineLevel="1" x14ac:dyDescent="0.25">
      <c r="A2575" s="101" t="s">
        <v>1502</v>
      </c>
      <c r="B2575" s="102" t="str">
        <f>"61.0104"</f>
        <v>61.0104</v>
      </c>
      <c r="C2575" s="101" t="s">
        <v>6176</v>
      </c>
      <c r="D2575" s="101" t="s">
        <v>6177</v>
      </c>
      <c r="E2575" s="79"/>
    </row>
    <row r="2576" spans="1:5" ht="14.85" customHeight="1" outlineLevel="1" x14ac:dyDescent="0.25">
      <c r="A2576" s="101" t="s">
        <v>1502</v>
      </c>
      <c r="B2576" s="102" t="str">
        <f>"61.0105"</f>
        <v>61.0105</v>
      </c>
      <c r="C2576" s="101" t="s">
        <v>6178</v>
      </c>
      <c r="D2576" s="101" t="s">
        <v>6179</v>
      </c>
      <c r="E2576" s="79"/>
    </row>
    <row r="2577" spans="1:5" ht="14.85" customHeight="1" outlineLevel="1" x14ac:dyDescent="0.25">
      <c r="A2577" s="101" t="s">
        <v>1502</v>
      </c>
      <c r="B2577" s="102" t="str">
        <f>"61.0106"</f>
        <v>61.0106</v>
      </c>
      <c r="C2577" s="101" t="s">
        <v>6180</v>
      </c>
      <c r="D2577" s="101" t="s">
        <v>6181</v>
      </c>
      <c r="E2577" s="79"/>
    </row>
    <row r="2578" spans="1:5" ht="14.85" customHeight="1" outlineLevel="1" x14ac:dyDescent="0.25">
      <c r="A2578" s="101" t="s">
        <v>1502</v>
      </c>
      <c r="B2578" s="102" t="str">
        <f>"61.0107"</f>
        <v>61.0107</v>
      </c>
      <c r="C2578" s="101" t="s">
        <v>6182</v>
      </c>
      <c r="D2578" s="101" t="s">
        <v>6183</v>
      </c>
      <c r="E2578" s="79"/>
    </row>
    <row r="2579" spans="1:5" ht="14.85" customHeight="1" outlineLevel="1" x14ac:dyDescent="0.25">
      <c r="A2579" s="101" t="s">
        <v>1502</v>
      </c>
      <c r="B2579" s="102" t="str">
        <f>"61.0108"</f>
        <v>61.0108</v>
      </c>
      <c r="C2579" s="101" t="s">
        <v>6184</v>
      </c>
      <c r="D2579" s="101" t="s">
        <v>6185</v>
      </c>
      <c r="E2579" s="79"/>
    </row>
    <row r="2580" spans="1:5" ht="14.85" customHeight="1" outlineLevel="1" x14ac:dyDescent="0.25">
      <c r="A2580" s="101" t="s">
        <v>1502</v>
      </c>
      <c r="B2580" s="102" t="str">
        <f>"61.0109"</f>
        <v>61.0109</v>
      </c>
      <c r="C2580" s="101" t="s">
        <v>6186</v>
      </c>
      <c r="D2580" s="101" t="s">
        <v>6187</v>
      </c>
      <c r="E2580" s="79"/>
    </row>
    <row r="2581" spans="1:5" ht="14.85" customHeight="1" outlineLevel="1" x14ac:dyDescent="0.25">
      <c r="A2581" s="101" t="s">
        <v>1502</v>
      </c>
      <c r="B2581" s="102" t="str">
        <f>"61.0110"</f>
        <v>61.0110</v>
      </c>
      <c r="C2581" s="101" t="s">
        <v>6188</v>
      </c>
      <c r="D2581" s="101" t="s">
        <v>6189</v>
      </c>
      <c r="E2581" s="79"/>
    </row>
    <row r="2582" spans="1:5" ht="14.85" customHeight="1" outlineLevel="1" x14ac:dyDescent="0.25">
      <c r="A2582" s="101" t="s">
        <v>1502</v>
      </c>
      <c r="B2582" s="102" t="str">
        <f>"61.0111"</f>
        <v>61.0111</v>
      </c>
      <c r="C2582" s="101" t="s">
        <v>6190</v>
      </c>
      <c r="D2582" s="101" t="s">
        <v>6191</v>
      </c>
      <c r="E2582" s="79"/>
    </row>
    <row r="2583" spans="1:5" ht="14.85" customHeight="1" outlineLevel="1" x14ac:dyDescent="0.25">
      <c r="A2583" s="101" t="s">
        <v>1502</v>
      </c>
      <c r="B2583" s="102" t="str">
        <f>"61.0112"</f>
        <v>61.0112</v>
      </c>
      <c r="C2583" s="101" t="s">
        <v>6192</v>
      </c>
      <c r="D2583" s="101" t="s">
        <v>6193</v>
      </c>
      <c r="E2583" s="79"/>
    </row>
    <row r="2584" spans="1:5" ht="14.85" customHeight="1" outlineLevel="1" x14ac:dyDescent="0.25">
      <c r="A2584" s="101" t="s">
        <v>1502</v>
      </c>
      <c r="B2584" s="102" t="str">
        <f>"61.0113"</f>
        <v>61.0113</v>
      </c>
      <c r="C2584" s="101" t="s">
        <v>6194</v>
      </c>
      <c r="D2584" s="101" t="s">
        <v>6195</v>
      </c>
      <c r="E2584" s="79"/>
    </row>
    <row r="2585" spans="1:5" ht="14.85" customHeight="1" outlineLevel="1" x14ac:dyDescent="0.25">
      <c r="A2585" s="101" t="s">
        <v>1502</v>
      </c>
      <c r="B2585" s="102" t="str">
        <f>"61.0114"</f>
        <v>61.0114</v>
      </c>
      <c r="C2585" s="101" t="s">
        <v>6196</v>
      </c>
      <c r="D2585" s="101" t="s">
        <v>6197</v>
      </c>
      <c r="E2585" s="79"/>
    </row>
    <row r="2586" spans="1:5" ht="14.85" customHeight="1" outlineLevel="1" x14ac:dyDescent="0.25">
      <c r="A2586" s="101" t="s">
        <v>1502</v>
      </c>
      <c r="B2586" s="102" t="str">
        <f>"61.0115"</f>
        <v>61.0115</v>
      </c>
      <c r="C2586" s="101" t="s">
        <v>6198</v>
      </c>
      <c r="D2586" s="101" t="s">
        <v>6199</v>
      </c>
      <c r="E2586" s="79"/>
    </row>
    <row r="2587" spans="1:5" ht="14.85" customHeight="1" outlineLevel="1" x14ac:dyDescent="0.25">
      <c r="A2587" s="101" t="s">
        <v>1502</v>
      </c>
      <c r="B2587" s="102" t="str">
        <f>"61.0116"</f>
        <v>61.0116</v>
      </c>
      <c r="C2587" s="101" t="s">
        <v>6200</v>
      </c>
      <c r="D2587" s="101" t="s">
        <v>6201</v>
      </c>
      <c r="E2587" s="79"/>
    </row>
    <row r="2588" spans="1:5" ht="14.85" customHeight="1" outlineLevel="1" x14ac:dyDescent="0.25">
      <c r="A2588" s="101" t="s">
        <v>1502</v>
      </c>
      <c r="B2588" s="102" t="str">
        <f>"61.0117"</f>
        <v>61.0117</v>
      </c>
      <c r="C2588" s="101" t="s">
        <v>6202</v>
      </c>
      <c r="D2588" s="101" t="s">
        <v>6203</v>
      </c>
      <c r="E2588" s="79"/>
    </row>
    <row r="2589" spans="1:5" ht="14.85" customHeight="1" outlineLevel="1" x14ac:dyDescent="0.25">
      <c r="A2589" s="101" t="s">
        <v>1502</v>
      </c>
      <c r="B2589" s="102" t="str">
        <f>"61.0118"</f>
        <v>61.0118</v>
      </c>
      <c r="C2589" s="101" t="s">
        <v>6204</v>
      </c>
      <c r="D2589" s="101" t="s">
        <v>6205</v>
      </c>
      <c r="E2589" s="79"/>
    </row>
    <row r="2590" spans="1:5" ht="14.85" customHeight="1" outlineLevel="1" x14ac:dyDescent="0.25">
      <c r="A2590" s="101" t="s">
        <v>1502</v>
      </c>
      <c r="B2590" s="102" t="str">
        <f>"61.0119"</f>
        <v>61.0119</v>
      </c>
      <c r="C2590" s="101" t="s">
        <v>6206</v>
      </c>
      <c r="D2590" s="101" t="s">
        <v>6207</v>
      </c>
      <c r="E2590" s="79"/>
    </row>
    <row r="2591" spans="1:5" ht="14.85" customHeight="1" outlineLevel="1" x14ac:dyDescent="0.25">
      <c r="A2591" s="101" t="s">
        <v>1502</v>
      </c>
      <c r="B2591" s="102" t="str">
        <f>"61.0120"</f>
        <v>61.0120</v>
      </c>
      <c r="C2591" s="101" t="s">
        <v>6208</v>
      </c>
      <c r="D2591" s="101" t="s">
        <v>6209</v>
      </c>
      <c r="E2591" s="79"/>
    </row>
    <row r="2592" spans="1:5" ht="14.85" customHeight="1" outlineLevel="1" x14ac:dyDescent="0.25">
      <c r="A2592" s="101" t="s">
        <v>1502</v>
      </c>
      <c r="B2592" s="102" t="str">
        <f>"61.0121"</f>
        <v>61.0121</v>
      </c>
      <c r="C2592" s="101" t="s">
        <v>6210</v>
      </c>
      <c r="D2592" s="101" t="s">
        <v>6211</v>
      </c>
      <c r="E2592" s="79"/>
    </row>
    <row r="2593" spans="1:5" ht="14.85" customHeight="1" outlineLevel="1" x14ac:dyDescent="0.25">
      <c r="A2593" s="101" t="s">
        <v>1502</v>
      </c>
      <c r="B2593" s="102" t="str">
        <f>"61.0122"</f>
        <v>61.0122</v>
      </c>
      <c r="C2593" s="101" t="s">
        <v>6212</v>
      </c>
      <c r="D2593" s="101" t="s">
        <v>6213</v>
      </c>
      <c r="E2593" s="79"/>
    </row>
    <row r="2594" spans="1:5" ht="14.85" customHeight="1" outlineLevel="1" x14ac:dyDescent="0.25">
      <c r="A2594" s="101" t="s">
        <v>1502</v>
      </c>
      <c r="B2594" s="102" t="str">
        <f>"61.0123"</f>
        <v>61.0123</v>
      </c>
      <c r="C2594" s="101" t="s">
        <v>6214</v>
      </c>
      <c r="D2594" s="101" t="s">
        <v>6215</v>
      </c>
      <c r="E2594" s="79"/>
    </row>
    <row r="2595" spans="1:5" ht="14.85" customHeight="1" outlineLevel="1" x14ac:dyDescent="0.25">
      <c r="A2595" s="101" t="s">
        <v>1502</v>
      </c>
      <c r="B2595" s="102" t="str">
        <f>"61.0124"</f>
        <v>61.0124</v>
      </c>
      <c r="C2595" s="101" t="s">
        <v>6216</v>
      </c>
      <c r="D2595" s="101" t="s">
        <v>6217</v>
      </c>
      <c r="E2595" s="79"/>
    </row>
    <row r="2596" spans="1:5" ht="14.85" customHeight="1" outlineLevel="1" x14ac:dyDescent="0.25">
      <c r="A2596" s="101" t="s">
        <v>1502</v>
      </c>
      <c r="B2596" s="102" t="str">
        <f>"61.0125"</f>
        <v>61.0125</v>
      </c>
      <c r="C2596" s="101" t="s">
        <v>6218</v>
      </c>
      <c r="D2596" s="101" t="s">
        <v>6219</v>
      </c>
      <c r="E2596" s="79"/>
    </row>
    <row r="2597" spans="1:5" ht="14.85" customHeight="1" outlineLevel="1" x14ac:dyDescent="0.25">
      <c r="A2597" s="101" t="s">
        <v>1502</v>
      </c>
      <c r="B2597" s="102" t="str">
        <f>"61.0199"</f>
        <v>61.0199</v>
      </c>
      <c r="C2597" s="101" t="s">
        <v>6220</v>
      </c>
      <c r="D2597" s="101" t="s">
        <v>6221</v>
      </c>
      <c r="E2597" s="79"/>
    </row>
    <row r="2598" spans="1:5" ht="14.85" customHeight="1" outlineLevel="1" x14ac:dyDescent="0.25">
      <c r="A2598" s="101" t="s">
        <v>1502</v>
      </c>
      <c r="B2598" s="102" t="str">
        <f>"61.02"</f>
        <v>61.02</v>
      </c>
      <c r="C2598" s="101" t="s">
        <v>6222</v>
      </c>
      <c r="D2598" s="101" t="s">
        <v>6223</v>
      </c>
      <c r="E2598" s="79"/>
    </row>
    <row r="2599" spans="1:5" ht="14.85" customHeight="1" outlineLevel="1" x14ac:dyDescent="0.25">
      <c r="A2599" s="101" t="s">
        <v>1502</v>
      </c>
      <c r="B2599" s="102" t="str">
        <f>"61.0202"</f>
        <v>61.0202</v>
      </c>
      <c r="C2599" s="101" t="s">
        <v>6224</v>
      </c>
      <c r="D2599" s="101" t="s">
        <v>6225</v>
      </c>
      <c r="E2599" s="79"/>
    </row>
    <row r="2600" spans="1:5" ht="14.85" customHeight="1" outlineLevel="1" x14ac:dyDescent="0.25">
      <c r="A2600" s="101" t="s">
        <v>1502</v>
      </c>
      <c r="B2600" s="102" t="str">
        <f>"61.0203"</f>
        <v>61.0203</v>
      </c>
      <c r="C2600" s="101" t="s">
        <v>6226</v>
      </c>
      <c r="D2600" s="101" t="s">
        <v>6227</v>
      </c>
      <c r="E2600" s="79"/>
    </row>
    <row r="2601" spans="1:5" ht="14.85" customHeight="1" outlineLevel="1" x14ac:dyDescent="0.25">
      <c r="A2601" s="101" t="s">
        <v>1502</v>
      </c>
      <c r="B2601" s="102" t="str">
        <f>"61.0204"</f>
        <v>61.0204</v>
      </c>
      <c r="C2601" s="101" t="s">
        <v>6228</v>
      </c>
      <c r="D2601" s="101" t="s">
        <v>6229</v>
      </c>
      <c r="E2601" s="79"/>
    </row>
    <row r="2602" spans="1:5" ht="14.85" customHeight="1" outlineLevel="1" x14ac:dyDescent="0.25">
      <c r="A2602" s="101" t="s">
        <v>1502</v>
      </c>
      <c r="B2602" s="102" t="str">
        <f>"61.0205"</f>
        <v>61.0205</v>
      </c>
      <c r="C2602" s="101" t="s">
        <v>6230</v>
      </c>
      <c r="D2602" s="101" t="s">
        <v>6231</v>
      </c>
      <c r="E2602" s="79"/>
    </row>
    <row r="2603" spans="1:5" ht="14.85" customHeight="1" outlineLevel="1" x14ac:dyDescent="0.25">
      <c r="A2603" s="101" t="s">
        <v>1502</v>
      </c>
      <c r="B2603" s="102" t="str">
        <f>"61.0206"</f>
        <v>61.0206</v>
      </c>
      <c r="C2603" s="101" t="s">
        <v>6232</v>
      </c>
      <c r="D2603" s="101" t="s">
        <v>6233</v>
      </c>
      <c r="E2603" s="79"/>
    </row>
    <row r="2604" spans="1:5" ht="14.85" customHeight="1" outlineLevel="1" x14ac:dyDescent="0.25">
      <c r="A2604" s="101" t="s">
        <v>1502</v>
      </c>
      <c r="B2604" s="102" t="str">
        <f>"61.0207"</f>
        <v>61.0207</v>
      </c>
      <c r="C2604" s="101" t="s">
        <v>6234</v>
      </c>
      <c r="D2604" s="101" t="s">
        <v>6235</v>
      </c>
      <c r="E2604" s="79"/>
    </row>
    <row r="2605" spans="1:5" ht="14.85" customHeight="1" outlineLevel="1" x14ac:dyDescent="0.25">
      <c r="A2605" s="101" t="s">
        <v>1502</v>
      </c>
      <c r="B2605" s="102" t="str">
        <f>"61.0208"</f>
        <v>61.0208</v>
      </c>
      <c r="C2605" s="101" t="s">
        <v>6236</v>
      </c>
      <c r="D2605" s="101" t="s">
        <v>6237</v>
      </c>
      <c r="E2605" s="79"/>
    </row>
    <row r="2606" spans="1:5" ht="14.85" customHeight="1" outlineLevel="1" x14ac:dyDescent="0.25">
      <c r="A2606" s="101" t="s">
        <v>1502</v>
      </c>
      <c r="B2606" s="102" t="str">
        <f>"61.0209"</f>
        <v>61.0209</v>
      </c>
      <c r="C2606" s="101" t="s">
        <v>6238</v>
      </c>
      <c r="D2606" s="101" t="s">
        <v>6239</v>
      </c>
      <c r="E2606" s="79"/>
    </row>
    <row r="2607" spans="1:5" ht="14.85" customHeight="1" outlineLevel="1" x14ac:dyDescent="0.25">
      <c r="A2607" s="101" t="s">
        <v>1502</v>
      </c>
      <c r="B2607" s="102" t="str">
        <f>"61.0210"</f>
        <v>61.0210</v>
      </c>
      <c r="C2607" s="101" t="s">
        <v>6240</v>
      </c>
      <c r="D2607" s="101" t="s">
        <v>6241</v>
      </c>
      <c r="E2607" s="79"/>
    </row>
    <row r="2608" spans="1:5" ht="14.85" customHeight="1" outlineLevel="1" x14ac:dyDescent="0.25">
      <c r="A2608" s="101" t="s">
        <v>1502</v>
      </c>
      <c r="B2608" s="102" t="str">
        <f>"61.0211"</f>
        <v>61.0211</v>
      </c>
      <c r="C2608" s="101" t="s">
        <v>6242</v>
      </c>
      <c r="D2608" s="101" t="s">
        <v>6243</v>
      </c>
      <c r="E2608" s="79"/>
    </row>
    <row r="2609" spans="1:5" ht="14.85" customHeight="1" outlineLevel="1" x14ac:dyDescent="0.25">
      <c r="A2609" s="101" t="s">
        <v>1502</v>
      </c>
      <c r="B2609" s="102" t="str">
        <f>"61.0212"</f>
        <v>61.0212</v>
      </c>
      <c r="C2609" s="101" t="s">
        <v>6244</v>
      </c>
      <c r="D2609" s="101" t="s">
        <v>6245</v>
      </c>
      <c r="E2609" s="79"/>
    </row>
    <row r="2610" spans="1:5" ht="14.85" customHeight="1" outlineLevel="1" x14ac:dyDescent="0.25">
      <c r="A2610" s="101" t="s">
        <v>1502</v>
      </c>
      <c r="B2610" s="102" t="str">
        <f>"61.0213"</f>
        <v>61.0213</v>
      </c>
      <c r="C2610" s="101" t="s">
        <v>6246</v>
      </c>
      <c r="D2610" s="101" t="s">
        <v>6247</v>
      </c>
      <c r="E2610" s="79"/>
    </row>
    <row r="2611" spans="1:5" ht="14.85" customHeight="1" outlineLevel="1" x14ac:dyDescent="0.25">
      <c r="A2611" s="101" t="s">
        <v>1502</v>
      </c>
      <c r="B2611" s="102" t="str">
        <f>"61.0214"</f>
        <v>61.0214</v>
      </c>
      <c r="C2611" s="101" t="s">
        <v>6248</v>
      </c>
      <c r="D2611" s="101" t="s">
        <v>6249</v>
      </c>
      <c r="E2611" s="79"/>
    </row>
    <row r="2612" spans="1:5" ht="14.85" customHeight="1" outlineLevel="1" x14ac:dyDescent="0.25">
      <c r="A2612" s="101" t="s">
        <v>1502</v>
      </c>
      <c r="B2612" s="102" t="str">
        <f>"61.0215"</f>
        <v>61.0215</v>
      </c>
      <c r="C2612" s="101" t="s">
        <v>6250</v>
      </c>
      <c r="D2612" s="101" t="s">
        <v>6251</v>
      </c>
      <c r="E2612" s="79"/>
    </row>
    <row r="2613" spans="1:5" ht="14.85" customHeight="1" outlineLevel="1" x14ac:dyDescent="0.25">
      <c r="A2613" s="101" t="s">
        <v>1502</v>
      </c>
      <c r="B2613" s="102" t="str">
        <f>"61.0216"</f>
        <v>61.0216</v>
      </c>
      <c r="C2613" s="101" t="s">
        <v>6252</v>
      </c>
      <c r="D2613" s="101" t="s">
        <v>6253</v>
      </c>
      <c r="E2613" s="79"/>
    </row>
    <row r="2614" spans="1:5" ht="14.85" customHeight="1" outlineLevel="1" x14ac:dyDescent="0.25">
      <c r="A2614" s="101" t="s">
        <v>1502</v>
      </c>
      <c r="B2614" s="102" t="str">
        <f>"61.0217"</f>
        <v>61.0217</v>
      </c>
      <c r="C2614" s="101" t="s">
        <v>6254</v>
      </c>
      <c r="D2614" s="101" t="s">
        <v>6255</v>
      </c>
      <c r="E2614" s="79"/>
    </row>
    <row r="2615" spans="1:5" ht="14.85" customHeight="1" outlineLevel="1" x14ac:dyDescent="0.25">
      <c r="A2615" s="101" t="s">
        <v>1502</v>
      </c>
      <c r="B2615" s="102" t="str">
        <f>"61.0218"</f>
        <v>61.0218</v>
      </c>
      <c r="C2615" s="101" t="s">
        <v>6256</v>
      </c>
      <c r="D2615" s="101" t="s">
        <v>6257</v>
      </c>
      <c r="E2615" s="79"/>
    </row>
    <row r="2616" spans="1:5" ht="14.85" customHeight="1" outlineLevel="1" x14ac:dyDescent="0.25">
      <c r="A2616" s="101" t="s">
        <v>1502</v>
      </c>
      <c r="B2616" s="102" t="str">
        <f>"61.0299"</f>
        <v>61.0299</v>
      </c>
      <c r="C2616" s="101" t="s">
        <v>6258</v>
      </c>
      <c r="D2616" s="101" t="s">
        <v>6259</v>
      </c>
      <c r="E2616" s="79"/>
    </row>
    <row r="2617" spans="1:5" ht="14.85" customHeight="1" outlineLevel="1" x14ac:dyDescent="0.25">
      <c r="A2617" s="101" t="s">
        <v>1502</v>
      </c>
      <c r="B2617" s="102" t="str">
        <f>"61.03"</f>
        <v>61.03</v>
      </c>
      <c r="C2617" s="101" t="s">
        <v>6260</v>
      </c>
      <c r="D2617" s="101" t="s">
        <v>6261</v>
      </c>
      <c r="E2617" s="79"/>
    </row>
    <row r="2618" spans="1:5" ht="14.85" customHeight="1" outlineLevel="1" x14ac:dyDescent="0.25">
      <c r="A2618" s="101" t="s">
        <v>1502</v>
      </c>
      <c r="B2618" s="102" t="str">
        <f>"61.0301"</f>
        <v>61.0301</v>
      </c>
      <c r="C2618" s="101" t="s">
        <v>6262</v>
      </c>
      <c r="D2618" s="101" t="s">
        <v>6263</v>
      </c>
      <c r="E2618" s="79"/>
    </row>
    <row r="2619" spans="1:5" ht="14.85" customHeight="1" outlineLevel="1" x14ac:dyDescent="0.25">
      <c r="A2619" s="101" t="s">
        <v>1502</v>
      </c>
      <c r="B2619" s="102" t="str">
        <f>"61.0399"</f>
        <v>61.0399</v>
      </c>
      <c r="C2619" s="101" t="s">
        <v>6264</v>
      </c>
      <c r="D2619" s="101" t="s">
        <v>6265</v>
      </c>
      <c r="E2619" s="79"/>
    </row>
    <row r="2620" spans="1:5" ht="14.85" customHeight="1" outlineLevel="1" x14ac:dyDescent="0.25">
      <c r="A2620" s="101" t="s">
        <v>1502</v>
      </c>
      <c r="B2620" s="102" t="str">
        <f>"61.04"</f>
        <v>61.04</v>
      </c>
      <c r="C2620" s="101" t="s">
        <v>6266</v>
      </c>
      <c r="D2620" s="101" t="s">
        <v>6267</v>
      </c>
      <c r="E2620" s="79"/>
    </row>
    <row r="2621" spans="1:5" ht="14.85" customHeight="1" outlineLevel="1" x14ac:dyDescent="0.25">
      <c r="A2621" s="101" t="s">
        <v>1502</v>
      </c>
      <c r="B2621" s="102" t="str">
        <f>"61.0401"</f>
        <v>61.0401</v>
      </c>
      <c r="C2621" s="101" t="s">
        <v>6268</v>
      </c>
      <c r="D2621" s="101" t="s">
        <v>6269</v>
      </c>
      <c r="E2621" s="79"/>
    </row>
    <row r="2622" spans="1:5" ht="14.85" customHeight="1" outlineLevel="1" x14ac:dyDescent="0.25">
      <c r="A2622" s="101" t="s">
        <v>1502</v>
      </c>
      <c r="B2622" s="102" t="str">
        <f>"61.0499"</f>
        <v>61.0499</v>
      </c>
      <c r="C2622" s="101" t="s">
        <v>6270</v>
      </c>
      <c r="D2622" s="101" t="s">
        <v>6271</v>
      </c>
      <c r="E2622" s="79"/>
    </row>
    <row r="2623" spans="1:5" ht="14.85" customHeight="1" outlineLevel="1" x14ac:dyDescent="0.25">
      <c r="A2623" s="101" t="s">
        <v>1502</v>
      </c>
      <c r="B2623" s="102" t="str">
        <f>"61.05"</f>
        <v>61.05</v>
      </c>
      <c r="C2623" s="101" t="s">
        <v>6272</v>
      </c>
      <c r="D2623" s="101" t="s">
        <v>6273</v>
      </c>
      <c r="E2623" s="79"/>
    </row>
    <row r="2624" spans="1:5" ht="14.85" customHeight="1" outlineLevel="1" x14ac:dyDescent="0.25">
      <c r="A2624" s="101" t="s">
        <v>1502</v>
      </c>
      <c r="B2624" s="102" t="str">
        <f>"61.0501"</f>
        <v>61.0501</v>
      </c>
      <c r="C2624" s="101" t="s">
        <v>6274</v>
      </c>
      <c r="D2624" s="101" t="s">
        <v>6275</v>
      </c>
      <c r="E2624" s="79"/>
    </row>
    <row r="2625" spans="1:5" ht="14.85" customHeight="1" outlineLevel="1" x14ac:dyDescent="0.25">
      <c r="A2625" s="101" t="s">
        <v>1502</v>
      </c>
      <c r="B2625" s="102" t="str">
        <f>"61.0502"</f>
        <v>61.0502</v>
      </c>
      <c r="C2625" s="101" t="s">
        <v>6276</v>
      </c>
      <c r="D2625" s="101" t="s">
        <v>6277</v>
      </c>
      <c r="E2625" s="79"/>
    </row>
    <row r="2626" spans="1:5" ht="14.85" customHeight="1" outlineLevel="1" x14ac:dyDescent="0.25">
      <c r="A2626" s="101" t="s">
        <v>1502</v>
      </c>
      <c r="B2626" s="102" t="str">
        <f>"61.0503"</f>
        <v>61.0503</v>
      </c>
      <c r="C2626" s="101" t="s">
        <v>6278</v>
      </c>
      <c r="D2626" s="101" t="s">
        <v>6279</v>
      </c>
      <c r="E2626" s="79"/>
    </row>
    <row r="2627" spans="1:5" ht="14.85" customHeight="1" outlineLevel="1" x14ac:dyDescent="0.25">
      <c r="A2627" s="101" t="s">
        <v>1502</v>
      </c>
      <c r="B2627" s="102" t="str">
        <f>"61.0599"</f>
        <v>61.0599</v>
      </c>
      <c r="C2627" s="101" t="s">
        <v>6280</v>
      </c>
      <c r="D2627" s="101" t="s">
        <v>6281</v>
      </c>
      <c r="E2627" s="79"/>
    </row>
    <row r="2628" spans="1:5" ht="14.85" customHeight="1" outlineLevel="1" x14ac:dyDescent="0.25">
      <c r="A2628" s="101" t="s">
        <v>1502</v>
      </c>
      <c r="B2628" s="102" t="str">
        <f>"61.06"</f>
        <v>61.06</v>
      </c>
      <c r="C2628" s="101" t="s">
        <v>6282</v>
      </c>
      <c r="D2628" s="101" t="s">
        <v>6283</v>
      </c>
      <c r="E2628" s="79"/>
    </row>
    <row r="2629" spans="1:5" ht="14.85" customHeight="1" outlineLevel="1" x14ac:dyDescent="0.25">
      <c r="A2629" s="101" t="s">
        <v>1502</v>
      </c>
      <c r="B2629" s="102" t="str">
        <f>"61.0601"</f>
        <v>61.0601</v>
      </c>
      <c r="C2629" s="101" t="s">
        <v>6284</v>
      </c>
      <c r="D2629" s="101" t="s">
        <v>6285</v>
      </c>
      <c r="E2629" s="79"/>
    </row>
    <row r="2630" spans="1:5" ht="14.85" customHeight="1" outlineLevel="1" x14ac:dyDescent="0.25">
      <c r="A2630" s="101" t="s">
        <v>1502</v>
      </c>
      <c r="B2630" s="102" t="str">
        <f>"61.0602"</f>
        <v>61.0602</v>
      </c>
      <c r="C2630" s="101" t="s">
        <v>6286</v>
      </c>
      <c r="D2630" s="101" t="s">
        <v>6287</v>
      </c>
      <c r="E2630" s="79"/>
    </row>
    <row r="2631" spans="1:5" ht="14.85" customHeight="1" outlineLevel="1" x14ac:dyDescent="0.25">
      <c r="A2631" s="101" t="s">
        <v>1502</v>
      </c>
      <c r="B2631" s="102" t="str">
        <f>"61.0603"</f>
        <v>61.0603</v>
      </c>
      <c r="C2631" s="101" t="s">
        <v>6288</v>
      </c>
      <c r="D2631" s="101" t="s">
        <v>6289</v>
      </c>
      <c r="E2631" s="79"/>
    </row>
    <row r="2632" spans="1:5" ht="14.85" customHeight="1" outlineLevel="1" x14ac:dyDescent="0.25">
      <c r="A2632" s="101" t="s">
        <v>1502</v>
      </c>
      <c r="B2632" s="102" t="str">
        <f>"61.0699"</f>
        <v>61.0699</v>
      </c>
      <c r="C2632" s="101" t="s">
        <v>6290</v>
      </c>
      <c r="D2632" s="101" t="s">
        <v>6291</v>
      </c>
      <c r="E2632" s="79"/>
    </row>
    <row r="2633" spans="1:5" ht="14.85" customHeight="1" outlineLevel="1" x14ac:dyDescent="0.25">
      <c r="A2633" s="101" t="s">
        <v>1502</v>
      </c>
      <c r="B2633" s="102" t="str">
        <f>"61.07"</f>
        <v>61.07</v>
      </c>
      <c r="C2633" s="101" t="s">
        <v>6292</v>
      </c>
      <c r="D2633" s="101" t="s">
        <v>6293</v>
      </c>
      <c r="E2633" s="79"/>
    </row>
    <row r="2634" spans="1:5" ht="14.85" customHeight="1" outlineLevel="1" x14ac:dyDescent="0.25">
      <c r="A2634" s="101" t="s">
        <v>1502</v>
      </c>
      <c r="B2634" s="102" t="str">
        <f>"61.0701"</f>
        <v>61.0701</v>
      </c>
      <c r="C2634" s="101" t="s">
        <v>6294</v>
      </c>
      <c r="D2634" s="101" t="s">
        <v>6295</v>
      </c>
      <c r="E2634" s="79"/>
    </row>
    <row r="2635" spans="1:5" ht="14.85" customHeight="1" outlineLevel="1" x14ac:dyDescent="0.25">
      <c r="A2635" s="101" t="s">
        <v>1502</v>
      </c>
      <c r="B2635" s="102" t="str">
        <f>"61.0799"</f>
        <v>61.0799</v>
      </c>
      <c r="C2635" s="101" t="s">
        <v>6296</v>
      </c>
      <c r="D2635" s="101" t="s">
        <v>6297</v>
      </c>
      <c r="E2635" s="79"/>
    </row>
    <row r="2636" spans="1:5" ht="14.85" customHeight="1" outlineLevel="1" x14ac:dyDescent="0.25">
      <c r="A2636" s="101" t="s">
        <v>1502</v>
      </c>
      <c r="B2636" s="102" t="str">
        <f>"61.08"</f>
        <v>61.08</v>
      </c>
      <c r="C2636" s="101" t="s">
        <v>6298</v>
      </c>
      <c r="D2636" s="101" t="s">
        <v>6299</v>
      </c>
      <c r="E2636" s="79"/>
    </row>
    <row r="2637" spans="1:5" ht="14.85" customHeight="1" outlineLevel="1" x14ac:dyDescent="0.25">
      <c r="A2637" s="101" t="s">
        <v>1502</v>
      </c>
      <c r="B2637" s="102" t="str">
        <f>"61.0801"</f>
        <v>61.0801</v>
      </c>
      <c r="C2637" s="101" t="s">
        <v>6300</v>
      </c>
      <c r="D2637" s="101" t="s">
        <v>6301</v>
      </c>
      <c r="E2637" s="79"/>
    </row>
    <row r="2638" spans="1:5" ht="14.85" customHeight="1" outlineLevel="1" x14ac:dyDescent="0.25">
      <c r="A2638" s="101" t="s">
        <v>1502</v>
      </c>
      <c r="B2638" s="102" t="str">
        <f>"61.0804"</f>
        <v>61.0804</v>
      </c>
      <c r="C2638" s="101" t="s">
        <v>6302</v>
      </c>
      <c r="D2638" s="101" t="s">
        <v>6303</v>
      </c>
      <c r="E2638" s="79"/>
    </row>
    <row r="2639" spans="1:5" ht="14.85" customHeight="1" outlineLevel="1" x14ac:dyDescent="0.25">
      <c r="A2639" s="101" t="s">
        <v>1502</v>
      </c>
      <c r="B2639" s="102" t="str">
        <f>"61.0805"</f>
        <v>61.0805</v>
      </c>
      <c r="C2639" s="101" t="s">
        <v>6304</v>
      </c>
      <c r="D2639" s="101" t="s">
        <v>6305</v>
      </c>
      <c r="E2639" s="79"/>
    </row>
    <row r="2640" spans="1:5" ht="14.85" customHeight="1" outlineLevel="1" x14ac:dyDescent="0.25">
      <c r="A2640" s="101" t="s">
        <v>1502</v>
      </c>
      <c r="B2640" s="102" t="str">
        <f>"61.0806"</f>
        <v>61.0806</v>
      </c>
      <c r="C2640" s="101" t="s">
        <v>6306</v>
      </c>
      <c r="D2640" s="101" t="s">
        <v>6307</v>
      </c>
      <c r="E2640" s="79"/>
    </row>
    <row r="2641" spans="1:5" ht="14.85" customHeight="1" outlineLevel="1" x14ac:dyDescent="0.25">
      <c r="A2641" s="101" t="s">
        <v>1502</v>
      </c>
      <c r="B2641" s="102" t="str">
        <f>"61.0807"</f>
        <v>61.0807</v>
      </c>
      <c r="C2641" s="101" t="s">
        <v>6308</v>
      </c>
      <c r="D2641" s="101" t="s">
        <v>6309</v>
      </c>
      <c r="E2641" s="79"/>
    </row>
    <row r="2642" spans="1:5" ht="14.85" customHeight="1" outlineLevel="1" x14ac:dyDescent="0.25">
      <c r="A2642" s="101" t="s">
        <v>1502</v>
      </c>
      <c r="B2642" s="102" t="str">
        <f>"61.0808"</f>
        <v>61.0808</v>
      </c>
      <c r="C2642" s="101" t="s">
        <v>6310</v>
      </c>
      <c r="D2642" s="101" t="s">
        <v>6311</v>
      </c>
      <c r="E2642" s="79"/>
    </row>
    <row r="2643" spans="1:5" ht="14.85" customHeight="1" outlineLevel="1" x14ac:dyDescent="0.25">
      <c r="A2643" s="101" t="s">
        <v>1502</v>
      </c>
      <c r="B2643" s="102" t="str">
        <f>"61.0809"</f>
        <v>61.0809</v>
      </c>
      <c r="C2643" s="101" t="s">
        <v>6312</v>
      </c>
      <c r="D2643" s="101" t="s">
        <v>6313</v>
      </c>
      <c r="E2643" s="79"/>
    </row>
    <row r="2644" spans="1:5" ht="14.85" customHeight="1" outlineLevel="1" x14ac:dyDescent="0.25">
      <c r="A2644" s="101" t="s">
        <v>1502</v>
      </c>
      <c r="B2644" s="102" t="str">
        <f>"61.0810"</f>
        <v>61.0810</v>
      </c>
      <c r="C2644" s="101" t="s">
        <v>6314</v>
      </c>
      <c r="D2644" s="101" t="s">
        <v>6315</v>
      </c>
      <c r="E2644" s="79"/>
    </row>
    <row r="2645" spans="1:5" ht="14.85" customHeight="1" outlineLevel="1" x14ac:dyDescent="0.25">
      <c r="A2645" s="101" t="s">
        <v>1502</v>
      </c>
      <c r="B2645" s="102" t="str">
        <f>"61.0811"</f>
        <v>61.0811</v>
      </c>
      <c r="C2645" s="101" t="s">
        <v>6316</v>
      </c>
      <c r="D2645" s="101" t="s">
        <v>6317</v>
      </c>
      <c r="E2645" s="79"/>
    </row>
    <row r="2646" spans="1:5" ht="14.85" customHeight="1" outlineLevel="1" x14ac:dyDescent="0.25">
      <c r="A2646" s="101" t="s">
        <v>1502</v>
      </c>
      <c r="B2646" s="102" t="str">
        <f>"61.0812"</f>
        <v>61.0812</v>
      </c>
      <c r="C2646" s="101" t="s">
        <v>6318</v>
      </c>
      <c r="D2646" s="101" t="s">
        <v>6319</v>
      </c>
      <c r="E2646" s="79"/>
    </row>
    <row r="2647" spans="1:5" ht="14.85" customHeight="1" outlineLevel="1" x14ac:dyDescent="0.25">
      <c r="A2647" s="101" t="s">
        <v>1502</v>
      </c>
      <c r="B2647" s="102" t="str">
        <f>"61.0813"</f>
        <v>61.0813</v>
      </c>
      <c r="C2647" s="101" t="s">
        <v>6320</v>
      </c>
      <c r="D2647" s="101" t="s">
        <v>6321</v>
      </c>
      <c r="E2647" s="79"/>
    </row>
    <row r="2648" spans="1:5" ht="14.85" customHeight="1" outlineLevel="1" x14ac:dyDescent="0.25">
      <c r="A2648" s="101" t="s">
        <v>1502</v>
      </c>
      <c r="B2648" s="102" t="str">
        <f>"61.0814"</f>
        <v>61.0814</v>
      </c>
      <c r="C2648" s="101" t="s">
        <v>6322</v>
      </c>
      <c r="D2648" s="101" t="s">
        <v>6323</v>
      </c>
      <c r="E2648" s="79"/>
    </row>
    <row r="2649" spans="1:5" ht="14.85" customHeight="1" outlineLevel="1" x14ac:dyDescent="0.25">
      <c r="A2649" s="101" t="s">
        <v>1502</v>
      </c>
      <c r="B2649" s="102" t="str">
        <f>"61.0816"</f>
        <v>61.0816</v>
      </c>
      <c r="C2649" s="101" t="s">
        <v>6324</v>
      </c>
      <c r="D2649" s="101" t="s">
        <v>6325</v>
      </c>
      <c r="E2649" s="79"/>
    </row>
    <row r="2650" spans="1:5" ht="14.85" customHeight="1" outlineLevel="1" x14ac:dyDescent="0.25">
      <c r="A2650" s="101" t="s">
        <v>1502</v>
      </c>
      <c r="B2650" s="102" t="str">
        <f>"61.0818"</f>
        <v>61.0818</v>
      </c>
      <c r="C2650" s="101" t="s">
        <v>6326</v>
      </c>
      <c r="D2650" s="101" t="s">
        <v>6327</v>
      </c>
      <c r="E2650" s="79"/>
    </row>
    <row r="2651" spans="1:5" ht="14.85" customHeight="1" outlineLevel="1" x14ac:dyDescent="0.25">
      <c r="A2651" s="101" t="s">
        <v>1502</v>
      </c>
      <c r="B2651" s="102" t="str">
        <f>"61.0899"</f>
        <v>61.0899</v>
      </c>
      <c r="C2651" s="101" t="s">
        <v>6328</v>
      </c>
      <c r="D2651" s="101" t="s">
        <v>6329</v>
      </c>
      <c r="E2651" s="79"/>
    </row>
    <row r="2652" spans="1:5" ht="14.85" customHeight="1" outlineLevel="1" x14ac:dyDescent="0.25">
      <c r="A2652" s="101" t="s">
        <v>1502</v>
      </c>
      <c r="B2652" s="102" t="str">
        <f>"61.09"</f>
        <v>61.09</v>
      </c>
      <c r="C2652" s="101" t="s">
        <v>6330</v>
      </c>
      <c r="D2652" s="101" t="s">
        <v>6331</v>
      </c>
      <c r="E2652" s="79"/>
    </row>
    <row r="2653" spans="1:5" ht="14.85" customHeight="1" outlineLevel="1" x14ac:dyDescent="0.25">
      <c r="A2653" s="101" t="s">
        <v>1502</v>
      </c>
      <c r="B2653" s="102" t="str">
        <f>"61.0901"</f>
        <v>61.0901</v>
      </c>
      <c r="C2653" s="101" t="s">
        <v>6332</v>
      </c>
      <c r="D2653" s="101" t="s">
        <v>6333</v>
      </c>
      <c r="E2653" s="79"/>
    </row>
    <row r="2654" spans="1:5" ht="14.85" customHeight="1" outlineLevel="1" x14ac:dyDescent="0.25">
      <c r="A2654" s="101" t="s">
        <v>1502</v>
      </c>
      <c r="B2654" s="102" t="str">
        <f>"61.0902"</f>
        <v>61.0902</v>
      </c>
      <c r="C2654" s="101" t="s">
        <v>6334</v>
      </c>
      <c r="D2654" s="101" t="s">
        <v>6335</v>
      </c>
      <c r="E2654" s="79"/>
    </row>
    <row r="2655" spans="1:5" ht="14.85" customHeight="1" outlineLevel="1" x14ac:dyDescent="0.25">
      <c r="A2655" s="101" t="s">
        <v>1502</v>
      </c>
      <c r="B2655" s="102" t="str">
        <f>"61.0903"</f>
        <v>61.0903</v>
      </c>
      <c r="C2655" s="101" t="s">
        <v>6336</v>
      </c>
      <c r="D2655" s="101" t="s">
        <v>6337</v>
      </c>
      <c r="E2655" s="79"/>
    </row>
    <row r="2656" spans="1:5" ht="14.85" customHeight="1" outlineLevel="1" x14ac:dyDescent="0.25">
      <c r="A2656" s="101" t="s">
        <v>1502</v>
      </c>
      <c r="B2656" s="102" t="str">
        <f>"61.0904"</f>
        <v>61.0904</v>
      </c>
      <c r="C2656" s="101" t="s">
        <v>6338</v>
      </c>
      <c r="D2656" s="101" t="s">
        <v>6339</v>
      </c>
      <c r="E2656" s="79"/>
    </row>
    <row r="2657" spans="1:5" ht="14.85" customHeight="1" outlineLevel="1" x14ac:dyDescent="0.25">
      <c r="A2657" s="101" t="s">
        <v>1502</v>
      </c>
      <c r="B2657" s="102" t="str">
        <f>"61.0999"</f>
        <v>61.0999</v>
      </c>
      <c r="C2657" s="101" t="s">
        <v>6340</v>
      </c>
      <c r="D2657" s="101" t="s">
        <v>6341</v>
      </c>
      <c r="E2657" s="79"/>
    </row>
    <row r="2658" spans="1:5" ht="14.85" customHeight="1" outlineLevel="1" x14ac:dyDescent="0.25">
      <c r="A2658" s="101" t="s">
        <v>1502</v>
      </c>
      <c r="B2658" s="102" t="str">
        <f>"61.10"</f>
        <v>61.10</v>
      </c>
      <c r="C2658" s="101" t="s">
        <v>6342</v>
      </c>
      <c r="D2658" s="101" t="s">
        <v>6343</v>
      </c>
      <c r="E2658" s="79"/>
    </row>
    <row r="2659" spans="1:5" ht="14.85" customHeight="1" outlineLevel="1" x14ac:dyDescent="0.25">
      <c r="A2659" s="101" t="s">
        <v>1502</v>
      </c>
      <c r="B2659" s="102" t="str">
        <f>"61.1001"</f>
        <v>61.1001</v>
      </c>
      <c r="C2659" s="101" t="s">
        <v>6344</v>
      </c>
      <c r="D2659" s="101" t="s">
        <v>6345</v>
      </c>
      <c r="E2659" s="79"/>
    </row>
    <row r="2660" spans="1:5" ht="14.85" customHeight="1" outlineLevel="1" x14ac:dyDescent="0.25">
      <c r="A2660" s="101" t="s">
        <v>1502</v>
      </c>
      <c r="B2660" s="102" t="str">
        <f>"61.1099"</f>
        <v>61.1099</v>
      </c>
      <c r="C2660" s="101" t="s">
        <v>6346</v>
      </c>
      <c r="D2660" s="101" t="s">
        <v>6347</v>
      </c>
      <c r="E2660" s="79"/>
    </row>
    <row r="2661" spans="1:5" ht="14.85" customHeight="1" outlineLevel="1" x14ac:dyDescent="0.25">
      <c r="A2661" s="101" t="s">
        <v>1502</v>
      </c>
      <c r="B2661" s="102" t="str">
        <f>"61.11"</f>
        <v>61.11</v>
      </c>
      <c r="C2661" s="101" t="s">
        <v>6348</v>
      </c>
      <c r="D2661" s="101" t="s">
        <v>6349</v>
      </c>
      <c r="E2661" s="79"/>
    </row>
    <row r="2662" spans="1:5" ht="14.85" customHeight="1" outlineLevel="1" x14ac:dyDescent="0.25">
      <c r="A2662" s="101" t="s">
        <v>1502</v>
      </c>
      <c r="B2662" s="102" t="str">
        <f>"61.1101"</f>
        <v>61.1101</v>
      </c>
      <c r="C2662" s="101" t="s">
        <v>6350</v>
      </c>
      <c r="D2662" s="101" t="s">
        <v>6351</v>
      </c>
      <c r="E2662" s="79"/>
    </row>
    <row r="2663" spans="1:5" ht="14.85" customHeight="1" outlineLevel="1" x14ac:dyDescent="0.25">
      <c r="A2663" s="101" t="s">
        <v>1502</v>
      </c>
      <c r="B2663" s="102" t="str">
        <f>"61.1102"</f>
        <v>61.1102</v>
      </c>
      <c r="C2663" s="101" t="s">
        <v>6352</v>
      </c>
      <c r="D2663" s="101" t="s">
        <v>6353</v>
      </c>
      <c r="E2663" s="79"/>
    </row>
    <row r="2664" spans="1:5" ht="14.85" customHeight="1" outlineLevel="1" x14ac:dyDescent="0.25">
      <c r="A2664" s="101" t="s">
        <v>1502</v>
      </c>
      <c r="B2664" s="102" t="str">
        <f>"61.1103"</f>
        <v>61.1103</v>
      </c>
      <c r="C2664" s="101" t="s">
        <v>6354</v>
      </c>
      <c r="D2664" s="101" t="s">
        <v>6355</v>
      </c>
      <c r="E2664" s="79"/>
    </row>
    <row r="2665" spans="1:5" ht="14.85" customHeight="1" outlineLevel="1" x14ac:dyDescent="0.25">
      <c r="A2665" s="101" t="s">
        <v>1502</v>
      </c>
      <c r="B2665" s="102" t="str">
        <f>"61.1104"</f>
        <v>61.1104</v>
      </c>
      <c r="C2665" s="101" t="s">
        <v>6356</v>
      </c>
      <c r="D2665" s="101" t="s">
        <v>6357</v>
      </c>
      <c r="E2665" s="79"/>
    </row>
    <row r="2666" spans="1:5" ht="14.85" customHeight="1" outlineLevel="1" x14ac:dyDescent="0.25">
      <c r="A2666" s="101" t="s">
        <v>1502</v>
      </c>
      <c r="B2666" s="102" t="str">
        <f>"61.1105"</f>
        <v>61.1105</v>
      </c>
      <c r="C2666" s="101" t="s">
        <v>6358</v>
      </c>
      <c r="D2666" s="101" t="s">
        <v>6359</v>
      </c>
      <c r="E2666" s="79"/>
    </row>
    <row r="2667" spans="1:5" ht="14.85" customHeight="1" outlineLevel="1" x14ac:dyDescent="0.25">
      <c r="A2667" s="101" t="s">
        <v>1502</v>
      </c>
      <c r="B2667" s="102" t="str">
        <f>"61.1106"</f>
        <v>61.1106</v>
      </c>
      <c r="C2667" s="101" t="s">
        <v>6360</v>
      </c>
      <c r="D2667" s="101" t="s">
        <v>6361</v>
      </c>
      <c r="E2667" s="79"/>
    </row>
    <row r="2668" spans="1:5" ht="14.85" customHeight="1" outlineLevel="1" x14ac:dyDescent="0.25">
      <c r="A2668" s="101" t="s">
        <v>1502</v>
      </c>
      <c r="B2668" s="102" t="str">
        <f>"61.1107"</f>
        <v>61.1107</v>
      </c>
      <c r="C2668" s="101" t="s">
        <v>6362</v>
      </c>
      <c r="D2668" s="101" t="s">
        <v>6363</v>
      </c>
      <c r="E2668" s="79"/>
    </row>
    <row r="2669" spans="1:5" ht="14.85" customHeight="1" outlineLevel="1" x14ac:dyDescent="0.25">
      <c r="A2669" s="101" t="s">
        <v>1502</v>
      </c>
      <c r="B2669" s="102" t="str">
        <f>"61.1199"</f>
        <v>61.1199</v>
      </c>
      <c r="C2669" s="101" t="s">
        <v>6364</v>
      </c>
      <c r="D2669" s="101" t="s">
        <v>6365</v>
      </c>
      <c r="E2669" s="79"/>
    </row>
    <row r="2670" spans="1:5" ht="14.85" customHeight="1" outlineLevel="1" x14ac:dyDescent="0.25">
      <c r="A2670" s="101" t="s">
        <v>1502</v>
      </c>
      <c r="B2670" s="102" t="str">
        <f>"61.12"</f>
        <v>61.12</v>
      </c>
      <c r="C2670" s="101" t="s">
        <v>6366</v>
      </c>
      <c r="D2670" s="101" t="s">
        <v>6367</v>
      </c>
      <c r="E2670" s="79"/>
    </row>
    <row r="2671" spans="1:5" ht="14.85" customHeight="1" outlineLevel="1" x14ac:dyDescent="0.25">
      <c r="A2671" s="101" t="s">
        <v>1502</v>
      </c>
      <c r="B2671" s="102" t="str">
        <f>"61.1201"</f>
        <v>61.1201</v>
      </c>
      <c r="C2671" s="101" t="s">
        <v>6368</v>
      </c>
      <c r="D2671" s="101" t="s">
        <v>6369</v>
      </c>
      <c r="E2671" s="79"/>
    </row>
    <row r="2672" spans="1:5" ht="14.85" customHeight="1" outlineLevel="1" x14ac:dyDescent="0.25">
      <c r="A2672" s="101" t="s">
        <v>1502</v>
      </c>
      <c r="B2672" s="102" t="str">
        <f>"61.1299"</f>
        <v>61.1299</v>
      </c>
      <c r="C2672" s="101" t="s">
        <v>6370</v>
      </c>
      <c r="D2672" s="101" t="s">
        <v>6371</v>
      </c>
      <c r="E2672" s="79"/>
    </row>
    <row r="2673" spans="1:5" ht="14.85" customHeight="1" outlineLevel="1" x14ac:dyDescent="0.25">
      <c r="A2673" s="101" t="s">
        <v>1502</v>
      </c>
      <c r="B2673" s="102" t="str">
        <f>"61.13"</f>
        <v>61.13</v>
      </c>
      <c r="C2673" s="101" t="s">
        <v>6372</v>
      </c>
      <c r="D2673" s="101" t="s">
        <v>6373</v>
      </c>
      <c r="E2673" s="79"/>
    </row>
    <row r="2674" spans="1:5" ht="14.85" customHeight="1" outlineLevel="1" x14ac:dyDescent="0.25">
      <c r="A2674" s="101" t="s">
        <v>1502</v>
      </c>
      <c r="B2674" s="102" t="str">
        <f>"61.1301"</f>
        <v>61.1301</v>
      </c>
      <c r="C2674" s="101" t="s">
        <v>6374</v>
      </c>
      <c r="D2674" s="101" t="s">
        <v>6375</v>
      </c>
      <c r="E2674" s="79"/>
    </row>
    <row r="2675" spans="1:5" ht="14.85" customHeight="1" outlineLevel="1" x14ac:dyDescent="0.25">
      <c r="A2675" s="101" t="s">
        <v>1502</v>
      </c>
      <c r="B2675" s="102" t="str">
        <f>"61.1302"</f>
        <v>61.1302</v>
      </c>
      <c r="C2675" s="101" t="s">
        <v>6376</v>
      </c>
      <c r="D2675" s="101" t="s">
        <v>6377</v>
      </c>
      <c r="E2675" s="79"/>
    </row>
    <row r="2676" spans="1:5" ht="14.85" customHeight="1" outlineLevel="1" x14ac:dyDescent="0.25">
      <c r="A2676" s="101" t="s">
        <v>1502</v>
      </c>
      <c r="B2676" s="102" t="str">
        <f>"61.1303"</f>
        <v>61.1303</v>
      </c>
      <c r="C2676" s="101" t="s">
        <v>6378</v>
      </c>
      <c r="D2676" s="101" t="s">
        <v>6379</v>
      </c>
      <c r="E2676" s="79"/>
    </row>
    <row r="2677" spans="1:5" ht="14.85" customHeight="1" outlineLevel="1" x14ac:dyDescent="0.25">
      <c r="A2677" s="101" t="s">
        <v>1502</v>
      </c>
      <c r="B2677" s="102" t="str">
        <f>"61.1304"</f>
        <v>61.1304</v>
      </c>
      <c r="C2677" s="101" t="s">
        <v>6380</v>
      </c>
      <c r="D2677" s="101" t="s">
        <v>6381</v>
      </c>
      <c r="E2677" s="79"/>
    </row>
    <row r="2678" spans="1:5" ht="14.85" customHeight="1" outlineLevel="1" x14ac:dyDescent="0.25">
      <c r="A2678" s="101" t="s">
        <v>1502</v>
      </c>
      <c r="B2678" s="102" t="str">
        <f>"61.1399"</f>
        <v>61.1399</v>
      </c>
      <c r="C2678" s="101" t="s">
        <v>6382</v>
      </c>
      <c r="D2678" s="101" t="s">
        <v>6383</v>
      </c>
      <c r="E2678" s="79"/>
    </row>
    <row r="2679" spans="1:5" ht="14.85" customHeight="1" outlineLevel="1" x14ac:dyDescent="0.25">
      <c r="A2679" s="101" t="s">
        <v>1502</v>
      </c>
      <c r="B2679" s="102" t="str">
        <f>"61.14"</f>
        <v>61.14</v>
      </c>
      <c r="C2679" s="101" t="s">
        <v>6384</v>
      </c>
      <c r="D2679" s="101" t="s">
        <v>6385</v>
      </c>
      <c r="E2679" s="79"/>
    </row>
    <row r="2680" spans="1:5" ht="14.85" customHeight="1" outlineLevel="1" x14ac:dyDescent="0.25">
      <c r="A2680" s="101" t="s">
        <v>1502</v>
      </c>
      <c r="B2680" s="102" t="str">
        <f>"61.1401"</f>
        <v>61.1401</v>
      </c>
      <c r="C2680" s="101" t="s">
        <v>6386</v>
      </c>
      <c r="D2680" s="101" t="s">
        <v>6387</v>
      </c>
      <c r="E2680" s="79"/>
    </row>
    <row r="2681" spans="1:5" ht="14.85" customHeight="1" outlineLevel="1" x14ac:dyDescent="0.25">
      <c r="A2681" s="101" t="s">
        <v>1502</v>
      </c>
      <c r="B2681" s="102" t="str">
        <f>"61.1499"</f>
        <v>61.1499</v>
      </c>
      <c r="C2681" s="101" t="s">
        <v>6388</v>
      </c>
      <c r="D2681" s="101" t="s">
        <v>6389</v>
      </c>
      <c r="E2681" s="79"/>
    </row>
    <row r="2682" spans="1:5" ht="14.85" customHeight="1" outlineLevel="1" x14ac:dyDescent="0.25">
      <c r="A2682" s="101" t="s">
        <v>1502</v>
      </c>
      <c r="B2682" s="102" t="str">
        <f>"61.15"</f>
        <v>61.15</v>
      </c>
      <c r="C2682" s="101" t="s">
        <v>6390</v>
      </c>
      <c r="D2682" s="101" t="s">
        <v>6391</v>
      </c>
      <c r="E2682" s="79"/>
    </row>
    <row r="2683" spans="1:5" ht="14.85" customHeight="1" outlineLevel="1" x14ac:dyDescent="0.25">
      <c r="A2683" s="101" t="s">
        <v>1502</v>
      </c>
      <c r="B2683" s="102" t="str">
        <f>"61.1501"</f>
        <v>61.1501</v>
      </c>
      <c r="C2683" s="101" t="s">
        <v>6392</v>
      </c>
      <c r="D2683" s="101" t="s">
        <v>6393</v>
      </c>
      <c r="E2683" s="79"/>
    </row>
    <row r="2684" spans="1:5" ht="14.85" customHeight="1" outlineLevel="1" x14ac:dyDescent="0.25">
      <c r="A2684" s="101" t="s">
        <v>1502</v>
      </c>
      <c r="B2684" s="102" t="str">
        <f>"61.1502"</f>
        <v>61.1502</v>
      </c>
      <c r="C2684" s="101" t="s">
        <v>6394</v>
      </c>
      <c r="D2684" s="101" t="s">
        <v>6395</v>
      </c>
      <c r="E2684" s="79"/>
    </row>
    <row r="2685" spans="1:5" ht="14.85" customHeight="1" outlineLevel="1" x14ac:dyDescent="0.25">
      <c r="A2685" s="101" t="s">
        <v>1502</v>
      </c>
      <c r="B2685" s="102" t="str">
        <f>"61.1503"</f>
        <v>61.1503</v>
      </c>
      <c r="C2685" s="101" t="s">
        <v>6396</v>
      </c>
      <c r="D2685" s="101" t="s">
        <v>6397</v>
      </c>
      <c r="E2685" s="79"/>
    </row>
    <row r="2686" spans="1:5" ht="14.85" customHeight="1" outlineLevel="1" x14ac:dyDescent="0.25">
      <c r="A2686" s="101" t="s">
        <v>1502</v>
      </c>
      <c r="B2686" s="102" t="str">
        <f>"61.1504"</f>
        <v>61.1504</v>
      </c>
      <c r="C2686" s="101" t="s">
        <v>6398</v>
      </c>
      <c r="D2686" s="101" t="s">
        <v>6399</v>
      </c>
      <c r="E2686" s="79"/>
    </row>
    <row r="2687" spans="1:5" ht="14.85" customHeight="1" outlineLevel="1" x14ac:dyDescent="0.25">
      <c r="A2687" s="101" t="s">
        <v>1502</v>
      </c>
      <c r="B2687" s="102" t="str">
        <f>"61.1505"</f>
        <v>61.1505</v>
      </c>
      <c r="C2687" s="101" t="s">
        <v>6400</v>
      </c>
      <c r="D2687" s="101" t="s">
        <v>6401</v>
      </c>
      <c r="E2687" s="79"/>
    </row>
    <row r="2688" spans="1:5" ht="14.85" customHeight="1" outlineLevel="1" x14ac:dyDescent="0.25">
      <c r="A2688" s="101" t="s">
        <v>1502</v>
      </c>
      <c r="B2688" s="102" t="str">
        <f>"61.1599"</f>
        <v>61.1599</v>
      </c>
      <c r="C2688" s="101" t="s">
        <v>6402</v>
      </c>
      <c r="D2688" s="101" t="s">
        <v>6403</v>
      </c>
      <c r="E2688" s="79"/>
    </row>
    <row r="2689" spans="1:5" ht="14.85" customHeight="1" outlineLevel="1" x14ac:dyDescent="0.25">
      <c r="A2689" s="101" t="s">
        <v>1502</v>
      </c>
      <c r="B2689" s="102" t="str">
        <f>"61.16"</f>
        <v>61.16</v>
      </c>
      <c r="C2689" s="101" t="s">
        <v>6404</v>
      </c>
      <c r="D2689" s="101" t="s">
        <v>6405</v>
      </c>
      <c r="E2689" s="79"/>
    </row>
    <row r="2690" spans="1:5" ht="14.85" customHeight="1" outlineLevel="1" x14ac:dyDescent="0.25">
      <c r="A2690" s="101" t="s">
        <v>1502</v>
      </c>
      <c r="B2690" s="102" t="str">
        <f>"61.1601"</f>
        <v>61.1601</v>
      </c>
      <c r="C2690" s="101" t="s">
        <v>6406</v>
      </c>
      <c r="D2690" s="101" t="s">
        <v>6407</v>
      </c>
      <c r="E2690" s="79"/>
    </row>
    <row r="2691" spans="1:5" ht="14.85" customHeight="1" outlineLevel="1" x14ac:dyDescent="0.25">
      <c r="A2691" s="101" t="s">
        <v>1502</v>
      </c>
      <c r="B2691" s="102" t="str">
        <f>"61.1699"</f>
        <v>61.1699</v>
      </c>
      <c r="C2691" s="101" t="s">
        <v>6408</v>
      </c>
      <c r="D2691" s="101" t="s">
        <v>6409</v>
      </c>
      <c r="E2691" s="79"/>
    </row>
    <row r="2692" spans="1:5" ht="14.85" customHeight="1" outlineLevel="1" x14ac:dyDescent="0.25">
      <c r="A2692" s="101" t="s">
        <v>1502</v>
      </c>
      <c r="B2692" s="102" t="str">
        <f>"61.17"</f>
        <v>61.17</v>
      </c>
      <c r="C2692" s="101" t="s">
        <v>6410</v>
      </c>
      <c r="D2692" s="101" t="s">
        <v>6411</v>
      </c>
      <c r="E2692" s="79"/>
    </row>
    <row r="2693" spans="1:5" ht="14.85" customHeight="1" outlineLevel="1" x14ac:dyDescent="0.25">
      <c r="A2693" s="101" t="s">
        <v>1502</v>
      </c>
      <c r="B2693" s="102" t="str">
        <f>"61.1701"</f>
        <v>61.1701</v>
      </c>
      <c r="C2693" s="101" t="s">
        <v>6412</v>
      </c>
      <c r="D2693" s="101" t="s">
        <v>6413</v>
      </c>
      <c r="E2693" s="79"/>
    </row>
    <row r="2694" spans="1:5" ht="14.85" customHeight="1" outlineLevel="1" x14ac:dyDescent="0.25">
      <c r="A2694" s="101" t="s">
        <v>1502</v>
      </c>
      <c r="B2694" s="102" t="str">
        <f>"61.1702"</f>
        <v>61.1702</v>
      </c>
      <c r="C2694" s="101" t="s">
        <v>6414</v>
      </c>
      <c r="D2694" s="101" t="s">
        <v>6415</v>
      </c>
      <c r="E2694" s="79"/>
    </row>
    <row r="2695" spans="1:5" ht="14.85" customHeight="1" outlineLevel="1" x14ac:dyDescent="0.25">
      <c r="A2695" s="101" t="s">
        <v>1502</v>
      </c>
      <c r="B2695" s="102" t="str">
        <f>"61.1703"</f>
        <v>61.1703</v>
      </c>
      <c r="C2695" s="101" t="s">
        <v>6416</v>
      </c>
      <c r="D2695" s="101" t="s">
        <v>6417</v>
      </c>
      <c r="E2695" s="79"/>
    </row>
    <row r="2696" spans="1:5" ht="14.85" customHeight="1" outlineLevel="1" x14ac:dyDescent="0.25">
      <c r="A2696" s="101" t="s">
        <v>1502</v>
      </c>
      <c r="B2696" s="102" t="str">
        <f>"61.1799"</f>
        <v>61.1799</v>
      </c>
      <c r="C2696" s="101" t="s">
        <v>6418</v>
      </c>
      <c r="D2696" s="101" t="s">
        <v>6419</v>
      </c>
      <c r="E2696" s="79"/>
    </row>
    <row r="2697" spans="1:5" ht="14.85" customHeight="1" outlineLevel="1" x14ac:dyDescent="0.25">
      <c r="A2697" s="101" t="s">
        <v>1502</v>
      </c>
      <c r="B2697" s="102" t="str">
        <f>"61.18"</f>
        <v>61.18</v>
      </c>
      <c r="C2697" s="101" t="s">
        <v>6420</v>
      </c>
      <c r="D2697" s="101" t="s">
        <v>6421</v>
      </c>
      <c r="E2697" s="79"/>
    </row>
    <row r="2698" spans="1:5" ht="14.85" customHeight="1" outlineLevel="1" x14ac:dyDescent="0.25">
      <c r="A2698" s="101" t="s">
        <v>1502</v>
      </c>
      <c r="B2698" s="102" t="str">
        <f>"61.1801"</f>
        <v>61.1801</v>
      </c>
      <c r="C2698" s="101" t="s">
        <v>6422</v>
      </c>
      <c r="D2698" s="101" t="s">
        <v>6423</v>
      </c>
      <c r="E2698" s="79"/>
    </row>
    <row r="2699" spans="1:5" ht="14.85" customHeight="1" outlineLevel="1" x14ac:dyDescent="0.25">
      <c r="A2699" s="101" t="s">
        <v>1502</v>
      </c>
      <c r="B2699" s="102" t="str">
        <f>"61.1802"</f>
        <v>61.1802</v>
      </c>
      <c r="C2699" s="101" t="s">
        <v>6424</v>
      </c>
      <c r="D2699" s="101" t="s">
        <v>6425</v>
      </c>
      <c r="E2699" s="79"/>
    </row>
    <row r="2700" spans="1:5" ht="14.85" customHeight="1" outlineLevel="1" x14ac:dyDescent="0.25">
      <c r="A2700" s="101" t="s">
        <v>1502</v>
      </c>
      <c r="B2700" s="102" t="str">
        <f>"61.1803"</f>
        <v>61.1803</v>
      </c>
      <c r="C2700" s="101" t="s">
        <v>6426</v>
      </c>
      <c r="D2700" s="101" t="s">
        <v>6427</v>
      </c>
      <c r="E2700" s="79"/>
    </row>
    <row r="2701" spans="1:5" ht="14.85" customHeight="1" outlineLevel="1" x14ac:dyDescent="0.25">
      <c r="A2701" s="101" t="s">
        <v>1502</v>
      </c>
      <c r="B2701" s="102" t="str">
        <f>"61.1804"</f>
        <v>61.1804</v>
      </c>
      <c r="C2701" s="101" t="s">
        <v>6428</v>
      </c>
      <c r="D2701" s="101" t="s">
        <v>6429</v>
      </c>
      <c r="E2701" s="79"/>
    </row>
    <row r="2702" spans="1:5" ht="14.85" customHeight="1" outlineLevel="1" x14ac:dyDescent="0.25">
      <c r="A2702" s="101" t="s">
        <v>1502</v>
      </c>
      <c r="B2702" s="102" t="str">
        <f>"61.1805"</f>
        <v>61.1805</v>
      </c>
      <c r="C2702" s="101" t="s">
        <v>6430</v>
      </c>
      <c r="D2702" s="101" t="s">
        <v>6431</v>
      </c>
      <c r="E2702" s="79"/>
    </row>
    <row r="2703" spans="1:5" ht="14.85" customHeight="1" outlineLevel="1" x14ac:dyDescent="0.25">
      <c r="A2703" s="101" t="s">
        <v>1502</v>
      </c>
      <c r="B2703" s="102" t="str">
        <f>"61.1806"</f>
        <v>61.1806</v>
      </c>
      <c r="C2703" s="101" t="s">
        <v>6432</v>
      </c>
      <c r="D2703" s="101" t="s">
        <v>6433</v>
      </c>
      <c r="E2703" s="79"/>
    </row>
    <row r="2704" spans="1:5" ht="14.85" customHeight="1" outlineLevel="1" x14ac:dyDescent="0.25">
      <c r="A2704" s="101" t="s">
        <v>1502</v>
      </c>
      <c r="B2704" s="102" t="str">
        <f>"61.1807"</f>
        <v>61.1807</v>
      </c>
      <c r="C2704" s="101" t="s">
        <v>6434</v>
      </c>
      <c r="D2704" s="101" t="s">
        <v>6435</v>
      </c>
      <c r="E2704" s="79"/>
    </row>
    <row r="2705" spans="1:5" ht="14.85" customHeight="1" outlineLevel="1" x14ac:dyDescent="0.25">
      <c r="A2705" s="101" t="s">
        <v>1502</v>
      </c>
      <c r="B2705" s="102" t="str">
        <f>"61.1808"</f>
        <v>61.1808</v>
      </c>
      <c r="C2705" s="101" t="s">
        <v>6436</v>
      </c>
      <c r="D2705" s="101" t="s">
        <v>6437</v>
      </c>
      <c r="E2705" s="79"/>
    </row>
    <row r="2706" spans="1:5" ht="14.85" customHeight="1" outlineLevel="1" x14ac:dyDescent="0.25">
      <c r="A2706" s="101" t="s">
        <v>1502</v>
      </c>
      <c r="B2706" s="102" t="str">
        <f>"61.1809"</f>
        <v>61.1809</v>
      </c>
      <c r="C2706" s="101" t="s">
        <v>6438</v>
      </c>
      <c r="D2706" s="101" t="s">
        <v>6439</v>
      </c>
      <c r="E2706" s="79"/>
    </row>
    <row r="2707" spans="1:5" ht="14.85" customHeight="1" outlineLevel="1" x14ac:dyDescent="0.25">
      <c r="A2707" s="101" t="s">
        <v>1502</v>
      </c>
      <c r="B2707" s="102" t="str">
        <f>"61.1810"</f>
        <v>61.1810</v>
      </c>
      <c r="C2707" s="101" t="s">
        <v>6440</v>
      </c>
      <c r="D2707" s="101" t="s">
        <v>6441</v>
      </c>
      <c r="E2707" s="79"/>
    </row>
    <row r="2708" spans="1:5" ht="14.85" customHeight="1" outlineLevel="1" x14ac:dyDescent="0.25">
      <c r="A2708" s="101" t="s">
        <v>1502</v>
      </c>
      <c r="B2708" s="102" t="str">
        <f>"61.1811"</f>
        <v>61.1811</v>
      </c>
      <c r="C2708" s="101" t="s">
        <v>6442</v>
      </c>
      <c r="D2708" s="101" t="s">
        <v>6443</v>
      </c>
      <c r="E2708" s="79"/>
    </row>
    <row r="2709" spans="1:5" ht="14.85" customHeight="1" outlineLevel="1" x14ac:dyDescent="0.25">
      <c r="A2709" s="101" t="s">
        <v>1502</v>
      </c>
      <c r="B2709" s="102" t="str">
        <f>"61.1812"</f>
        <v>61.1812</v>
      </c>
      <c r="C2709" s="101" t="s">
        <v>6444</v>
      </c>
      <c r="D2709" s="101" t="s">
        <v>6445</v>
      </c>
      <c r="E2709" s="79"/>
    </row>
    <row r="2710" spans="1:5" ht="14.85" customHeight="1" outlineLevel="1" x14ac:dyDescent="0.25">
      <c r="A2710" s="101" t="s">
        <v>1502</v>
      </c>
      <c r="B2710" s="102" t="str">
        <f>"61.1813"</f>
        <v>61.1813</v>
      </c>
      <c r="C2710" s="101" t="s">
        <v>6446</v>
      </c>
      <c r="D2710" s="101" t="s">
        <v>6447</v>
      </c>
      <c r="E2710" s="79"/>
    </row>
    <row r="2711" spans="1:5" ht="14.85" customHeight="1" outlineLevel="1" x14ac:dyDescent="0.25">
      <c r="A2711" s="101" t="s">
        <v>1502</v>
      </c>
      <c r="B2711" s="102" t="str">
        <f>"61.1814"</f>
        <v>61.1814</v>
      </c>
      <c r="C2711" s="101" t="s">
        <v>6448</v>
      </c>
      <c r="D2711" s="101" t="s">
        <v>6449</v>
      </c>
      <c r="E2711" s="79"/>
    </row>
    <row r="2712" spans="1:5" ht="14.85" customHeight="1" outlineLevel="1" x14ac:dyDescent="0.25">
      <c r="A2712" s="101" t="s">
        <v>1502</v>
      </c>
      <c r="B2712" s="102" t="str">
        <f>"61.1815"</f>
        <v>61.1815</v>
      </c>
      <c r="C2712" s="101" t="s">
        <v>6450</v>
      </c>
      <c r="D2712" s="101" t="s">
        <v>6451</v>
      </c>
      <c r="E2712" s="79"/>
    </row>
    <row r="2713" spans="1:5" ht="14.85" customHeight="1" outlineLevel="1" x14ac:dyDescent="0.25">
      <c r="A2713" s="101" t="s">
        <v>1502</v>
      </c>
      <c r="B2713" s="102" t="str">
        <f>"61.1899"</f>
        <v>61.1899</v>
      </c>
      <c r="C2713" s="101" t="s">
        <v>6452</v>
      </c>
      <c r="D2713" s="101" t="s">
        <v>6453</v>
      </c>
      <c r="E2713" s="79"/>
    </row>
    <row r="2714" spans="1:5" ht="14.85" customHeight="1" outlineLevel="1" x14ac:dyDescent="0.25">
      <c r="A2714" s="101" t="s">
        <v>1502</v>
      </c>
      <c r="B2714" s="102" t="str">
        <f>"61.19"</f>
        <v>61.19</v>
      </c>
      <c r="C2714" s="101" t="s">
        <v>6454</v>
      </c>
      <c r="D2714" s="101" t="s">
        <v>6455</v>
      </c>
      <c r="E2714" s="79"/>
    </row>
    <row r="2715" spans="1:5" ht="14.85" customHeight="1" outlineLevel="1" x14ac:dyDescent="0.25">
      <c r="A2715" s="101" t="s">
        <v>1502</v>
      </c>
      <c r="B2715" s="102" t="str">
        <f>"61.1901"</f>
        <v>61.1901</v>
      </c>
      <c r="C2715" s="101" t="s">
        <v>6456</v>
      </c>
      <c r="D2715" s="101" t="s">
        <v>6457</v>
      </c>
      <c r="E2715" s="79"/>
    </row>
    <row r="2716" spans="1:5" ht="14.85" customHeight="1" outlineLevel="1" x14ac:dyDescent="0.25">
      <c r="A2716" s="101" t="s">
        <v>1502</v>
      </c>
      <c r="B2716" s="102" t="str">
        <f>"61.1902"</f>
        <v>61.1902</v>
      </c>
      <c r="C2716" s="101" t="s">
        <v>6458</v>
      </c>
      <c r="D2716" s="101" t="s">
        <v>6459</v>
      </c>
      <c r="E2716" s="79"/>
    </row>
    <row r="2717" spans="1:5" ht="14.85" customHeight="1" outlineLevel="1" x14ac:dyDescent="0.25">
      <c r="A2717" s="101" t="s">
        <v>1502</v>
      </c>
      <c r="B2717" s="102" t="str">
        <f>"61.1903"</f>
        <v>61.1903</v>
      </c>
      <c r="C2717" s="101" t="s">
        <v>6460</v>
      </c>
      <c r="D2717" s="101" t="s">
        <v>6461</v>
      </c>
      <c r="E2717" s="79"/>
    </row>
    <row r="2718" spans="1:5" ht="14.85" customHeight="1" outlineLevel="1" x14ac:dyDescent="0.25">
      <c r="A2718" s="101" t="s">
        <v>1502</v>
      </c>
      <c r="B2718" s="102" t="str">
        <f>"61.1904"</f>
        <v>61.1904</v>
      </c>
      <c r="C2718" s="101" t="s">
        <v>6462</v>
      </c>
      <c r="D2718" s="101" t="s">
        <v>6463</v>
      </c>
      <c r="E2718" s="79"/>
    </row>
    <row r="2719" spans="1:5" ht="14.85" customHeight="1" outlineLevel="1" x14ac:dyDescent="0.25">
      <c r="A2719" s="101" t="s">
        <v>1502</v>
      </c>
      <c r="B2719" s="102" t="str">
        <f>"61.1905"</f>
        <v>61.1905</v>
      </c>
      <c r="C2719" s="101" t="s">
        <v>6464</v>
      </c>
      <c r="D2719" s="101" t="s">
        <v>6465</v>
      </c>
      <c r="E2719" s="79"/>
    </row>
    <row r="2720" spans="1:5" ht="14.85" customHeight="1" outlineLevel="1" x14ac:dyDescent="0.25">
      <c r="A2720" s="101" t="s">
        <v>1502</v>
      </c>
      <c r="B2720" s="102" t="str">
        <f>"61.1906"</f>
        <v>61.1906</v>
      </c>
      <c r="C2720" s="101" t="s">
        <v>6466</v>
      </c>
      <c r="D2720" s="101" t="s">
        <v>6467</v>
      </c>
      <c r="E2720" s="79"/>
    </row>
    <row r="2721" spans="1:5" ht="14.85" customHeight="1" outlineLevel="1" x14ac:dyDescent="0.25">
      <c r="A2721" s="101" t="s">
        <v>1502</v>
      </c>
      <c r="B2721" s="102" t="str">
        <f>"61.1907"</f>
        <v>61.1907</v>
      </c>
      <c r="C2721" s="101" t="s">
        <v>6468</v>
      </c>
      <c r="D2721" s="101" t="s">
        <v>6469</v>
      </c>
      <c r="E2721" s="79"/>
    </row>
    <row r="2722" spans="1:5" ht="14.85" customHeight="1" outlineLevel="1" x14ac:dyDescent="0.25">
      <c r="A2722" s="101" t="s">
        <v>1502</v>
      </c>
      <c r="B2722" s="102" t="str">
        <f>"61.1908"</f>
        <v>61.1908</v>
      </c>
      <c r="C2722" s="101" t="s">
        <v>6470</v>
      </c>
      <c r="D2722" s="101" t="s">
        <v>6471</v>
      </c>
      <c r="E2722" s="79"/>
    </row>
    <row r="2723" spans="1:5" ht="14.85" customHeight="1" outlineLevel="1" x14ac:dyDescent="0.25">
      <c r="A2723" s="101" t="s">
        <v>1502</v>
      </c>
      <c r="B2723" s="102" t="str">
        <f>"61.1909"</f>
        <v>61.1909</v>
      </c>
      <c r="C2723" s="101" t="s">
        <v>6472</v>
      </c>
      <c r="D2723" s="101" t="s">
        <v>6473</v>
      </c>
      <c r="E2723" s="79"/>
    </row>
    <row r="2724" spans="1:5" ht="14.85" customHeight="1" outlineLevel="1" x14ac:dyDescent="0.25">
      <c r="A2724" s="101" t="s">
        <v>1502</v>
      </c>
      <c r="B2724" s="102" t="str">
        <f>"61.1910"</f>
        <v>61.1910</v>
      </c>
      <c r="C2724" s="101" t="s">
        <v>6474</v>
      </c>
      <c r="D2724" s="101" t="s">
        <v>6475</v>
      </c>
      <c r="E2724" s="79"/>
    </row>
    <row r="2725" spans="1:5" ht="14.85" customHeight="1" outlineLevel="1" x14ac:dyDescent="0.25">
      <c r="A2725" s="101" t="s">
        <v>1502</v>
      </c>
      <c r="B2725" s="102" t="str">
        <f>"61.1911"</f>
        <v>61.1911</v>
      </c>
      <c r="C2725" s="101" t="s">
        <v>6476</v>
      </c>
      <c r="D2725" s="101" t="s">
        <v>6477</v>
      </c>
      <c r="E2725" s="79"/>
    </row>
    <row r="2726" spans="1:5" ht="14.85" customHeight="1" outlineLevel="1" x14ac:dyDescent="0.25">
      <c r="A2726" s="101" t="s">
        <v>1502</v>
      </c>
      <c r="B2726" s="102" t="str">
        <f>"61.1912"</f>
        <v>61.1912</v>
      </c>
      <c r="C2726" s="101" t="s">
        <v>6478</v>
      </c>
      <c r="D2726" s="101" t="s">
        <v>6479</v>
      </c>
      <c r="E2726" s="79"/>
    </row>
    <row r="2727" spans="1:5" ht="14.85" customHeight="1" outlineLevel="1" x14ac:dyDescent="0.25">
      <c r="A2727" s="101" t="s">
        <v>1502</v>
      </c>
      <c r="B2727" s="102" t="str">
        <f>"61.1913"</f>
        <v>61.1913</v>
      </c>
      <c r="C2727" s="101" t="s">
        <v>6480</v>
      </c>
      <c r="D2727" s="101" t="s">
        <v>6481</v>
      </c>
      <c r="E2727" s="79"/>
    </row>
    <row r="2728" spans="1:5" ht="14.85" customHeight="1" outlineLevel="1" x14ac:dyDescent="0.25">
      <c r="A2728" s="101" t="s">
        <v>1502</v>
      </c>
      <c r="B2728" s="102" t="str">
        <f>"61.1914"</f>
        <v>61.1914</v>
      </c>
      <c r="C2728" s="101" t="s">
        <v>6482</v>
      </c>
      <c r="D2728" s="101" t="s">
        <v>6483</v>
      </c>
      <c r="E2728" s="79"/>
    </row>
    <row r="2729" spans="1:5" ht="14.85" customHeight="1" outlineLevel="1" x14ac:dyDescent="0.25">
      <c r="A2729" s="101" t="s">
        <v>1502</v>
      </c>
      <c r="B2729" s="102" t="str">
        <f>"61.1915"</f>
        <v>61.1915</v>
      </c>
      <c r="C2729" s="101" t="s">
        <v>6484</v>
      </c>
      <c r="D2729" s="101" t="s">
        <v>6485</v>
      </c>
      <c r="E2729" s="79"/>
    </row>
    <row r="2730" spans="1:5" ht="14.85" customHeight="1" outlineLevel="1" x14ac:dyDescent="0.25">
      <c r="A2730" s="101" t="s">
        <v>1502</v>
      </c>
      <c r="B2730" s="102" t="str">
        <f>"61.1917"</f>
        <v>61.1917</v>
      </c>
      <c r="C2730" s="101" t="s">
        <v>6486</v>
      </c>
      <c r="D2730" s="101" t="s">
        <v>6487</v>
      </c>
      <c r="E2730" s="79"/>
    </row>
    <row r="2731" spans="1:5" ht="14.85" customHeight="1" outlineLevel="1" x14ac:dyDescent="0.25">
      <c r="A2731" s="101" t="s">
        <v>1502</v>
      </c>
      <c r="B2731" s="102" t="str">
        <f>"61.1999"</f>
        <v>61.1999</v>
      </c>
      <c r="C2731" s="101" t="s">
        <v>6488</v>
      </c>
      <c r="D2731" s="101" t="s">
        <v>6489</v>
      </c>
      <c r="E2731" s="79"/>
    </row>
    <row r="2732" spans="1:5" ht="14.85" customHeight="1" outlineLevel="1" x14ac:dyDescent="0.25">
      <c r="A2732" s="101" t="s">
        <v>1502</v>
      </c>
      <c r="B2732" s="102" t="str">
        <f>"61.20"</f>
        <v>61.20</v>
      </c>
      <c r="C2732" s="101" t="s">
        <v>6490</v>
      </c>
      <c r="D2732" s="101" t="s">
        <v>6491</v>
      </c>
      <c r="E2732" s="79"/>
    </row>
    <row r="2733" spans="1:5" ht="14.85" customHeight="1" outlineLevel="1" x14ac:dyDescent="0.25">
      <c r="A2733" s="101" t="s">
        <v>1502</v>
      </c>
      <c r="B2733" s="102" t="str">
        <f>"61.2001"</f>
        <v>61.2001</v>
      </c>
      <c r="C2733" s="101" t="s">
        <v>6492</v>
      </c>
      <c r="D2733" s="101" t="s">
        <v>6493</v>
      </c>
      <c r="E2733" s="79"/>
    </row>
    <row r="2734" spans="1:5" ht="14.85" customHeight="1" outlineLevel="1" x14ac:dyDescent="0.25">
      <c r="A2734" s="101" t="s">
        <v>1502</v>
      </c>
      <c r="B2734" s="102" t="str">
        <f>"61.2002"</f>
        <v>61.2002</v>
      </c>
      <c r="C2734" s="101" t="s">
        <v>6494</v>
      </c>
      <c r="D2734" s="101" t="s">
        <v>6495</v>
      </c>
      <c r="E2734" s="79"/>
    </row>
    <row r="2735" spans="1:5" ht="14.85" customHeight="1" outlineLevel="1" x14ac:dyDescent="0.25">
      <c r="A2735" s="101" t="s">
        <v>1502</v>
      </c>
      <c r="B2735" s="102" t="str">
        <f>"61.2003"</f>
        <v>61.2003</v>
      </c>
      <c r="C2735" s="101" t="s">
        <v>6496</v>
      </c>
      <c r="D2735" s="101" t="s">
        <v>6497</v>
      </c>
      <c r="E2735" s="79"/>
    </row>
    <row r="2736" spans="1:5" ht="14.85" customHeight="1" outlineLevel="1" x14ac:dyDescent="0.25">
      <c r="A2736" s="101" t="s">
        <v>1502</v>
      </c>
      <c r="B2736" s="102" t="str">
        <f>"61.2099"</f>
        <v>61.2099</v>
      </c>
      <c r="C2736" s="101" t="s">
        <v>6498</v>
      </c>
      <c r="D2736" s="101" t="s">
        <v>6499</v>
      </c>
      <c r="E2736" s="79"/>
    </row>
    <row r="2737" spans="1:5" ht="14.85" customHeight="1" outlineLevel="1" x14ac:dyDescent="0.25">
      <c r="A2737" s="101" t="s">
        <v>1502</v>
      </c>
      <c r="B2737" s="102" t="str">
        <f>"61.21"</f>
        <v>61.21</v>
      </c>
      <c r="C2737" s="101" t="s">
        <v>6500</v>
      </c>
      <c r="D2737" s="101" t="s">
        <v>6501</v>
      </c>
      <c r="E2737" s="79"/>
    </row>
    <row r="2738" spans="1:5" ht="14.85" customHeight="1" outlineLevel="1" x14ac:dyDescent="0.25">
      <c r="A2738" s="101" t="s">
        <v>1502</v>
      </c>
      <c r="B2738" s="102" t="str">
        <f>"61.2101"</f>
        <v>61.2101</v>
      </c>
      <c r="C2738" s="101" t="s">
        <v>6502</v>
      </c>
      <c r="D2738" s="101" t="s">
        <v>6503</v>
      </c>
      <c r="E2738" s="79"/>
    </row>
    <row r="2739" spans="1:5" ht="14.85" customHeight="1" outlineLevel="1" x14ac:dyDescent="0.25">
      <c r="A2739" s="101" t="s">
        <v>1502</v>
      </c>
      <c r="B2739" s="102" t="str">
        <f>"61.2102"</f>
        <v>61.2102</v>
      </c>
      <c r="C2739" s="101" t="s">
        <v>6504</v>
      </c>
      <c r="D2739" s="101" t="s">
        <v>6505</v>
      </c>
      <c r="E2739" s="79"/>
    </row>
    <row r="2740" spans="1:5" ht="14.85" customHeight="1" outlineLevel="1" x14ac:dyDescent="0.25">
      <c r="A2740" s="101" t="s">
        <v>1502</v>
      </c>
      <c r="B2740" s="102" t="str">
        <f>"61.2103"</f>
        <v>61.2103</v>
      </c>
      <c r="C2740" s="101" t="s">
        <v>6506</v>
      </c>
      <c r="D2740" s="101" t="s">
        <v>6507</v>
      </c>
      <c r="E2740" s="79"/>
    </row>
    <row r="2741" spans="1:5" ht="14.85" customHeight="1" outlineLevel="1" x14ac:dyDescent="0.25">
      <c r="A2741" s="101" t="s">
        <v>1502</v>
      </c>
      <c r="B2741" s="102" t="str">
        <f>"61.2199"</f>
        <v>61.2199</v>
      </c>
      <c r="C2741" s="101" t="s">
        <v>6508</v>
      </c>
      <c r="D2741" s="101" t="s">
        <v>6509</v>
      </c>
      <c r="E2741" s="79"/>
    </row>
    <row r="2742" spans="1:5" ht="14.85" customHeight="1" outlineLevel="1" x14ac:dyDescent="0.25">
      <c r="A2742" s="101" t="s">
        <v>1502</v>
      </c>
      <c r="B2742" s="102" t="str">
        <f>"61.22"</f>
        <v>61.22</v>
      </c>
      <c r="C2742" s="101" t="s">
        <v>6510</v>
      </c>
      <c r="D2742" s="101" t="s">
        <v>6511</v>
      </c>
      <c r="E2742" s="79"/>
    </row>
    <row r="2743" spans="1:5" ht="14.85" customHeight="1" outlineLevel="1" x14ac:dyDescent="0.25">
      <c r="A2743" s="101" t="s">
        <v>1502</v>
      </c>
      <c r="B2743" s="102" t="str">
        <f>"61.2201"</f>
        <v>61.2201</v>
      </c>
      <c r="C2743" s="101" t="s">
        <v>6512</v>
      </c>
      <c r="D2743" s="101" t="s">
        <v>6513</v>
      </c>
      <c r="E2743" s="79"/>
    </row>
    <row r="2744" spans="1:5" ht="14.85" customHeight="1" outlineLevel="1" x14ac:dyDescent="0.25">
      <c r="A2744" s="101" t="s">
        <v>1502</v>
      </c>
      <c r="B2744" s="102" t="str">
        <f>"61.2299"</f>
        <v>61.2299</v>
      </c>
      <c r="C2744" s="101" t="s">
        <v>6514</v>
      </c>
      <c r="D2744" s="101" t="s">
        <v>6515</v>
      </c>
      <c r="E2744" s="79"/>
    </row>
    <row r="2745" spans="1:5" ht="14.85" customHeight="1" outlineLevel="1" x14ac:dyDescent="0.25">
      <c r="A2745" s="101" t="s">
        <v>1502</v>
      </c>
      <c r="B2745" s="102" t="str">
        <f>"61.23"</f>
        <v>61.23</v>
      </c>
      <c r="C2745" s="101" t="s">
        <v>6516</v>
      </c>
      <c r="D2745" s="101" t="s">
        <v>6517</v>
      </c>
      <c r="E2745" s="79"/>
    </row>
    <row r="2746" spans="1:5" ht="14.85" customHeight="1" outlineLevel="1" x14ac:dyDescent="0.25">
      <c r="A2746" s="101" t="s">
        <v>1502</v>
      </c>
      <c r="B2746" s="102" t="str">
        <f>"61.2301"</f>
        <v>61.2301</v>
      </c>
      <c r="C2746" s="101" t="s">
        <v>6518</v>
      </c>
      <c r="D2746" s="101" t="s">
        <v>6519</v>
      </c>
      <c r="E2746" s="79"/>
    </row>
    <row r="2747" spans="1:5" ht="14.85" customHeight="1" outlineLevel="1" x14ac:dyDescent="0.25">
      <c r="A2747" s="101" t="s">
        <v>1502</v>
      </c>
      <c r="B2747" s="102" t="str">
        <f>"61.2302"</f>
        <v>61.2302</v>
      </c>
      <c r="C2747" s="101" t="s">
        <v>6520</v>
      </c>
      <c r="D2747" s="101" t="s">
        <v>6521</v>
      </c>
      <c r="E2747" s="79"/>
    </row>
    <row r="2748" spans="1:5" ht="14.85" customHeight="1" outlineLevel="1" x14ac:dyDescent="0.25">
      <c r="A2748" s="101" t="s">
        <v>1502</v>
      </c>
      <c r="B2748" s="102" t="str">
        <f>"61.2303"</f>
        <v>61.2303</v>
      </c>
      <c r="C2748" s="101" t="s">
        <v>6522</v>
      </c>
      <c r="D2748" s="101" t="s">
        <v>6523</v>
      </c>
      <c r="E2748" s="79"/>
    </row>
    <row r="2749" spans="1:5" ht="14.85" customHeight="1" outlineLevel="1" x14ac:dyDescent="0.25">
      <c r="A2749" s="101" t="s">
        <v>1502</v>
      </c>
      <c r="B2749" s="102" t="str">
        <f>"61.2399"</f>
        <v>61.2399</v>
      </c>
      <c r="C2749" s="101" t="s">
        <v>6524</v>
      </c>
      <c r="D2749" s="101" t="s">
        <v>6525</v>
      </c>
      <c r="E2749" s="79"/>
    </row>
    <row r="2750" spans="1:5" ht="14.85" customHeight="1" outlineLevel="1" x14ac:dyDescent="0.25">
      <c r="A2750" s="101" t="s">
        <v>1502</v>
      </c>
      <c r="B2750" s="102" t="str">
        <f>"61.24"</f>
        <v>61.24</v>
      </c>
      <c r="C2750" s="101" t="s">
        <v>6526</v>
      </c>
      <c r="D2750" s="101" t="s">
        <v>6527</v>
      </c>
      <c r="E2750" s="79"/>
    </row>
    <row r="2751" spans="1:5" ht="14.85" customHeight="1" outlineLevel="1" x14ac:dyDescent="0.25">
      <c r="A2751" s="101" t="s">
        <v>1502</v>
      </c>
      <c r="B2751" s="102" t="str">
        <f>"61.2401"</f>
        <v>61.2401</v>
      </c>
      <c r="C2751" s="101" t="s">
        <v>6528</v>
      </c>
      <c r="D2751" s="101" t="s">
        <v>6529</v>
      </c>
      <c r="E2751" s="79"/>
    </row>
    <row r="2752" spans="1:5" ht="14.85" customHeight="1" outlineLevel="1" x14ac:dyDescent="0.25">
      <c r="A2752" s="101" t="s">
        <v>1502</v>
      </c>
      <c r="B2752" s="102" t="str">
        <f>"61.2402"</f>
        <v>61.2402</v>
      </c>
      <c r="C2752" s="101" t="s">
        <v>6530</v>
      </c>
      <c r="D2752" s="101" t="s">
        <v>6531</v>
      </c>
      <c r="E2752" s="79"/>
    </row>
    <row r="2753" spans="1:5" ht="14.85" customHeight="1" outlineLevel="1" x14ac:dyDescent="0.25">
      <c r="A2753" s="101" t="s">
        <v>1502</v>
      </c>
      <c r="B2753" s="102" t="str">
        <f>"61.2403"</f>
        <v>61.2403</v>
      </c>
      <c r="C2753" s="101" t="s">
        <v>6532</v>
      </c>
      <c r="D2753" s="101" t="s">
        <v>6533</v>
      </c>
      <c r="E2753" s="79"/>
    </row>
    <row r="2754" spans="1:5" ht="14.85" customHeight="1" outlineLevel="1" x14ac:dyDescent="0.25">
      <c r="A2754" s="101" t="s">
        <v>1502</v>
      </c>
      <c r="B2754" s="102" t="str">
        <f>"61.2404"</f>
        <v>61.2404</v>
      </c>
      <c r="C2754" s="101" t="s">
        <v>6534</v>
      </c>
      <c r="D2754" s="101" t="s">
        <v>6535</v>
      </c>
      <c r="E2754" s="79"/>
    </row>
    <row r="2755" spans="1:5" ht="14.85" customHeight="1" outlineLevel="1" x14ac:dyDescent="0.25">
      <c r="A2755" s="101" t="s">
        <v>1502</v>
      </c>
      <c r="B2755" s="102" t="str">
        <f>"61.2405"</f>
        <v>61.2405</v>
      </c>
      <c r="C2755" s="101" t="s">
        <v>6536</v>
      </c>
      <c r="D2755" s="101" t="s">
        <v>6537</v>
      </c>
      <c r="E2755" s="79"/>
    </row>
    <row r="2756" spans="1:5" ht="14.85" customHeight="1" outlineLevel="1" x14ac:dyDescent="0.25">
      <c r="A2756" s="101" t="s">
        <v>1502</v>
      </c>
      <c r="B2756" s="102" t="str">
        <f>"61.2406"</f>
        <v>61.2406</v>
      </c>
      <c r="C2756" s="101" t="s">
        <v>6538</v>
      </c>
      <c r="D2756" s="101" t="s">
        <v>6539</v>
      </c>
      <c r="E2756" s="79"/>
    </row>
    <row r="2757" spans="1:5" ht="14.85" customHeight="1" outlineLevel="1" x14ac:dyDescent="0.25">
      <c r="A2757" s="101" t="s">
        <v>1502</v>
      </c>
      <c r="B2757" s="102" t="str">
        <f>"61.2499"</f>
        <v>61.2499</v>
      </c>
      <c r="C2757" s="101" t="s">
        <v>6540</v>
      </c>
      <c r="D2757" s="101" t="s">
        <v>6541</v>
      </c>
      <c r="E2757" s="79"/>
    </row>
    <row r="2758" spans="1:5" ht="14.85" customHeight="1" outlineLevel="1" x14ac:dyDescent="0.25">
      <c r="A2758" s="101" t="s">
        <v>1502</v>
      </c>
      <c r="B2758" s="102" t="str">
        <f>"61.25"</f>
        <v>61.25</v>
      </c>
      <c r="C2758" s="101" t="s">
        <v>6542</v>
      </c>
      <c r="D2758" s="101" t="s">
        <v>6543</v>
      </c>
      <c r="E2758" s="79"/>
    </row>
    <row r="2759" spans="1:5" ht="14.85" customHeight="1" outlineLevel="1" x14ac:dyDescent="0.25">
      <c r="A2759" s="101" t="s">
        <v>1502</v>
      </c>
      <c r="B2759" s="102" t="str">
        <f>"61.2501"</f>
        <v>61.2501</v>
      </c>
      <c r="C2759" s="101" t="s">
        <v>6544</v>
      </c>
      <c r="D2759" s="101" t="s">
        <v>6545</v>
      </c>
      <c r="E2759" s="79"/>
    </row>
    <row r="2760" spans="1:5" ht="14.85" customHeight="1" outlineLevel="1" x14ac:dyDescent="0.25">
      <c r="A2760" s="101" t="s">
        <v>1502</v>
      </c>
      <c r="B2760" s="102" t="str">
        <f>"61.2599"</f>
        <v>61.2599</v>
      </c>
      <c r="C2760" s="101" t="s">
        <v>6546</v>
      </c>
      <c r="D2760" s="101" t="s">
        <v>6547</v>
      </c>
      <c r="E2760" s="79"/>
    </row>
    <row r="2761" spans="1:5" ht="14.85" customHeight="1" outlineLevel="1" x14ac:dyDescent="0.25">
      <c r="A2761" s="101" t="s">
        <v>1502</v>
      </c>
      <c r="B2761" s="102" t="str">
        <f>"61.26"</f>
        <v>61.26</v>
      </c>
      <c r="C2761" s="101" t="s">
        <v>6548</v>
      </c>
      <c r="D2761" s="101" t="s">
        <v>6549</v>
      </c>
      <c r="E2761" s="79"/>
    </row>
    <row r="2762" spans="1:5" ht="14.85" customHeight="1" outlineLevel="1" x14ac:dyDescent="0.25">
      <c r="A2762" s="101" t="s">
        <v>1502</v>
      </c>
      <c r="B2762" s="102" t="str">
        <f>"61.2601"</f>
        <v>61.2601</v>
      </c>
      <c r="C2762" s="101" t="s">
        <v>6550</v>
      </c>
      <c r="D2762" s="101" t="s">
        <v>6551</v>
      </c>
      <c r="E2762" s="79"/>
    </row>
    <row r="2763" spans="1:5" ht="14.85" customHeight="1" outlineLevel="1" x14ac:dyDescent="0.25">
      <c r="A2763" s="101" t="s">
        <v>1502</v>
      </c>
      <c r="B2763" s="102" t="str">
        <f>"61.2602"</f>
        <v>61.2602</v>
      </c>
      <c r="C2763" s="101" t="s">
        <v>6552</v>
      </c>
      <c r="D2763" s="101" t="s">
        <v>6553</v>
      </c>
      <c r="E2763" s="79"/>
    </row>
    <row r="2764" spans="1:5" ht="14.85" customHeight="1" outlineLevel="1" x14ac:dyDescent="0.25">
      <c r="A2764" s="101" t="s">
        <v>1502</v>
      </c>
      <c r="B2764" s="102" t="str">
        <f>"61.2603"</f>
        <v>61.2603</v>
      </c>
      <c r="C2764" s="101" t="s">
        <v>6554</v>
      </c>
      <c r="D2764" s="101" t="s">
        <v>6555</v>
      </c>
      <c r="E2764" s="79"/>
    </row>
    <row r="2765" spans="1:5" ht="14.85" customHeight="1" outlineLevel="1" x14ac:dyDescent="0.25">
      <c r="A2765" s="101" t="s">
        <v>1502</v>
      </c>
      <c r="B2765" s="102" t="str">
        <f>"61.2604"</f>
        <v>61.2604</v>
      </c>
      <c r="C2765" s="101" t="s">
        <v>6556</v>
      </c>
      <c r="D2765" s="101" t="s">
        <v>6557</v>
      </c>
      <c r="E2765" s="79"/>
    </row>
    <row r="2766" spans="1:5" ht="14.85" customHeight="1" outlineLevel="1" x14ac:dyDescent="0.25">
      <c r="A2766" s="101" t="s">
        <v>1502</v>
      </c>
      <c r="B2766" s="102" t="str">
        <f>"61.2605"</f>
        <v>61.2605</v>
      </c>
      <c r="C2766" s="101" t="s">
        <v>6558</v>
      </c>
      <c r="D2766" s="101" t="s">
        <v>6559</v>
      </c>
      <c r="E2766" s="79"/>
    </row>
    <row r="2767" spans="1:5" ht="14.85" customHeight="1" outlineLevel="1" x14ac:dyDescent="0.25">
      <c r="A2767" s="101" t="s">
        <v>1502</v>
      </c>
      <c r="B2767" s="102" t="str">
        <f>"61.2606"</f>
        <v>61.2606</v>
      </c>
      <c r="C2767" s="101" t="s">
        <v>6560</v>
      </c>
      <c r="D2767" s="101" t="s">
        <v>6561</v>
      </c>
      <c r="E2767" s="79"/>
    </row>
    <row r="2768" spans="1:5" ht="14.85" customHeight="1" outlineLevel="1" x14ac:dyDescent="0.25">
      <c r="A2768" s="101" t="s">
        <v>1502</v>
      </c>
      <c r="B2768" s="102" t="str">
        <f>"61.2607"</f>
        <v>61.2607</v>
      </c>
      <c r="C2768" s="101" t="s">
        <v>6562</v>
      </c>
      <c r="D2768" s="101" t="s">
        <v>6563</v>
      </c>
      <c r="E2768" s="79"/>
    </row>
    <row r="2769" spans="1:5" ht="14.85" customHeight="1" outlineLevel="1" x14ac:dyDescent="0.25">
      <c r="A2769" s="101" t="s">
        <v>1502</v>
      </c>
      <c r="B2769" s="102" t="str">
        <f>"61.2608"</f>
        <v>61.2608</v>
      </c>
      <c r="C2769" s="101" t="s">
        <v>6564</v>
      </c>
      <c r="D2769" s="101" t="s">
        <v>6565</v>
      </c>
      <c r="E2769" s="79"/>
    </row>
    <row r="2770" spans="1:5" ht="14.85" customHeight="1" outlineLevel="1" x14ac:dyDescent="0.25">
      <c r="A2770" s="101" t="s">
        <v>1502</v>
      </c>
      <c r="B2770" s="102" t="str">
        <f>"61.2609"</f>
        <v>61.2609</v>
      </c>
      <c r="C2770" s="101" t="s">
        <v>6566</v>
      </c>
      <c r="D2770" s="101" t="s">
        <v>6567</v>
      </c>
      <c r="E2770" s="79"/>
    </row>
    <row r="2771" spans="1:5" ht="14.85" customHeight="1" outlineLevel="1" x14ac:dyDescent="0.25">
      <c r="A2771" s="101" t="s">
        <v>1502</v>
      </c>
      <c r="B2771" s="102" t="str">
        <f>"61.2610"</f>
        <v>61.2610</v>
      </c>
      <c r="C2771" s="101" t="s">
        <v>6568</v>
      </c>
      <c r="D2771" s="101" t="s">
        <v>6569</v>
      </c>
      <c r="E2771" s="79"/>
    </row>
    <row r="2772" spans="1:5" ht="14.85" customHeight="1" outlineLevel="1" x14ac:dyDescent="0.25">
      <c r="A2772" s="101" t="s">
        <v>1502</v>
      </c>
      <c r="B2772" s="102" t="str">
        <f>"61.2611"</f>
        <v>61.2611</v>
      </c>
      <c r="C2772" s="101" t="s">
        <v>6570</v>
      </c>
      <c r="D2772" s="101" t="s">
        <v>6571</v>
      </c>
      <c r="E2772" s="79"/>
    </row>
    <row r="2773" spans="1:5" ht="14.85" customHeight="1" outlineLevel="1" x14ac:dyDescent="0.25">
      <c r="A2773" s="101" t="s">
        <v>1502</v>
      </c>
      <c r="B2773" s="102" t="str">
        <f>"61.2612"</f>
        <v>61.2612</v>
      </c>
      <c r="C2773" s="101" t="s">
        <v>6572</v>
      </c>
      <c r="D2773" s="101" t="s">
        <v>6573</v>
      </c>
      <c r="E2773" s="79"/>
    </row>
    <row r="2774" spans="1:5" ht="14.85" customHeight="1" outlineLevel="1" x14ac:dyDescent="0.25">
      <c r="A2774" s="101" t="s">
        <v>1502</v>
      </c>
      <c r="B2774" s="102" t="str">
        <f>"61.2699"</f>
        <v>61.2699</v>
      </c>
      <c r="C2774" s="101" t="s">
        <v>6574</v>
      </c>
      <c r="D2774" s="101" t="s">
        <v>6575</v>
      </c>
      <c r="E2774" s="79"/>
    </row>
    <row r="2775" spans="1:5" ht="14.85" customHeight="1" outlineLevel="1" x14ac:dyDescent="0.25">
      <c r="A2775" s="101" t="s">
        <v>1502</v>
      </c>
      <c r="B2775" s="102" t="str">
        <f>"61.27"</f>
        <v>61.27</v>
      </c>
      <c r="C2775" s="101" t="s">
        <v>6576</v>
      </c>
      <c r="D2775" s="101" t="s">
        <v>6577</v>
      </c>
      <c r="E2775" s="79"/>
    </row>
    <row r="2776" spans="1:5" ht="14.85" customHeight="1" outlineLevel="1" x14ac:dyDescent="0.25">
      <c r="A2776" s="101" t="s">
        <v>1502</v>
      </c>
      <c r="B2776" s="102" t="str">
        <f>"61.2701"</f>
        <v>61.2701</v>
      </c>
      <c r="C2776" s="101" t="s">
        <v>6578</v>
      </c>
      <c r="D2776" s="101" t="s">
        <v>6579</v>
      </c>
      <c r="E2776" s="79"/>
    </row>
    <row r="2777" spans="1:5" ht="14.85" customHeight="1" outlineLevel="1" x14ac:dyDescent="0.25">
      <c r="A2777" s="101" t="s">
        <v>1502</v>
      </c>
      <c r="B2777" s="102" t="str">
        <f>"61.2702"</f>
        <v>61.2702</v>
      </c>
      <c r="C2777" s="101" t="s">
        <v>6580</v>
      </c>
      <c r="D2777" s="101" t="s">
        <v>6581</v>
      </c>
      <c r="E2777" s="79"/>
    </row>
    <row r="2778" spans="1:5" ht="14.85" customHeight="1" outlineLevel="1" x14ac:dyDescent="0.25">
      <c r="A2778" s="101" t="s">
        <v>1502</v>
      </c>
      <c r="B2778" s="102" t="str">
        <f>"61.2703"</f>
        <v>61.2703</v>
      </c>
      <c r="C2778" s="101" t="s">
        <v>6582</v>
      </c>
      <c r="D2778" s="101" t="s">
        <v>6583</v>
      </c>
      <c r="E2778" s="79"/>
    </row>
    <row r="2779" spans="1:5" ht="14.85" customHeight="1" outlineLevel="1" x14ac:dyDescent="0.25">
      <c r="A2779" s="101" t="s">
        <v>1502</v>
      </c>
      <c r="B2779" s="102" t="str">
        <f>"61.2704"</f>
        <v>61.2704</v>
      </c>
      <c r="C2779" s="101" t="s">
        <v>6584</v>
      </c>
      <c r="D2779" s="101" t="s">
        <v>6585</v>
      </c>
      <c r="E2779" s="79"/>
    </row>
    <row r="2780" spans="1:5" ht="14.85" customHeight="1" outlineLevel="1" x14ac:dyDescent="0.25">
      <c r="A2780" s="101" t="s">
        <v>1502</v>
      </c>
      <c r="B2780" s="102" t="str">
        <f>"61.2705"</f>
        <v>61.2705</v>
      </c>
      <c r="C2780" s="101" t="s">
        <v>6586</v>
      </c>
      <c r="D2780" s="101" t="s">
        <v>6587</v>
      </c>
      <c r="E2780" s="79"/>
    </row>
    <row r="2781" spans="1:5" ht="14.85" customHeight="1" outlineLevel="1" x14ac:dyDescent="0.25">
      <c r="A2781" s="101" t="s">
        <v>1502</v>
      </c>
      <c r="B2781" s="102" t="str">
        <f>"61.2706"</f>
        <v>61.2706</v>
      </c>
      <c r="C2781" s="101" t="s">
        <v>6588</v>
      </c>
      <c r="D2781" s="101" t="s">
        <v>6589</v>
      </c>
      <c r="E2781" s="79"/>
    </row>
    <row r="2782" spans="1:5" ht="14.85" customHeight="1" outlineLevel="1" x14ac:dyDescent="0.25">
      <c r="A2782" s="101" t="s">
        <v>1502</v>
      </c>
      <c r="B2782" s="102" t="str">
        <f>"61.2707"</f>
        <v>61.2707</v>
      </c>
      <c r="C2782" s="101" t="s">
        <v>6590</v>
      </c>
      <c r="D2782" s="101" t="s">
        <v>6591</v>
      </c>
      <c r="E2782" s="79"/>
    </row>
    <row r="2783" spans="1:5" ht="14.85" customHeight="1" outlineLevel="1" x14ac:dyDescent="0.25">
      <c r="A2783" s="101" t="s">
        <v>1502</v>
      </c>
      <c r="B2783" s="102" t="str">
        <f>"61.2708"</f>
        <v>61.2708</v>
      </c>
      <c r="C2783" s="101" t="s">
        <v>6592</v>
      </c>
      <c r="D2783" s="101" t="s">
        <v>6593</v>
      </c>
      <c r="E2783" s="79"/>
    </row>
    <row r="2784" spans="1:5" ht="14.85" customHeight="1" outlineLevel="1" x14ac:dyDescent="0.25">
      <c r="A2784" s="101" t="s">
        <v>1502</v>
      </c>
      <c r="B2784" s="102" t="str">
        <f>"61.2799"</f>
        <v>61.2799</v>
      </c>
      <c r="C2784" s="101" t="s">
        <v>6594</v>
      </c>
      <c r="D2784" s="101" t="s">
        <v>6595</v>
      </c>
      <c r="E2784" s="79"/>
    </row>
    <row r="2785" spans="1:5" ht="14.85" customHeight="1" outlineLevel="1" x14ac:dyDescent="0.25">
      <c r="A2785" s="101" t="s">
        <v>1502</v>
      </c>
      <c r="B2785" s="102" t="str">
        <f>"61.28"</f>
        <v>61.28</v>
      </c>
      <c r="C2785" s="101" t="s">
        <v>6596</v>
      </c>
      <c r="D2785" s="101" t="s">
        <v>6597</v>
      </c>
      <c r="E2785" s="79"/>
    </row>
    <row r="2786" spans="1:5" ht="14.85" customHeight="1" outlineLevel="1" x14ac:dyDescent="0.25">
      <c r="A2786" s="101" t="s">
        <v>1502</v>
      </c>
      <c r="B2786" s="102" t="str">
        <f>"61.2801"</f>
        <v>61.2801</v>
      </c>
      <c r="C2786" s="101" t="s">
        <v>6598</v>
      </c>
      <c r="D2786" s="101" t="s">
        <v>6599</v>
      </c>
      <c r="E2786" s="79"/>
    </row>
    <row r="2787" spans="1:5" ht="14.85" customHeight="1" outlineLevel="1" x14ac:dyDescent="0.25">
      <c r="A2787" s="101" t="s">
        <v>1502</v>
      </c>
      <c r="B2787" s="102" t="str">
        <f>"61.2802"</f>
        <v>61.2802</v>
      </c>
      <c r="C2787" s="101" t="s">
        <v>6600</v>
      </c>
      <c r="D2787" s="101" t="s">
        <v>6601</v>
      </c>
      <c r="E2787" s="79"/>
    </row>
    <row r="2788" spans="1:5" ht="14.85" customHeight="1" outlineLevel="1" x14ac:dyDescent="0.25">
      <c r="A2788" s="101" t="s">
        <v>1502</v>
      </c>
      <c r="B2788" s="102" t="str">
        <f>"61.2899"</f>
        <v>61.2899</v>
      </c>
      <c r="C2788" s="101" t="s">
        <v>6602</v>
      </c>
      <c r="D2788" s="101" t="s">
        <v>6603</v>
      </c>
      <c r="E2788" s="79"/>
    </row>
    <row r="2789" spans="1:5" ht="14.85" customHeight="1" outlineLevel="1" x14ac:dyDescent="0.25">
      <c r="A2789" s="101" t="s">
        <v>1502</v>
      </c>
      <c r="B2789" s="102" t="str">
        <f>"61.99"</f>
        <v>61.99</v>
      </c>
      <c r="C2789" s="101" t="s">
        <v>6604</v>
      </c>
      <c r="D2789" s="101" t="s">
        <v>6605</v>
      </c>
      <c r="E2789" s="79"/>
    </row>
    <row r="2790" spans="1:5" ht="14.85" customHeight="1" outlineLevel="1" x14ac:dyDescent="0.25">
      <c r="A2790" s="101" t="s">
        <v>1502</v>
      </c>
      <c r="B2790" s="102" t="str">
        <f>"61.9999"</f>
        <v>61.9999</v>
      </c>
      <c r="C2790" s="101" t="s">
        <v>6604</v>
      </c>
      <c r="D2790" s="101" t="s">
        <v>6606</v>
      </c>
      <c r="E2790" s="79"/>
    </row>
    <row r="2791" spans="1:5" ht="14.85" customHeight="1" x14ac:dyDescent="0.25">
      <c r="A2791" s="212" t="s">
        <v>1502</v>
      </c>
      <c r="B2791" s="213" t="s">
        <v>6607</v>
      </c>
      <c r="C2791" s="212" t="s">
        <v>6608</v>
      </c>
      <c r="D2791" s="212" t="s">
        <v>6608</v>
      </c>
      <c r="E2791" s="214"/>
    </row>
    <row r="2792" spans="1:5" ht="14.85" customHeight="1" x14ac:dyDescent="0.25">
      <c r="A2792" s="101" t="s">
        <v>450</v>
      </c>
      <c r="B2792" s="102" t="s">
        <v>6609</v>
      </c>
      <c r="C2792" s="101" t="s">
        <v>6610</v>
      </c>
      <c r="D2792" s="101" t="s">
        <v>6611</v>
      </c>
      <c r="E2792" s="79"/>
    </row>
    <row r="2793" spans="1:5" ht="14.85" customHeight="1" x14ac:dyDescent="0.25">
      <c r="A2793" s="101" t="s">
        <v>450</v>
      </c>
      <c r="B2793" s="102" t="s">
        <v>6612</v>
      </c>
      <c r="C2793" s="101" t="s">
        <v>6613</v>
      </c>
      <c r="D2793" s="101" t="s">
        <v>6611</v>
      </c>
      <c r="E2793" s="79"/>
    </row>
    <row r="2794" spans="1:5" ht="14.85" customHeight="1" x14ac:dyDescent="0.25">
      <c r="A2794" s="101" t="s">
        <v>450</v>
      </c>
      <c r="B2794" s="102" t="s">
        <v>6614</v>
      </c>
      <c r="C2794" s="101" t="s">
        <v>6615</v>
      </c>
      <c r="D2794" s="101" t="s">
        <v>6611</v>
      </c>
      <c r="E2794" s="79"/>
    </row>
    <row r="2795" spans="1:5" ht="14.85" customHeight="1" x14ac:dyDescent="0.25">
      <c r="A2795" s="101" t="s">
        <v>450</v>
      </c>
      <c r="B2795" s="102" t="s">
        <v>6616</v>
      </c>
      <c r="C2795" s="101" t="s">
        <v>6617</v>
      </c>
      <c r="D2795" s="101" t="s">
        <v>6611</v>
      </c>
      <c r="E2795" s="79"/>
    </row>
    <row r="2796" spans="1:5" ht="14.85" customHeight="1" x14ac:dyDescent="0.25">
      <c r="A2796" s="101" t="s">
        <v>450</v>
      </c>
      <c r="B2796" s="102" t="s">
        <v>6618</v>
      </c>
      <c r="C2796" s="101" t="s">
        <v>6619</v>
      </c>
      <c r="D2796" s="101" t="s">
        <v>6611</v>
      </c>
      <c r="E2796" s="79"/>
    </row>
    <row r="2797" spans="1:5" ht="14.85" customHeight="1" x14ac:dyDescent="0.25">
      <c r="A2797" s="101" t="s">
        <v>450</v>
      </c>
      <c r="B2797" s="102" t="s">
        <v>6620</v>
      </c>
      <c r="C2797" s="101" t="s">
        <v>6621</v>
      </c>
      <c r="D2797" s="101" t="s">
        <v>6611</v>
      </c>
      <c r="E2797" s="79"/>
    </row>
    <row r="2798" spans="1:5" ht="14.85" customHeight="1" x14ac:dyDescent="0.25">
      <c r="A2798" s="101" t="s">
        <v>450</v>
      </c>
      <c r="B2798" s="102" t="s">
        <v>6622</v>
      </c>
      <c r="C2798" s="101" t="s">
        <v>6623</v>
      </c>
      <c r="D2798" s="101" t="s">
        <v>6611</v>
      </c>
      <c r="E2798" s="79"/>
    </row>
    <row r="2799" spans="1:5" ht="14.85" customHeight="1" x14ac:dyDescent="0.25">
      <c r="A2799" s="101" t="s">
        <v>450</v>
      </c>
      <c r="B2799" s="102" t="s">
        <v>6624</v>
      </c>
      <c r="C2799" s="101" t="s">
        <v>6625</v>
      </c>
      <c r="D2799" s="101" t="s">
        <v>6611</v>
      </c>
      <c r="E2799" s="79"/>
    </row>
    <row r="2800" spans="1:5" ht="14.85" customHeight="1" x14ac:dyDescent="0.25">
      <c r="A2800" s="101" t="s">
        <v>450</v>
      </c>
      <c r="B2800" s="102" t="s">
        <v>6626</v>
      </c>
      <c r="C2800" s="101" t="s">
        <v>6627</v>
      </c>
      <c r="D2800" s="101" t="s">
        <v>6611</v>
      </c>
      <c r="E2800" s="79"/>
    </row>
    <row r="2801" spans="1:5" ht="14.85" customHeight="1" x14ac:dyDescent="0.25">
      <c r="A2801" s="101" t="s">
        <v>450</v>
      </c>
      <c r="B2801" s="102" t="s">
        <v>6628</v>
      </c>
      <c r="C2801" s="101" t="s">
        <v>6629</v>
      </c>
      <c r="D2801" s="101" t="s">
        <v>6611</v>
      </c>
      <c r="E2801" s="79"/>
    </row>
    <row r="2802" spans="1:5" ht="14.85" customHeight="1" x14ac:dyDescent="0.25">
      <c r="A2802" s="101" t="s">
        <v>450</v>
      </c>
      <c r="B2802" s="102" t="s">
        <v>6630</v>
      </c>
      <c r="C2802" s="101" t="s">
        <v>6631</v>
      </c>
      <c r="D2802" s="101" t="s">
        <v>6611</v>
      </c>
      <c r="E2802" s="79"/>
    </row>
    <row r="2803" spans="1:5" ht="14.85" customHeight="1" x14ac:dyDescent="0.25">
      <c r="A2803" s="101" t="s">
        <v>450</v>
      </c>
      <c r="B2803" s="102" t="s">
        <v>6632</v>
      </c>
      <c r="C2803" s="101" t="s">
        <v>6633</v>
      </c>
      <c r="D2803" s="101" t="s">
        <v>6611</v>
      </c>
      <c r="E2803" s="79"/>
    </row>
    <row r="2804" spans="1:5" ht="14.85" customHeight="1" x14ac:dyDescent="0.25">
      <c r="A2804" s="101" t="s">
        <v>450</v>
      </c>
      <c r="B2804" s="102" t="s">
        <v>6634</v>
      </c>
      <c r="C2804" s="101" t="s">
        <v>6635</v>
      </c>
      <c r="D2804" s="101" t="s">
        <v>6611</v>
      </c>
      <c r="E2804" s="79"/>
    </row>
    <row r="2805" spans="1:5" ht="14.85" customHeight="1" x14ac:dyDescent="0.25">
      <c r="A2805" s="101" t="s">
        <v>450</v>
      </c>
      <c r="B2805" s="102" t="s">
        <v>6636</v>
      </c>
      <c r="C2805" s="101" t="s">
        <v>6637</v>
      </c>
      <c r="D2805" s="101" t="s">
        <v>6611</v>
      </c>
      <c r="E2805" s="79"/>
    </row>
    <row r="2806" spans="1:5" ht="14.85" customHeight="1" x14ac:dyDescent="0.25">
      <c r="A2806" s="101" t="s">
        <v>450</v>
      </c>
      <c r="B2806" s="102" t="s">
        <v>403</v>
      </c>
      <c r="C2806" s="101" t="s">
        <v>6638</v>
      </c>
      <c r="D2806" s="101" t="s">
        <v>6611</v>
      </c>
      <c r="E2806" s="79"/>
    </row>
    <row r="2807" spans="1:5" ht="14.85" customHeight="1" x14ac:dyDescent="0.25">
      <c r="A2807" s="101" t="s">
        <v>117</v>
      </c>
      <c r="B2807" s="102" t="s">
        <v>81</v>
      </c>
      <c r="C2807" s="101" t="s">
        <v>6639</v>
      </c>
      <c r="D2807" s="101" t="s">
        <v>6640</v>
      </c>
      <c r="E2807" s="79"/>
    </row>
    <row r="2808" spans="1:5" ht="14.85" customHeight="1" x14ac:dyDescent="0.25">
      <c r="A2808" s="101" t="s">
        <v>117</v>
      </c>
      <c r="B2808" s="102" t="s">
        <v>90</v>
      </c>
      <c r="C2808" s="101" t="s">
        <v>6641</v>
      </c>
      <c r="D2808" s="101" t="s">
        <v>6642</v>
      </c>
      <c r="E2808" s="79"/>
    </row>
    <row r="2809" spans="1:5" ht="14.85" customHeight="1" x14ac:dyDescent="0.25">
      <c r="A2809" s="101" t="s">
        <v>117</v>
      </c>
      <c r="B2809" s="102" t="s">
        <v>95</v>
      </c>
      <c r="C2809" s="101" t="s">
        <v>6643</v>
      </c>
      <c r="D2809" s="101" t="s">
        <v>6644</v>
      </c>
      <c r="E2809" s="79"/>
    </row>
    <row r="2810" spans="1:5" ht="14.85" customHeight="1" x14ac:dyDescent="0.25">
      <c r="A2810" s="101" t="s">
        <v>117</v>
      </c>
      <c r="B2810" s="102" t="s">
        <v>101</v>
      </c>
      <c r="C2810" s="101" t="s">
        <v>6645</v>
      </c>
      <c r="D2810" s="101" t="s">
        <v>6646</v>
      </c>
      <c r="E2810" s="79"/>
    </row>
    <row r="2811" spans="1:5" ht="14.85" customHeight="1" x14ac:dyDescent="0.25">
      <c r="A2811" s="101" t="s">
        <v>117</v>
      </c>
      <c r="B2811" s="102" t="s">
        <v>107</v>
      </c>
      <c r="C2811" s="101" t="s">
        <v>6647</v>
      </c>
      <c r="D2811" s="101" t="s">
        <v>6648</v>
      </c>
      <c r="E2811" s="79"/>
    </row>
    <row r="2812" spans="1:5" ht="14.85" customHeight="1" x14ac:dyDescent="0.25">
      <c r="A2812" s="101" t="s">
        <v>117</v>
      </c>
      <c r="B2812" s="102" t="s">
        <v>116</v>
      </c>
      <c r="C2812" s="101" t="s">
        <v>6649</v>
      </c>
      <c r="D2812" s="101" t="s">
        <v>6650</v>
      </c>
      <c r="E2812" s="79"/>
    </row>
    <row r="2813" spans="1:5" ht="14.85" customHeight="1" x14ac:dyDescent="0.25">
      <c r="A2813" s="101" t="s">
        <v>117</v>
      </c>
      <c r="B2813" s="102" t="s">
        <v>121</v>
      </c>
      <c r="C2813" s="101" t="s">
        <v>6651</v>
      </c>
      <c r="D2813" s="101" t="s">
        <v>6652</v>
      </c>
      <c r="E2813" s="79"/>
    </row>
    <row r="2814" spans="1:5" ht="14.85" customHeight="1" x14ac:dyDescent="0.25">
      <c r="A2814" s="101" t="s">
        <v>117</v>
      </c>
      <c r="B2814" s="102" t="s">
        <v>127</v>
      </c>
      <c r="C2814" s="101" t="s">
        <v>6653</v>
      </c>
      <c r="D2814" s="101" t="s">
        <v>6654</v>
      </c>
      <c r="E2814" s="79"/>
    </row>
    <row r="2815" spans="1:5" ht="14.85" customHeight="1" x14ac:dyDescent="0.25">
      <c r="A2815" s="101" t="s">
        <v>117</v>
      </c>
      <c r="B2815" s="102" t="s">
        <v>132</v>
      </c>
      <c r="C2815" s="101" t="s">
        <v>6655</v>
      </c>
      <c r="D2815" s="101" t="s">
        <v>6656</v>
      </c>
      <c r="E2815" s="79"/>
    </row>
    <row r="2816" spans="1:5" ht="14.85" customHeight="1" x14ac:dyDescent="0.25">
      <c r="A2816" s="101" t="s">
        <v>117</v>
      </c>
      <c r="B2816" s="102" t="s">
        <v>136</v>
      </c>
      <c r="C2816" s="101" t="s">
        <v>6657</v>
      </c>
      <c r="D2816" s="101" t="s">
        <v>6658</v>
      </c>
      <c r="E2816" s="79"/>
    </row>
    <row r="2817" spans="1:5" ht="14.85" customHeight="1" x14ac:dyDescent="0.25">
      <c r="A2817" s="101" t="s">
        <v>117</v>
      </c>
      <c r="B2817" s="102" t="s">
        <v>142</v>
      </c>
      <c r="C2817" s="101" t="s">
        <v>6659</v>
      </c>
      <c r="D2817" s="101" t="s">
        <v>6660</v>
      </c>
      <c r="E2817" s="79"/>
    </row>
    <row r="2818" spans="1:5" ht="14.85" customHeight="1" x14ac:dyDescent="0.25">
      <c r="A2818" s="101" t="s">
        <v>117</v>
      </c>
      <c r="B2818" s="102" t="s">
        <v>146</v>
      </c>
      <c r="C2818" s="101" t="s">
        <v>6661</v>
      </c>
      <c r="D2818" s="101" t="s">
        <v>6662</v>
      </c>
      <c r="E2818" s="79"/>
    </row>
    <row r="2819" spans="1:5" ht="14.85" customHeight="1" x14ac:dyDescent="0.25">
      <c r="A2819" s="101" t="s">
        <v>117</v>
      </c>
      <c r="B2819" s="102" t="s">
        <v>6663</v>
      </c>
      <c r="C2819" s="101" t="s">
        <v>1489</v>
      </c>
      <c r="D2819" s="101" t="s">
        <v>6664</v>
      </c>
      <c r="E2819" s="79"/>
    </row>
    <row r="2820" spans="1:5" ht="14.85" customHeight="1" x14ac:dyDescent="0.25">
      <c r="A2820" s="101" t="s">
        <v>117</v>
      </c>
      <c r="B2820" s="102" t="s">
        <v>6665</v>
      </c>
      <c r="C2820" s="101" t="s">
        <v>6666</v>
      </c>
      <c r="D2820" s="101" t="s">
        <v>6667</v>
      </c>
      <c r="E2820" s="79"/>
    </row>
    <row r="2821" spans="1:5" ht="14.85" customHeight="1" x14ac:dyDescent="0.25">
      <c r="A2821" s="101" t="s">
        <v>117</v>
      </c>
      <c r="B2821" s="102" t="s">
        <v>6668</v>
      </c>
      <c r="C2821" s="101" t="s">
        <v>6669</v>
      </c>
      <c r="D2821" s="101" t="s">
        <v>6670</v>
      </c>
      <c r="E2821" s="79"/>
    </row>
    <row r="2822" spans="1:5" ht="14.85" customHeight="1" x14ac:dyDescent="0.25">
      <c r="A2822" s="101" t="s">
        <v>1021</v>
      </c>
      <c r="B2822" s="102">
        <v>1</v>
      </c>
      <c r="C2822" s="101" t="s">
        <v>6671</v>
      </c>
      <c r="D2822" s="101" t="s">
        <v>6672</v>
      </c>
      <c r="E2822" s="79" t="s">
        <v>6673</v>
      </c>
    </row>
    <row r="2823" spans="1:5" ht="14.85" customHeight="1" x14ac:dyDescent="0.25">
      <c r="A2823" s="101" t="s">
        <v>1021</v>
      </c>
      <c r="B2823" s="102">
        <v>2</v>
      </c>
      <c r="C2823" s="101" t="s">
        <v>6674</v>
      </c>
      <c r="D2823" s="101" t="s">
        <v>6675</v>
      </c>
      <c r="E2823" s="79" t="s">
        <v>6676</v>
      </c>
    </row>
    <row r="2824" spans="1:5" ht="14.85" customHeight="1" x14ac:dyDescent="0.25">
      <c r="A2824" s="101" t="s">
        <v>1021</v>
      </c>
      <c r="B2824" s="102">
        <v>3</v>
      </c>
      <c r="C2824" s="101" t="s">
        <v>6677</v>
      </c>
      <c r="D2824" s="101" t="s">
        <v>6678</v>
      </c>
      <c r="E2824" s="79" t="s">
        <v>6679</v>
      </c>
    </row>
    <row r="2825" spans="1:5" ht="14.85" customHeight="1" x14ac:dyDescent="0.25">
      <c r="A2825" s="101" t="s">
        <v>815</v>
      </c>
      <c r="B2825" s="102">
        <v>1</v>
      </c>
      <c r="C2825" s="101" t="s">
        <v>6680</v>
      </c>
      <c r="D2825" s="101" t="s">
        <v>6681</v>
      </c>
      <c r="E2825" s="79"/>
    </row>
    <row r="2826" spans="1:5" ht="14.85" customHeight="1" x14ac:dyDescent="0.25">
      <c r="A2826" s="101" t="s">
        <v>815</v>
      </c>
      <c r="B2826" s="102">
        <v>2</v>
      </c>
      <c r="C2826" s="101" t="s">
        <v>6682</v>
      </c>
      <c r="D2826" s="101" t="s">
        <v>6683</v>
      </c>
      <c r="E2826" s="79"/>
    </row>
    <row r="2827" spans="1:5" ht="14.85" customHeight="1" x14ac:dyDescent="0.25">
      <c r="A2827" s="101" t="s">
        <v>815</v>
      </c>
      <c r="B2827" s="102">
        <v>3</v>
      </c>
      <c r="C2827" s="101" t="s">
        <v>6684</v>
      </c>
      <c r="D2827" s="101" t="s">
        <v>6685</v>
      </c>
      <c r="E2827" s="79"/>
    </row>
    <row r="2828" spans="1:5" ht="14.85" customHeight="1" x14ac:dyDescent="0.25">
      <c r="A2828" s="101" t="s">
        <v>815</v>
      </c>
      <c r="B2828" s="102" t="s">
        <v>1481</v>
      </c>
      <c r="C2828" s="101" t="s">
        <v>6686</v>
      </c>
      <c r="D2828" s="101" t="s">
        <v>6687</v>
      </c>
      <c r="E2828" s="79"/>
    </row>
    <row r="2829" spans="1:5" ht="14.85" customHeight="1" x14ac:dyDescent="0.25">
      <c r="A2829" s="101" t="s">
        <v>815</v>
      </c>
      <c r="B2829" s="102" t="s">
        <v>6688</v>
      </c>
      <c r="C2829" s="101" t="s">
        <v>6689</v>
      </c>
      <c r="D2829" s="101" t="s">
        <v>6690</v>
      </c>
      <c r="E2829" s="79"/>
    </row>
    <row r="2830" spans="1:5" ht="14.85" customHeight="1" x14ac:dyDescent="0.25">
      <c r="A2830" s="101" t="s">
        <v>815</v>
      </c>
      <c r="B2830" s="102" t="s">
        <v>6691</v>
      </c>
      <c r="C2830" s="101" t="s">
        <v>6692</v>
      </c>
      <c r="D2830" s="101" t="s">
        <v>6693</v>
      </c>
      <c r="E2830" s="79"/>
    </row>
    <row r="2831" spans="1:5" ht="14.85" customHeight="1" x14ac:dyDescent="0.25">
      <c r="A2831" s="101" t="s">
        <v>815</v>
      </c>
      <c r="B2831" s="102" t="s">
        <v>6694</v>
      </c>
      <c r="C2831" s="101" t="s">
        <v>6695</v>
      </c>
      <c r="D2831" s="101" t="s">
        <v>6696</v>
      </c>
      <c r="E2831" s="79"/>
    </row>
    <row r="2832" spans="1:5" ht="14.85" customHeight="1" x14ac:dyDescent="0.25">
      <c r="A2832" s="101" t="s">
        <v>815</v>
      </c>
      <c r="B2832" s="102" t="s">
        <v>6697</v>
      </c>
      <c r="C2832" s="101" t="s">
        <v>6698</v>
      </c>
      <c r="D2832" s="101" t="s">
        <v>6699</v>
      </c>
      <c r="E2832" s="79"/>
    </row>
    <row r="2833" spans="1:5" ht="14.85" customHeight="1" x14ac:dyDescent="0.25">
      <c r="A2833" s="101" t="s">
        <v>815</v>
      </c>
      <c r="B2833" s="102" t="s">
        <v>6700</v>
      </c>
      <c r="C2833" s="101" t="s">
        <v>6701</v>
      </c>
      <c r="D2833" s="101" t="s">
        <v>6702</v>
      </c>
      <c r="E2833" s="79"/>
    </row>
    <row r="2834" spans="1:5" ht="14.85" customHeight="1" x14ac:dyDescent="0.25">
      <c r="A2834" s="101" t="s">
        <v>815</v>
      </c>
      <c r="B2834" s="102" t="s">
        <v>6703</v>
      </c>
      <c r="C2834" s="101" t="s">
        <v>6704</v>
      </c>
      <c r="D2834" s="101" t="s">
        <v>6705</v>
      </c>
      <c r="E2834" s="79" t="s">
        <v>6706</v>
      </c>
    </row>
    <row r="2835" spans="1:5" ht="14.85" customHeight="1" x14ac:dyDescent="0.25">
      <c r="A2835" s="101" t="s">
        <v>815</v>
      </c>
      <c r="B2835" s="102" t="s">
        <v>1491</v>
      </c>
      <c r="C2835" s="101" t="s">
        <v>6707</v>
      </c>
      <c r="D2835" s="101" t="s">
        <v>6708</v>
      </c>
      <c r="E2835" s="79"/>
    </row>
    <row r="2836" spans="1:5" ht="14.85" customHeight="1" x14ac:dyDescent="0.25">
      <c r="A2836" s="101" t="s">
        <v>815</v>
      </c>
      <c r="B2836" s="102" t="s">
        <v>6709</v>
      </c>
      <c r="C2836" s="101" t="s">
        <v>6710</v>
      </c>
      <c r="D2836" s="101" t="s">
        <v>6711</v>
      </c>
      <c r="E2836" s="79"/>
    </row>
    <row r="2837" spans="1:5" ht="14.85" customHeight="1" x14ac:dyDescent="0.25">
      <c r="A2837" s="101" t="s">
        <v>815</v>
      </c>
      <c r="B2837" s="102" t="s">
        <v>6712</v>
      </c>
      <c r="C2837" s="101" t="s">
        <v>9271</v>
      </c>
      <c r="D2837" s="101" t="s">
        <v>6713</v>
      </c>
      <c r="E2837" s="79"/>
    </row>
    <row r="2838" spans="1:5" ht="14.85" customHeight="1" x14ac:dyDescent="0.25">
      <c r="A2838" s="101" t="s">
        <v>815</v>
      </c>
      <c r="B2838" s="102" t="s">
        <v>6714</v>
      </c>
      <c r="C2838" s="101" t="s">
        <v>13342</v>
      </c>
      <c r="D2838" s="101" t="s">
        <v>6715</v>
      </c>
      <c r="E2838" s="79"/>
    </row>
    <row r="2839" spans="1:5" ht="14.85" customHeight="1" outlineLevel="1" x14ac:dyDescent="0.25">
      <c r="A2839" s="212" t="s">
        <v>341</v>
      </c>
      <c r="B2839" s="213" t="s">
        <v>6716</v>
      </c>
      <c r="C2839" s="212" t="s">
        <v>6717</v>
      </c>
      <c r="D2839" s="212" t="s">
        <v>6718</v>
      </c>
      <c r="E2839" s="214"/>
    </row>
    <row r="2840" spans="1:5" ht="14.85" customHeight="1" outlineLevel="1" x14ac:dyDescent="0.25">
      <c r="A2840" s="101" t="s">
        <v>341</v>
      </c>
      <c r="B2840" s="102" t="s">
        <v>6719</v>
      </c>
      <c r="C2840" s="101" t="s">
        <v>6720</v>
      </c>
      <c r="D2840" s="101"/>
      <c r="E2840" s="79"/>
    </row>
    <row r="2841" spans="1:5" ht="14.85" customHeight="1" outlineLevel="1" x14ac:dyDescent="0.25">
      <c r="A2841" s="101" t="s">
        <v>341</v>
      </c>
      <c r="B2841" s="102" t="s">
        <v>6688</v>
      </c>
      <c r="C2841" s="101" t="s">
        <v>6721</v>
      </c>
      <c r="D2841" s="101"/>
      <c r="E2841" s="79"/>
    </row>
    <row r="2842" spans="1:5" ht="14.85" customHeight="1" outlineLevel="1" x14ac:dyDescent="0.25">
      <c r="A2842" s="101" t="s">
        <v>341</v>
      </c>
      <c r="B2842" s="102" t="s">
        <v>6722</v>
      </c>
      <c r="C2842" s="101" t="s">
        <v>6723</v>
      </c>
      <c r="D2842" s="101"/>
      <c r="E2842" s="79"/>
    </row>
    <row r="2843" spans="1:5" ht="14.85" customHeight="1" outlineLevel="1" x14ac:dyDescent="0.25">
      <c r="A2843" s="101" t="s">
        <v>341</v>
      </c>
      <c r="B2843" s="102" t="s">
        <v>6724</v>
      </c>
      <c r="C2843" s="101" t="s">
        <v>6725</v>
      </c>
      <c r="D2843" s="101"/>
      <c r="E2843" s="79"/>
    </row>
    <row r="2844" spans="1:5" ht="14.85" customHeight="1" outlineLevel="1" x14ac:dyDescent="0.25">
      <c r="A2844" s="101" t="s">
        <v>341</v>
      </c>
      <c r="B2844" s="102" t="s">
        <v>6726</v>
      </c>
      <c r="C2844" s="101" t="s">
        <v>6727</v>
      </c>
      <c r="D2844" s="101"/>
      <c r="E2844" s="79"/>
    </row>
    <row r="2845" spans="1:5" ht="14.85" customHeight="1" outlineLevel="1" x14ac:dyDescent="0.25">
      <c r="A2845" s="101" t="s">
        <v>341</v>
      </c>
      <c r="B2845" s="102" t="s">
        <v>6728</v>
      </c>
      <c r="C2845" s="101" t="s">
        <v>6729</v>
      </c>
      <c r="D2845" s="101"/>
      <c r="E2845" s="79"/>
    </row>
    <row r="2846" spans="1:5" ht="14.85" customHeight="1" outlineLevel="1" x14ac:dyDescent="0.25">
      <c r="A2846" s="101" t="s">
        <v>341</v>
      </c>
      <c r="B2846" s="102" t="s">
        <v>6730</v>
      </c>
      <c r="C2846" s="101" t="s">
        <v>6731</v>
      </c>
      <c r="D2846" s="101"/>
      <c r="E2846" s="79"/>
    </row>
    <row r="2847" spans="1:5" ht="14.85" customHeight="1" outlineLevel="1" x14ac:dyDescent="0.25">
      <c r="A2847" s="101" t="s">
        <v>341</v>
      </c>
      <c r="B2847" s="102" t="s">
        <v>6732</v>
      </c>
      <c r="C2847" s="101" t="s">
        <v>6733</v>
      </c>
      <c r="D2847" s="101"/>
      <c r="E2847" s="79"/>
    </row>
    <row r="2848" spans="1:5" ht="14.85" customHeight="1" outlineLevel="1" x14ac:dyDescent="0.25">
      <c r="A2848" s="101" t="s">
        <v>341</v>
      </c>
      <c r="B2848" s="102" t="s">
        <v>6734</v>
      </c>
      <c r="C2848" s="101" t="s">
        <v>6735</v>
      </c>
      <c r="D2848" s="101"/>
      <c r="E2848" s="79"/>
    </row>
    <row r="2849" spans="1:5" ht="14.85" customHeight="1" outlineLevel="1" x14ac:dyDescent="0.25">
      <c r="A2849" s="101" t="s">
        <v>341</v>
      </c>
      <c r="B2849" s="102" t="s">
        <v>6691</v>
      </c>
      <c r="C2849" s="101" t="s">
        <v>6736</v>
      </c>
      <c r="D2849" s="101"/>
      <c r="E2849" s="79"/>
    </row>
    <row r="2850" spans="1:5" ht="14.85" customHeight="1" outlineLevel="1" x14ac:dyDescent="0.25">
      <c r="A2850" s="101" t="s">
        <v>341</v>
      </c>
      <c r="B2850" s="102" t="s">
        <v>6694</v>
      </c>
      <c r="C2850" s="101" t="s">
        <v>6737</v>
      </c>
      <c r="D2850" s="101"/>
      <c r="E2850" s="79"/>
    </row>
    <row r="2851" spans="1:5" ht="14.85" customHeight="1" outlineLevel="1" x14ac:dyDescent="0.25">
      <c r="A2851" s="101" t="s">
        <v>341</v>
      </c>
      <c r="B2851" s="102" t="s">
        <v>6738</v>
      </c>
      <c r="C2851" s="101" t="s">
        <v>6739</v>
      </c>
      <c r="D2851" s="101"/>
      <c r="E2851" s="79"/>
    </row>
    <row r="2852" spans="1:5" ht="14.85" customHeight="1" outlineLevel="1" x14ac:dyDescent="0.25">
      <c r="A2852" s="101" t="s">
        <v>341</v>
      </c>
      <c r="B2852" s="102" t="s">
        <v>6740</v>
      </c>
      <c r="C2852" s="101" t="s">
        <v>6741</v>
      </c>
      <c r="D2852" s="101"/>
      <c r="E2852" s="79"/>
    </row>
    <row r="2853" spans="1:5" ht="14.85" customHeight="1" outlineLevel="1" x14ac:dyDescent="0.25">
      <c r="A2853" s="101" t="s">
        <v>341</v>
      </c>
      <c r="B2853" s="102" t="s">
        <v>6742</v>
      </c>
      <c r="C2853" s="101" t="s">
        <v>6743</v>
      </c>
      <c r="D2853" s="101"/>
      <c r="E2853" s="79"/>
    </row>
    <row r="2854" spans="1:5" ht="14.85" customHeight="1" outlineLevel="1" x14ac:dyDescent="0.25">
      <c r="A2854" s="101" t="s">
        <v>341</v>
      </c>
      <c r="B2854" s="102" t="s">
        <v>6744</v>
      </c>
      <c r="C2854" s="101" t="s">
        <v>6745</v>
      </c>
      <c r="D2854" s="101"/>
      <c r="E2854" s="79"/>
    </row>
    <row r="2855" spans="1:5" ht="14.85" customHeight="1" outlineLevel="1" x14ac:dyDescent="0.25">
      <c r="A2855" s="101" t="s">
        <v>341</v>
      </c>
      <c r="B2855" s="102" t="s">
        <v>6746</v>
      </c>
      <c r="C2855" s="101" t="s">
        <v>6747</v>
      </c>
      <c r="D2855" s="101"/>
      <c r="E2855" s="79"/>
    </row>
    <row r="2856" spans="1:5" ht="14.85" customHeight="1" outlineLevel="1" x14ac:dyDescent="0.25">
      <c r="A2856" s="101" t="s">
        <v>341</v>
      </c>
      <c r="B2856" s="102" t="s">
        <v>6748</v>
      </c>
      <c r="C2856" s="101" t="s">
        <v>6749</v>
      </c>
      <c r="D2856" s="101"/>
      <c r="E2856" s="79"/>
    </row>
    <row r="2857" spans="1:5" ht="14.85" customHeight="1" outlineLevel="1" x14ac:dyDescent="0.25">
      <c r="A2857" s="101" t="s">
        <v>341</v>
      </c>
      <c r="B2857" s="102" t="s">
        <v>6750</v>
      </c>
      <c r="C2857" s="101" t="s">
        <v>6751</v>
      </c>
      <c r="D2857" s="101"/>
      <c r="E2857" s="79"/>
    </row>
    <row r="2858" spans="1:5" ht="14.85" customHeight="1" outlineLevel="1" x14ac:dyDescent="0.25">
      <c r="A2858" s="101" t="s">
        <v>341</v>
      </c>
      <c r="B2858" s="102" t="s">
        <v>6752</v>
      </c>
      <c r="C2858" s="101" t="s">
        <v>6753</v>
      </c>
      <c r="D2858" s="101"/>
      <c r="E2858" s="79"/>
    </row>
    <row r="2859" spans="1:5" ht="14.85" customHeight="1" outlineLevel="1" x14ac:dyDescent="0.25">
      <c r="A2859" s="101" t="s">
        <v>341</v>
      </c>
      <c r="B2859" s="102" t="s">
        <v>6754</v>
      </c>
      <c r="C2859" s="101" t="s">
        <v>6755</v>
      </c>
      <c r="D2859" s="101"/>
      <c r="E2859" s="79"/>
    </row>
    <row r="2860" spans="1:5" ht="14.85" customHeight="1" outlineLevel="1" x14ac:dyDescent="0.25">
      <c r="A2860" s="101" t="s">
        <v>341</v>
      </c>
      <c r="B2860" s="102" t="s">
        <v>6756</v>
      </c>
      <c r="C2860" s="101" t="s">
        <v>6757</v>
      </c>
      <c r="D2860" s="101"/>
      <c r="E2860" s="79"/>
    </row>
    <row r="2861" spans="1:5" ht="14.85" customHeight="1" outlineLevel="1" x14ac:dyDescent="0.25">
      <c r="A2861" s="101" t="s">
        <v>341</v>
      </c>
      <c r="B2861" s="102" t="s">
        <v>6758</v>
      </c>
      <c r="C2861" s="101" t="s">
        <v>6759</v>
      </c>
      <c r="D2861" s="101"/>
      <c r="E2861" s="79"/>
    </row>
    <row r="2862" spans="1:5" ht="14.85" customHeight="1" outlineLevel="1" x14ac:dyDescent="0.25">
      <c r="A2862" s="101" t="s">
        <v>341</v>
      </c>
      <c r="B2862" s="102" t="s">
        <v>6760</v>
      </c>
      <c r="C2862" s="101" t="s">
        <v>6761</v>
      </c>
      <c r="D2862" s="101"/>
      <c r="E2862" s="79"/>
    </row>
    <row r="2863" spans="1:5" ht="14.85" customHeight="1" outlineLevel="1" x14ac:dyDescent="0.25">
      <c r="A2863" s="101" t="s">
        <v>341</v>
      </c>
      <c r="B2863" s="102" t="s">
        <v>6762</v>
      </c>
      <c r="C2863" s="101" t="s">
        <v>6763</v>
      </c>
      <c r="D2863" s="101"/>
      <c r="E2863" s="79"/>
    </row>
    <row r="2864" spans="1:5" ht="14.85" customHeight="1" outlineLevel="1" x14ac:dyDescent="0.25">
      <c r="A2864" s="101" t="s">
        <v>341</v>
      </c>
      <c r="B2864" s="102" t="s">
        <v>6764</v>
      </c>
      <c r="C2864" s="101" t="s">
        <v>6765</v>
      </c>
      <c r="D2864" s="101"/>
      <c r="E2864" s="79"/>
    </row>
    <row r="2865" spans="1:5" ht="14.85" customHeight="1" outlineLevel="1" x14ac:dyDescent="0.25">
      <c r="A2865" s="101" t="s">
        <v>341</v>
      </c>
      <c r="B2865" s="102" t="s">
        <v>6766</v>
      </c>
      <c r="C2865" s="101" t="s">
        <v>6767</v>
      </c>
      <c r="D2865" s="101"/>
      <c r="E2865" s="79"/>
    </row>
    <row r="2866" spans="1:5" ht="14.85" customHeight="1" outlineLevel="1" x14ac:dyDescent="0.25">
      <c r="A2866" s="101" t="s">
        <v>341</v>
      </c>
      <c r="B2866" s="102" t="s">
        <v>6768</v>
      </c>
      <c r="C2866" s="101" t="s">
        <v>6769</v>
      </c>
      <c r="D2866" s="101"/>
      <c r="E2866" s="79"/>
    </row>
    <row r="2867" spans="1:5" ht="14.85" customHeight="1" outlineLevel="1" x14ac:dyDescent="0.25">
      <c r="A2867" s="101" t="s">
        <v>341</v>
      </c>
      <c r="B2867" s="102" t="s">
        <v>6770</v>
      </c>
      <c r="C2867" s="101" t="s">
        <v>6771</v>
      </c>
      <c r="D2867" s="101"/>
      <c r="E2867" s="79"/>
    </row>
    <row r="2868" spans="1:5" ht="14.85" customHeight="1" outlineLevel="1" x14ac:dyDescent="0.25">
      <c r="A2868" s="101" t="s">
        <v>341</v>
      </c>
      <c r="B2868" s="102" t="s">
        <v>6772</v>
      </c>
      <c r="C2868" s="101" t="s">
        <v>6773</v>
      </c>
      <c r="D2868" s="101"/>
      <c r="E2868" s="79"/>
    </row>
    <row r="2869" spans="1:5" ht="14.85" customHeight="1" outlineLevel="1" x14ac:dyDescent="0.25">
      <c r="A2869" s="101" t="s">
        <v>341</v>
      </c>
      <c r="B2869" s="102" t="s">
        <v>6774</v>
      </c>
      <c r="C2869" s="101" t="s">
        <v>6775</v>
      </c>
      <c r="D2869" s="101"/>
      <c r="E2869" s="79"/>
    </row>
    <row r="2870" spans="1:5" ht="14.85" customHeight="1" outlineLevel="1" x14ac:dyDescent="0.25">
      <c r="A2870" s="101" t="s">
        <v>341</v>
      </c>
      <c r="B2870" s="102" t="s">
        <v>6776</v>
      </c>
      <c r="C2870" s="101" t="s">
        <v>6777</v>
      </c>
      <c r="D2870" s="101"/>
      <c r="E2870" s="79"/>
    </row>
    <row r="2871" spans="1:5" ht="14.85" customHeight="1" outlineLevel="1" x14ac:dyDescent="0.25">
      <c r="A2871" s="101" t="s">
        <v>341</v>
      </c>
      <c r="B2871" s="102" t="s">
        <v>6778</v>
      </c>
      <c r="C2871" s="101" t="s">
        <v>6779</v>
      </c>
      <c r="D2871" s="101"/>
      <c r="E2871" s="79"/>
    </row>
    <row r="2872" spans="1:5" ht="14.85" customHeight="1" outlineLevel="1" x14ac:dyDescent="0.25">
      <c r="A2872" s="101" t="s">
        <v>341</v>
      </c>
      <c r="B2872" s="102" t="s">
        <v>6780</v>
      </c>
      <c r="C2872" s="101" t="s">
        <v>6781</v>
      </c>
      <c r="D2872" s="101"/>
      <c r="E2872" s="79"/>
    </row>
    <row r="2873" spans="1:5" ht="14.85" customHeight="1" outlineLevel="1" x14ac:dyDescent="0.25">
      <c r="A2873" s="101" t="s">
        <v>341</v>
      </c>
      <c r="B2873" s="102" t="s">
        <v>6782</v>
      </c>
      <c r="C2873" s="101" t="s">
        <v>6783</v>
      </c>
      <c r="D2873" s="101"/>
      <c r="E2873" s="79"/>
    </row>
    <row r="2874" spans="1:5" ht="14.85" customHeight="1" outlineLevel="1" x14ac:dyDescent="0.25">
      <c r="A2874" s="101" t="s">
        <v>341</v>
      </c>
      <c r="B2874" s="102" t="s">
        <v>6784</v>
      </c>
      <c r="C2874" s="101" t="s">
        <v>6785</v>
      </c>
      <c r="D2874" s="101"/>
      <c r="E2874" s="79"/>
    </row>
    <row r="2875" spans="1:5" ht="14.85" customHeight="1" outlineLevel="1" x14ac:dyDescent="0.25">
      <c r="A2875" s="101" t="s">
        <v>341</v>
      </c>
      <c r="B2875" s="102" t="s">
        <v>6786</v>
      </c>
      <c r="C2875" s="101" t="s">
        <v>6787</v>
      </c>
      <c r="D2875" s="101"/>
      <c r="E2875" s="79"/>
    </row>
    <row r="2876" spans="1:5" ht="14.85" customHeight="1" outlineLevel="1" x14ac:dyDescent="0.25">
      <c r="A2876" s="101" t="s">
        <v>341</v>
      </c>
      <c r="B2876" s="102" t="s">
        <v>6788</v>
      </c>
      <c r="C2876" s="101" t="s">
        <v>6789</v>
      </c>
      <c r="D2876" s="101"/>
      <c r="E2876" s="79"/>
    </row>
    <row r="2877" spans="1:5" ht="14.85" customHeight="1" outlineLevel="1" x14ac:dyDescent="0.25">
      <c r="A2877" s="101" t="s">
        <v>341</v>
      </c>
      <c r="B2877" s="102" t="s">
        <v>6790</v>
      </c>
      <c r="C2877" s="101" t="s">
        <v>6791</v>
      </c>
      <c r="D2877" s="101"/>
      <c r="E2877" s="79"/>
    </row>
    <row r="2878" spans="1:5" ht="14.85" customHeight="1" outlineLevel="1" x14ac:dyDescent="0.25">
      <c r="A2878" s="101" t="s">
        <v>341</v>
      </c>
      <c r="B2878" s="102" t="s">
        <v>6792</v>
      </c>
      <c r="C2878" s="101" t="s">
        <v>6793</v>
      </c>
      <c r="D2878" s="101"/>
      <c r="E2878" s="79"/>
    </row>
    <row r="2879" spans="1:5" ht="14.85" customHeight="1" outlineLevel="1" x14ac:dyDescent="0.25">
      <c r="A2879" s="101" t="s">
        <v>341</v>
      </c>
      <c r="B2879" s="102" t="s">
        <v>6794</v>
      </c>
      <c r="C2879" s="101" t="s">
        <v>6795</v>
      </c>
      <c r="D2879" s="101"/>
      <c r="E2879" s="79"/>
    </row>
    <row r="2880" spans="1:5" ht="14.85" customHeight="1" outlineLevel="1" x14ac:dyDescent="0.25">
      <c r="A2880" s="101" t="s">
        <v>341</v>
      </c>
      <c r="B2880" s="102" t="s">
        <v>6796</v>
      </c>
      <c r="C2880" s="101" t="s">
        <v>6797</v>
      </c>
      <c r="D2880" s="101"/>
      <c r="E2880" s="79"/>
    </row>
    <row r="2881" spans="1:5" ht="14.85" customHeight="1" outlineLevel="1" x14ac:dyDescent="0.25">
      <c r="A2881" s="101" t="s">
        <v>341</v>
      </c>
      <c r="B2881" s="102" t="s">
        <v>6798</v>
      </c>
      <c r="C2881" s="101" t="s">
        <v>6799</v>
      </c>
      <c r="D2881" s="101"/>
      <c r="E2881" s="79"/>
    </row>
    <row r="2882" spans="1:5" ht="14.85" customHeight="1" outlineLevel="1" x14ac:dyDescent="0.25">
      <c r="A2882" s="101" t="s">
        <v>341</v>
      </c>
      <c r="B2882" s="102" t="s">
        <v>6700</v>
      </c>
      <c r="C2882" s="101" t="s">
        <v>6800</v>
      </c>
      <c r="D2882" s="101"/>
      <c r="E2882" s="79"/>
    </row>
    <row r="2883" spans="1:5" ht="14.85" customHeight="1" outlineLevel="1" x14ac:dyDescent="0.25">
      <c r="A2883" s="101" t="s">
        <v>341</v>
      </c>
      <c r="B2883" s="102" t="s">
        <v>6801</v>
      </c>
      <c r="C2883" s="101" t="s">
        <v>6802</v>
      </c>
      <c r="D2883" s="101"/>
      <c r="E2883" s="79"/>
    </row>
    <row r="2884" spans="1:5" ht="14.85" customHeight="1" outlineLevel="1" x14ac:dyDescent="0.25">
      <c r="A2884" s="101" t="s">
        <v>341</v>
      </c>
      <c r="B2884" s="102" t="s">
        <v>6803</v>
      </c>
      <c r="C2884" s="101" t="s">
        <v>6804</v>
      </c>
      <c r="D2884" s="101"/>
      <c r="E2884" s="79"/>
    </row>
    <row r="2885" spans="1:5" ht="14.85" customHeight="1" outlineLevel="1" x14ac:dyDescent="0.25">
      <c r="A2885" s="101" t="s">
        <v>341</v>
      </c>
      <c r="B2885" s="102" t="s">
        <v>6805</v>
      </c>
      <c r="C2885" s="101" t="s">
        <v>6806</v>
      </c>
      <c r="D2885" s="101"/>
      <c r="E2885" s="79"/>
    </row>
    <row r="2886" spans="1:5" ht="14.85" customHeight="1" outlineLevel="1" x14ac:dyDescent="0.25">
      <c r="A2886" s="101" t="s">
        <v>341</v>
      </c>
      <c r="B2886" s="102" t="s">
        <v>6807</v>
      </c>
      <c r="C2886" s="101" t="s">
        <v>6808</v>
      </c>
      <c r="D2886" s="101"/>
      <c r="E2886" s="79"/>
    </row>
    <row r="2887" spans="1:5" ht="14.85" customHeight="1" outlineLevel="1" x14ac:dyDescent="0.25">
      <c r="A2887" s="101" t="s">
        <v>341</v>
      </c>
      <c r="B2887" s="102" t="s">
        <v>6809</v>
      </c>
      <c r="C2887" s="101" t="s">
        <v>6810</v>
      </c>
      <c r="D2887" s="101"/>
      <c r="E2887" s="79"/>
    </row>
    <row r="2888" spans="1:5" ht="14.85" customHeight="1" outlineLevel="1" x14ac:dyDescent="0.25">
      <c r="A2888" s="101" t="s">
        <v>341</v>
      </c>
      <c r="B2888" s="102" t="s">
        <v>6811</v>
      </c>
      <c r="C2888" s="101" t="s">
        <v>6812</v>
      </c>
      <c r="D2888" s="101"/>
      <c r="E2888" s="79"/>
    </row>
    <row r="2889" spans="1:5" ht="14.85" customHeight="1" outlineLevel="1" x14ac:dyDescent="0.25">
      <c r="A2889" s="101" t="s">
        <v>341</v>
      </c>
      <c r="B2889" s="102" t="s">
        <v>6813</v>
      </c>
      <c r="C2889" s="101" t="s">
        <v>6814</v>
      </c>
      <c r="D2889" s="101"/>
      <c r="E2889" s="79"/>
    </row>
    <row r="2890" spans="1:5" ht="14.85" customHeight="1" outlineLevel="1" x14ac:dyDescent="0.25">
      <c r="A2890" s="101" t="s">
        <v>341</v>
      </c>
      <c r="B2890" s="102" t="s">
        <v>6815</v>
      </c>
      <c r="C2890" s="101" t="s">
        <v>6816</v>
      </c>
      <c r="D2890" s="101"/>
      <c r="E2890" s="79"/>
    </row>
    <row r="2891" spans="1:5" ht="14.85" customHeight="1" outlineLevel="1" x14ac:dyDescent="0.25">
      <c r="A2891" s="101" t="s">
        <v>341</v>
      </c>
      <c r="B2891" s="102" t="s">
        <v>6817</v>
      </c>
      <c r="C2891" s="101" t="s">
        <v>6818</v>
      </c>
      <c r="D2891" s="101"/>
      <c r="E2891" s="79"/>
    </row>
    <row r="2892" spans="1:5" ht="14.85" customHeight="1" outlineLevel="1" x14ac:dyDescent="0.25">
      <c r="A2892" s="101" t="s">
        <v>341</v>
      </c>
      <c r="B2892" s="102" t="s">
        <v>6819</v>
      </c>
      <c r="C2892" s="101" t="s">
        <v>6820</v>
      </c>
      <c r="D2892" s="101"/>
      <c r="E2892" s="79"/>
    </row>
    <row r="2893" spans="1:5" ht="14.85" customHeight="1" outlineLevel="1" x14ac:dyDescent="0.25">
      <c r="A2893" s="101" t="s">
        <v>341</v>
      </c>
      <c r="B2893" s="102" t="s">
        <v>6821</v>
      </c>
      <c r="C2893" s="101" t="s">
        <v>6822</v>
      </c>
      <c r="D2893" s="101"/>
      <c r="E2893" s="79"/>
    </row>
    <row r="2894" spans="1:5" ht="14.85" customHeight="1" outlineLevel="1" x14ac:dyDescent="0.25">
      <c r="A2894" s="101" t="s">
        <v>341</v>
      </c>
      <c r="B2894" s="102" t="s">
        <v>6823</v>
      </c>
      <c r="C2894" s="101" t="s">
        <v>6824</v>
      </c>
      <c r="D2894" s="101"/>
      <c r="E2894" s="79"/>
    </row>
    <row r="2895" spans="1:5" ht="14.85" customHeight="1" outlineLevel="1" x14ac:dyDescent="0.25">
      <c r="A2895" s="101" t="s">
        <v>341</v>
      </c>
      <c r="B2895" s="102" t="s">
        <v>6825</v>
      </c>
      <c r="C2895" s="101" t="s">
        <v>6826</v>
      </c>
      <c r="D2895" s="101"/>
      <c r="E2895" s="79"/>
    </row>
    <row r="2896" spans="1:5" ht="14.85" customHeight="1" outlineLevel="1" x14ac:dyDescent="0.25">
      <c r="A2896" s="101" t="s">
        <v>341</v>
      </c>
      <c r="B2896" s="102" t="s">
        <v>6827</v>
      </c>
      <c r="C2896" s="101" t="s">
        <v>6828</v>
      </c>
      <c r="D2896" s="101"/>
      <c r="E2896" s="79"/>
    </row>
    <row r="2897" spans="1:5" ht="14.85" customHeight="1" outlineLevel="1" x14ac:dyDescent="0.25">
      <c r="A2897" s="101" t="s">
        <v>341</v>
      </c>
      <c r="B2897" s="102" t="s">
        <v>6829</v>
      </c>
      <c r="C2897" s="101" t="s">
        <v>6830</v>
      </c>
      <c r="D2897" s="101"/>
      <c r="E2897" s="79"/>
    </row>
    <row r="2898" spans="1:5" ht="14.85" customHeight="1" outlineLevel="1" x14ac:dyDescent="0.25">
      <c r="A2898" s="101" t="s">
        <v>341</v>
      </c>
      <c r="B2898" s="102" t="s">
        <v>6831</v>
      </c>
      <c r="C2898" s="101" t="s">
        <v>6832</v>
      </c>
      <c r="D2898" s="101"/>
      <c r="E2898" s="79"/>
    </row>
    <row r="2899" spans="1:5" ht="14.85" customHeight="1" outlineLevel="1" x14ac:dyDescent="0.25">
      <c r="A2899" s="101" t="s">
        <v>341</v>
      </c>
      <c r="B2899" s="102" t="s">
        <v>6833</v>
      </c>
      <c r="C2899" s="101" t="s">
        <v>6834</v>
      </c>
      <c r="D2899" s="101"/>
      <c r="E2899" s="79"/>
    </row>
    <row r="2900" spans="1:5" ht="14.85" customHeight="1" outlineLevel="1" x14ac:dyDescent="0.25">
      <c r="A2900" s="101" t="s">
        <v>341</v>
      </c>
      <c r="B2900" s="102" t="s">
        <v>6835</v>
      </c>
      <c r="C2900" s="101" t="s">
        <v>6836</v>
      </c>
      <c r="D2900" s="101"/>
      <c r="E2900" s="79"/>
    </row>
    <row r="2901" spans="1:5" ht="14.85" customHeight="1" outlineLevel="1" x14ac:dyDescent="0.25">
      <c r="A2901" s="101" t="s">
        <v>341</v>
      </c>
      <c r="B2901" s="102" t="s">
        <v>6837</v>
      </c>
      <c r="C2901" s="101" t="s">
        <v>6838</v>
      </c>
      <c r="D2901" s="101"/>
      <c r="E2901" s="79"/>
    </row>
    <row r="2902" spans="1:5" ht="14.85" customHeight="1" outlineLevel="1" x14ac:dyDescent="0.25">
      <c r="A2902" s="101" t="s">
        <v>341</v>
      </c>
      <c r="B2902" s="102" t="s">
        <v>6839</v>
      </c>
      <c r="C2902" s="101" t="s">
        <v>6840</v>
      </c>
      <c r="D2902" s="101"/>
      <c r="E2902" s="79"/>
    </row>
    <row r="2903" spans="1:5" ht="14.85" customHeight="1" outlineLevel="1" x14ac:dyDescent="0.25">
      <c r="A2903" s="101" t="s">
        <v>341</v>
      </c>
      <c r="B2903" s="102" t="s">
        <v>6841</v>
      </c>
      <c r="C2903" s="101" t="s">
        <v>6842</v>
      </c>
      <c r="D2903" s="101"/>
      <c r="E2903" s="79"/>
    </row>
    <row r="2904" spans="1:5" ht="14.85" customHeight="1" outlineLevel="1" x14ac:dyDescent="0.25">
      <c r="A2904" s="101" t="s">
        <v>341</v>
      </c>
      <c r="B2904" s="102" t="s">
        <v>6843</v>
      </c>
      <c r="C2904" s="101" t="s">
        <v>6844</v>
      </c>
      <c r="D2904" s="101"/>
      <c r="E2904" s="79"/>
    </row>
    <row r="2905" spans="1:5" ht="14.85" customHeight="1" outlineLevel="1" x14ac:dyDescent="0.25">
      <c r="A2905" s="101" t="s">
        <v>341</v>
      </c>
      <c r="B2905" s="102" t="s">
        <v>6845</v>
      </c>
      <c r="C2905" s="101" t="s">
        <v>6846</v>
      </c>
      <c r="D2905" s="101"/>
      <c r="E2905" s="79"/>
    </row>
    <row r="2906" spans="1:5" ht="14.85" customHeight="1" outlineLevel="1" x14ac:dyDescent="0.25">
      <c r="A2906" s="101" t="s">
        <v>341</v>
      </c>
      <c r="B2906" s="102" t="s">
        <v>6847</v>
      </c>
      <c r="C2906" s="101" t="s">
        <v>6848</v>
      </c>
      <c r="D2906" s="101"/>
      <c r="E2906" s="79"/>
    </row>
    <row r="2907" spans="1:5" ht="14.85" customHeight="1" outlineLevel="1" x14ac:dyDescent="0.25">
      <c r="A2907" s="101" t="s">
        <v>341</v>
      </c>
      <c r="B2907" s="102" t="s">
        <v>6849</v>
      </c>
      <c r="C2907" s="101" t="s">
        <v>6850</v>
      </c>
      <c r="D2907" s="101"/>
      <c r="E2907" s="79"/>
    </row>
    <row r="2908" spans="1:5" ht="14.85" customHeight="1" outlineLevel="1" x14ac:dyDescent="0.25">
      <c r="A2908" s="101" t="s">
        <v>341</v>
      </c>
      <c r="B2908" s="102" t="s">
        <v>6851</v>
      </c>
      <c r="C2908" s="101" t="s">
        <v>6852</v>
      </c>
      <c r="D2908" s="101"/>
      <c r="E2908" s="79"/>
    </row>
    <row r="2909" spans="1:5" ht="14.85" customHeight="1" outlineLevel="1" x14ac:dyDescent="0.25">
      <c r="A2909" s="101" t="s">
        <v>341</v>
      </c>
      <c r="B2909" s="102" t="s">
        <v>6853</v>
      </c>
      <c r="C2909" s="101" t="s">
        <v>6854</v>
      </c>
      <c r="D2909" s="101"/>
      <c r="E2909" s="79"/>
    </row>
    <row r="2910" spans="1:5" ht="14.85" customHeight="1" outlineLevel="1" x14ac:dyDescent="0.25">
      <c r="A2910" s="101" t="s">
        <v>341</v>
      </c>
      <c r="B2910" s="102" t="s">
        <v>6855</v>
      </c>
      <c r="C2910" s="101" t="s">
        <v>6856</v>
      </c>
      <c r="D2910" s="101"/>
      <c r="E2910" s="79"/>
    </row>
    <row r="2911" spans="1:5" ht="14.85" customHeight="1" outlineLevel="1" x14ac:dyDescent="0.25">
      <c r="A2911" s="101" t="s">
        <v>341</v>
      </c>
      <c r="B2911" s="102" t="s">
        <v>6857</v>
      </c>
      <c r="C2911" s="101" t="s">
        <v>6858</v>
      </c>
      <c r="D2911" s="101"/>
      <c r="E2911" s="79"/>
    </row>
    <row r="2912" spans="1:5" ht="14.85" customHeight="1" outlineLevel="1" x14ac:dyDescent="0.25">
      <c r="A2912" s="101" t="s">
        <v>341</v>
      </c>
      <c r="B2912" s="102" t="s">
        <v>6859</v>
      </c>
      <c r="C2912" s="101" t="s">
        <v>6860</v>
      </c>
      <c r="D2912" s="101"/>
      <c r="E2912" s="79"/>
    </row>
    <row r="2913" spans="1:5" ht="14.85" customHeight="1" outlineLevel="1" x14ac:dyDescent="0.25">
      <c r="A2913" s="101" t="s">
        <v>341</v>
      </c>
      <c r="B2913" s="102" t="s">
        <v>6861</v>
      </c>
      <c r="C2913" s="101" t="s">
        <v>6862</v>
      </c>
      <c r="D2913" s="101"/>
      <c r="E2913" s="79"/>
    </row>
    <row r="2914" spans="1:5" ht="14.85" customHeight="1" outlineLevel="1" x14ac:dyDescent="0.25">
      <c r="A2914" s="101" t="s">
        <v>341</v>
      </c>
      <c r="B2914" s="102" t="s">
        <v>6863</v>
      </c>
      <c r="C2914" s="101" t="s">
        <v>6864</v>
      </c>
      <c r="D2914" s="101"/>
      <c r="E2914" s="79"/>
    </row>
    <row r="2915" spans="1:5" ht="14.85" customHeight="1" outlineLevel="1" x14ac:dyDescent="0.25">
      <c r="A2915" s="101" t="s">
        <v>341</v>
      </c>
      <c r="B2915" s="102" t="s">
        <v>6865</v>
      </c>
      <c r="C2915" s="101" t="s">
        <v>6866</v>
      </c>
      <c r="D2915" s="101"/>
      <c r="E2915" s="79"/>
    </row>
    <row r="2916" spans="1:5" ht="14.85" customHeight="1" outlineLevel="1" x14ac:dyDescent="0.25">
      <c r="A2916" s="101" t="s">
        <v>341</v>
      </c>
      <c r="B2916" s="102" t="s">
        <v>6867</v>
      </c>
      <c r="C2916" s="101" t="s">
        <v>6868</v>
      </c>
      <c r="D2916" s="101"/>
      <c r="E2916" s="79"/>
    </row>
    <row r="2917" spans="1:5" ht="14.85" customHeight="1" outlineLevel="1" x14ac:dyDescent="0.25">
      <c r="A2917" s="101" t="s">
        <v>341</v>
      </c>
      <c r="B2917" s="102" t="s">
        <v>6869</v>
      </c>
      <c r="C2917" s="101" t="s">
        <v>6870</v>
      </c>
      <c r="D2917" s="101"/>
      <c r="E2917" s="79"/>
    </row>
    <row r="2918" spans="1:5" ht="14.85" customHeight="1" outlineLevel="1" x14ac:dyDescent="0.25">
      <c r="A2918" s="101" t="s">
        <v>341</v>
      </c>
      <c r="B2918" s="102" t="s">
        <v>6871</v>
      </c>
      <c r="C2918" s="101" t="s">
        <v>6872</v>
      </c>
      <c r="D2918" s="101"/>
      <c r="E2918" s="79"/>
    </row>
    <row r="2919" spans="1:5" ht="14.85" customHeight="1" outlineLevel="1" x14ac:dyDescent="0.25">
      <c r="A2919" s="101" t="s">
        <v>341</v>
      </c>
      <c r="B2919" s="102" t="s">
        <v>6873</v>
      </c>
      <c r="C2919" s="101" t="s">
        <v>6874</v>
      </c>
      <c r="D2919" s="101"/>
      <c r="E2919" s="79"/>
    </row>
    <row r="2920" spans="1:5" ht="14.85" customHeight="1" outlineLevel="1" x14ac:dyDescent="0.25">
      <c r="A2920" s="101" t="s">
        <v>341</v>
      </c>
      <c r="B2920" s="102" t="s">
        <v>6875</v>
      </c>
      <c r="C2920" s="101" t="s">
        <v>6876</v>
      </c>
      <c r="D2920" s="101"/>
      <c r="E2920" s="79"/>
    </row>
    <row r="2921" spans="1:5" ht="14.85" customHeight="1" outlineLevel="1" x14ac:dyDescent="0.25">
      <c r="A2921" s="101" t="s">
        <v>341</v>
      </c>
      <c r="B2921" s="102" t="s">
        <v>6877</v>
      </c>
      <c r="C2921" s="101" t="s">
        <v>6878</v>
      </c>
      <c r="D2921" s="101"/>
      <c r="E2921" s="79"/>
    </row>
    <row r="2922" spans="1:5" ht="14.85" customHeight="1" outlineLevel="1" x14ac:dyDescent="0.25">
      <c r="A2922" s="101" t="s">
        <v>341</v>
      </c>
      <c r="B2922" s="102" t="s">
        <v>6879</v>
      </c>
      <c r="C2922" s="101" t="s">
        <v>6880</v>
      </c>
      <c r="D2922" s="101"/>
      <c r="E2922" s="79"/>
    </row>
    <row r="2923" spans="1:5" ht="14.85" customHeight="1" outlineLevel="1" x14ac:dyDescent="0.25">
      <c r="A2923" s="101" t="s">
        <v>341</v>
      </c>
      <c r="B2923" s="102" t="s">
        <v>6881</v>
      </c>
      <c r="C2923" s="101" t="s">
        <v>6882</v>
      </c>
      <c r="D2923" s="101"/>
      <c r="E2923" s="79"/>
    </row>
    <row r="2924" spans="1:5" ht="14.85" customHeight="1" outlineLevel="1" x14ac:dyDescent="0.25">
      <c r="A2924" s="101" t="s">
        <v>341</v>
      </c>
      <c r="B2924" s="102" t="s">
        <v>6883</v>
      </c>
      <c r="C2924" s="101" t="s">
        <v>6884</v>
      </c>
      <c r="D2924" s="101"/>
      <c r="E2924" s="79"/>
    </row>
    <row r="2925" spans="1:5" ht="14.85" customHeight="1" outlineLevel="1" x14ac:dyDescent="0.25">
      <c r="A2925" s="101" t="s">
        <v>341</v>
      </c>
      <c r="B2925" s="102" t="s">
        <v>6885</v>
      </c>
      <c r="C2925" s="101" t="s">
        <v>6886</v>
      </c>
      <c r="D2925" s="101"/>
      <c r="E2925" s="79"/>
    </row>
    <row r="2926" spans="1:5" ht="14.85" customHeight="1" outlineLevel="1" x14ac:dyDescent="0.25">
      <c r="A2926" s="101" t="s">
        <v>341</v>
      </c>
      <c r="B2926" s="102" t="s">
        <v>6887</v>
      </c>
      <c r="C2926" s="101" t="s">
        <v>6888</v>
      </c>
      <c r="D2926" s="101"/>
      <c r="E2926" s="79"/>
    </row>
    <row r="2927" spans="1:5" ht="14.85" customHeight="1" outlineLevel="1" x14ac:dyDescent="0.25">
      <c r="A2927" s="101" t="s">
        <v>341</v>
      </c>
      <c r="B2927" s="102" t="s">
        <v>6889</v>
      </c>
      <c r="C2927" s="101" t="s">
        <v>6890</v>
      </c>
      <c r="D2927" s="101"/>
      <c r="E2927" s="79"/>
    </row>
    <row r="2928" spans="1:5" ht="14.85" customHeight="1" outlineLevel="1" x14ac:dyDescent="0.25">
      <c r="A2928" s="101" t="s">
        <v>341</v>
      </c>
      <c r="B2928" s="102" t="s">
        <v>6891</v>
      </c>
      <c r="C2928" s="101" t="s">
        <v>6892</v>
      </c>
      <c r="D2928" s="101"/>
      <c r="E2928" s="79"/>
    </row>
    <row r="2929" spans="1:5" ht="14.85" customHeight="1" outlineLevel="1" x14ac:dyDescent="0.25">
      <c r="A2929" s="101" t="s">
        <v>341</v>
      </c>
      <c r="B2929" s="102" t="s">
        <v>6893</v>
      </c>
      <c r="C2929" s="101" t="s">
        <v>6894</v>
      </c>
      <c r="D2929" s="101"/>
      <c r="E2929" s="79"/>
    </row>
    <row r="2930" spans="1:5" ht="14.85" customHeight="1" outlineLevel="1" x14ac:dyDescent="0.25">
      <c r="A2930" s="101" t="s">
        <v>341</v>
      </c>
      <c r="B2930" s="102" t="s">
        <v>6895</v>
      </c>
      <c r="C2930" s="101" t="s">
        <v>6896</v>
      </c>
      <c r="D2930" s="101"/>
      <c r="E2930" s="79"/>
    </row>
    <row r="2931" spans="1:5" ht="14.85" customHeight="1" outlineLevel="1" x14ac:dyDescent="0.25">
      <c r="A2931" s="101" t="s">
        <v>341</v>
      </c>
      <c r="B2931" s="102" t="s">
        <v>6897</v>
      </c>
      <c r="C2931" s="101" t="s">
        <v>6898</v>
      </c>
      <c r="D2931" s="101"/>
      <c r="E2931" s="79"/>
    </row>
    <row r="2932" spans="1:5" ht="14.85" customHeight="1" outlineLevel="1" x14ac:dyDescent="0.25">
      <c r="A2932" s="101" t="s">
        <v>341</v>
      </c>
      <c r="B2932" s="102" t="s">
        <v>6899</v>
      </c>
      <c r="C2932" s="101" t="s">
        <v>6900</v>
      </c>
      <c r="D2932" s="101"/>
      <c r="E2932" s="79"/>
    </row>
    <row r="2933" spans="1:5" ht="14.85" customHeight="1" outlineLevel="1" x14ac:dyDescent="0.25">
      <c r="A2933" s="101" t="s">
        <v>341</v>
      </c>
      <c r="B2933" s="102" t="s">
        <v>6901</v>
      </c>
      <c r="C2933" s="101" t="s">
        <v>6902</v>
      </c>
      <c r="D2933" s="101"/>
      <c r="E2933" s="79"/>
    </row>
    <row r="2934" spans="1:5" ht="14.85" customHeight="1" outlineLevel="1" x14ac:dyDescent="0.25">
      <c r="A2934" s="101" t="s">
        <v>341</v>
      </c>
      <c r="B2934" s="102" t="s">
        <v>6903</v>
      </c>
      <c r="C2934" s="101" t="s">
        <v>6904</v>
      </c>
      <c r="D2934" s="101"/>
      <c r="E2934" s="79"/>
    </row>
    <row r="2935" spans="1:5" ht="14.85" customHeight="1" outlineLevel="1" x14ac:dyDescent="0.25">
      <c r="A2935" s="101" t="s">
        <v>341</v>
      </c>
      <c r="B2935" s="102" t="s">
        <v>6905</v>
      </c>
      <c r="C2935" s="101" t="s">
        <v>6906</v>
      </c>
      <c r="D2935" s="101"/>
      <c r="E2935" s="79"/>
    </row>
    <row r="2936" spans="1:5" ht="14.85" customHeight="1" outlineLevel="1" x14ac:dyDescent="0.25">
      <c r="A2936" s="101" t="s">
        <v>341</v>
      </c>
      <c r="B2936" s="102" t="s">
        <v>6907</v>
      </c>
      <c r="C2936" s="101" t="s">
        <v>6908</v>
      </c>
      <c r="D2936" s="101"/>
      <c r="E2936" s="79"/>
    </row>
    <row r="2937" spans="1:5" ht="14.85" customHeight="1" outlineLevel="1" x14ac:dyDescent="0.25">
      <c r="A2937" s="101" t="s">
        <v>341</v>
      </c>
      <c r="B2937" s="102" t="s">
        <v>6909</v>
      </c>
      <c r="C2937" s="101" t="s">
        <v>6910</v>
      </c>
      <c r="D2937" s="101"/>
      <c r="E2937" s="79"/>
    </row>
    <row r="2938" spans="1:5" ht="14.85" customHeight="1" outlineLevel="1" x14ac:dyDescent="0.25">
      <c r="A2938" s="101" t="s">
        <v>341</v>
      </c>
      <c r="B2938" s="102" t="s">
        <v>6911</v>
      </c>
      <c r="C2938" s="101" t="s">
        <v>6912</v>
      </c>
      <c r="D2938" s="101"/>
      <c r="E2938" s="79"/>
    </row>
    <row r="2939" spans="1:5" ht="14.85" customHeight="1" outlineLevel="1" x14ac:dyDescent="0.25">
      <c r="A2939" s="101" t="s">
        <v>341</v>
      </c>
      <c r="B2939" s="102" t="s">
        <v>6913</v>
      </c>
      <c r="C2939" s="101" t="s">
        <v>6914</v>
      </c>
      <c r="D2939" s="101"/>
      <c r="E2939" s="79"/>
    </row>
    <row r="2940" spans="1:5" ht="14.85" customHeight="1" outlineLevel="1" x14ac:dyDescent="0.25">
      <c r="A2940" s="101" t="s">
        <v>341</v>
      </c>
      <c r="B2940" s="102" t="s">
        <v>6915</v>
      </c>
      <c r="C2940" s="101" t="s">
        <v>6916</v>
      </c>
      <c r="D2940" s="101"/>
      <c r="E2940" s="79"/>
    </row>
    <row r="2941" spans="1:5" ht="14.85" customHeight="1" outlineLevel="1" x14ac:dyDescent="0.25">
      <c r="A2941" s="101" t="s">
        <v>341</v>
      </c>
      <c r="B2941" s="102" t="s">
        <v>6917</v>
      </c>
      <c r="C2941" s="101" t="s">
        <v>6918</v>
      </c>
      <c r="D2941" s="101"/>
      <c r="E2941" s="79"/>
    </row>
    <row r="2942" spans="1:5" ht="14.85" customHeight="1" outlineLevel="1" x14ac:dyDescent="0.25">
      <c r="A2942" s="101" t="s">
        <v>341</v>
      </c>
      <c r="B2942" s="102" t="s">
        <v>6919</v>
      </c>
      <c r="C2942" s="101" t="s">
        <v>6920</v>
      </c>
      <c r="D2942" s="101"/>
      <c r="E2942" s="79"/>
    </row>
    <row r="2943" spans="1:5" ht="14.85" customHeight="1" outlineLevel="1" x14ac:dyDescent="0.25">
      <c r="A2943" s="101" t="s">
        <v>341</v>
      </c>
      <c r="B2943" s="102" t="s">
        <v>6921</v>
      </c>
      <c r="C2943" s="101" t="s">
        <v>6922</v>
      </c>
      <c r="D2943" s="101"/>
      <c r="E2943" s="79"/>
    </row>
    <row r="2944" spans="1:5" ht="14.85" customHeight="1" outlineLevel="1" x14ac:dyDescent="0.25">
      <c r="A2944" s="101" t="s">
        <v>341</v>
      </c>
      <c r="B2944" s="102" t="s">
        <v>6923</v>
      </c>
      <c r="C2944" s="101" t="s">
        <v>6924</v>
      </c>
      <c r="D2944" s="101"/>
      <c r="E2944" s="79"/>
    </row>
    <row r="2945" spans="1:5" ht="14.85" customHeight="1" outlineLevel="1" x14ac:dyDescent="0.25">
      <c r="A2945" s="101" t="s">
        <v>341</v>
      </c>
      <c r="B2945" s="102" t="s">
        <v>6925</v>
      </c>
      <c r="C2945" s="101" t="s">
        <v>6926</v>
      </c>
      <c r="D2945" s="101"/>
      <c r="E2945" s="79"/>
    </row>
    <row r="2946" spans="1:5" ht="14.85" customHeight="1" outlineLevel="1" x14ac:dyDescent="0.25">
      <c r="A2946" s="101" t="s">
        <v>341</v>
      </c>
      <c r="B2946" s="102" t="s">
        <v>6927</v>
      </c>
      <c r="C2946" s="101" t="s">
        <v>6928</v>
      </c>
      <c r="D2946" s="101"/>
      <c r="E2946" s="79"/>
    </row>
    <row r="2947" spans="1:5" ht="14.85" customHeight="1" outlineLevel="1" x14ac:dyDescent="0.25">
      <c r="A2947" s="101" t="s">
        <v>341</v>
      </c>
      <c r="B2947" s="102" t="s">
        <v>6929</v>
      </c>
      <c r="C2947" s="101" t="s">
        <v>6930</v>
      </c>
      <c r="D2947" s="101"/>
      <c r="E2947" s="79"/>
    </row>
    <row r="2948" spans="1:5" ht="14.85" customHeight="1" outlineLevel="1" x14ac:dyDescent="0.25">
      <c r="A2948" s="101" t="s">
        <v>341</v>
      </c>
      <c r="B2948" s="102" t="s">
        <v>6931</v>
      </c>
      <c r="C2948" s="101" t="s">
        <v>6932</v>
      </c>
      <c r="D2948" s="101"/>
      <c r="E2948" s="79"/>
    </row>
    <row r="2949" spans="1:5" ht="14.85" customHeight="1" outlineLevel="1" x14ac:dyDescent="0.25">
      <c r="A2949" s="101" t="s">
        <v>341</v>
      </c>
      <c r="B2949" s="102" t="s">
        <v>6933</v>
      </c>
      <c r="C2949" s="101" t="s">
        <v>6934</v>
      </c>
      <c r="D2949" s="101"/>
      <c r="E2949" s="79"/>
    </row>
    <row r="2950" spans="1:5" ht="14.85" customHeight="1" outlineLevel="1" x14ac:dyDescent="0.25">
      <c r="A2950" s="101" t="s">
        <v>341</v>
      </c>
      <c r="B2950" s="102" t="s">
        <v>6935</v>
      </c>
      <c r="C2950" s="101" t="s">
        <v>6936</v>
      </c>
      <c r="D2950" s="101"/>
      <c r="E2950" s="79"/>
    </row>
    <row r="2951" spans="1:5" ht="14.85" customHeight="1" outlineLevel="1" x14ac:dyDescent="0.25">
      <c r="A2951" s="101" t="s">
        <v>341</v>
      </c>
      <c r="B2951" s="102" t="s">
        <v>6937</v>
      </c>
      <c r="C2951" s="101" t="s">
        <v>6938</v>
      </c>
      <c r="D2951" s="101"/>
      <c r="E2951" s="79"/>
    </row>
    <row r="2952" spans="1:5" ht="14.85" customHeight="1" outlineLevel="1" x14ac:dyDescent="0.25">
      <c r="A2952" s="101" t="s">
        <v>341</v>
      </c>
      <c r="B2952" s="102" t="s">
        <v>6939</v>
      </c>
      <c r="C2952" s="101" t="s">
        <v>6940</v>
      </c>
      <c r="D2952" s="101"/>
      <c r="E2952" s="79"/>
    </row>
    <row r="2953" spans="1:5" ht="14.85" customHeight="1" outlineLevel="1" x14ac:dyDescent="0.25">
      <c r="A2953" s="101" t="s">
        <v>341</v>
      </c>
      <c r="B2953" s="102" t="s">
        <v>6941</v>
      </c>
      <c r="C2953" s="101" t="s">
        <v>6942</v>
      </c>
      <c r="D2953" s="101"/>
      <c r="E2953" s="79"/>
    </row>
    <row r="2954" spans="1:5" ht="14.85" customHeight="1" outlineLevel="1" x14ac:dyDescent="0.25">
      <c r="A2954" s="101" t="s">
        <v>341</v>
      </c>
      <c r="B2954" s="102" t="s">
        <v>6943</v>
      </c>
      <c r="C2954" s="101" t="s">
        <v>6944</v>
      </c>
      <c r="D2954" s="101"/>
      <c r="E2954" s="79"/>
    </row>
    <row r="2955" spans="1:5" ht="14.85" customHeight="1" outlineLevel="1" x14ac:dyDescent="0.25">
      <c r="A2955" s="101" t="s">
        <v>341</v>
      </c>
      <c r="B2955" s="102" t="s">
        <v>6663</v>
      </c>
      <c r="C2955" s="101" t="s">
        <v>6945</v>
      </c>
      <c r="D2955" s="101"/>
      <c r="E2955" s="79"/>
    </row>
    <row r="2956" spans="1:5" ht="14.85" customHeight="1" outlineLevel="1" x14ac:dyDescent="0.25">
      <c r="A2956" s="101" t="s">
        <v>341</v>
      </c>
      <c r="B2956" s="102" t="s">
        <v>6946</v>
      </c>
      <c r="C2956" s="101" t="s">
        <v>6947</v>
      </c>
      <c r="D2956" s="101"/>
      <c r="E2956" s="79"/>
    </row>
    <row r="2957" spans="1:5" ht="14.85" customHeight="1" outlineLevel="1" x14ac:dyDescent="0.25">
      <c r="A2957" s="101" t="s">
        <v>341</v>
      </c>
      <c r="B2957" s="102" t="s">
        <v>6948</v>
      </c>
      <c r="C2957" s="101" t="s">
        <v>6949</v>
      </c>
      <c r="D2957" s="101"/>
      <c r="E2957" s="79"/>
    </row>
    <row r="2958" spans="1:5" ht="14.85" customHeight="1" outlineLevel="1" x14ac:dyDescent="0.25">
      <c r="A2958" s="101" t="s">
        <v>341</v>
      </c>
      <c r="B2958" s="102" t="s">
        <v>6950</v>
      </c>
      <c r="C2958" s="101" t="s">
        <v>6951</v>
      </c>
      <c r="D2958" s="101"/>
      <c r="E2958" s="79"/>
    </row>
    <row r="2959" spans="1:5" ht="14.85" customHeight="1" outlineLevel="1" x14ac:dyDescent="0.25">
      <c r="A2959" s="101" t="s">
        <v>341</v>
      </c>
      <c r="B2959" s="102" t="s">
        <v>6952</v>
      </c>
      <c r="C2959" s="101" t="s">
        <v>6953</v>
      </c>
      <c r="D2959" s="101"/>
      <c r="E2959" s="79"/>
    </row>
    <row r="2960" spans="1:5" ht="14.85" customHeight="1" outlineLevel="1" x14ac:dyDescent="0.25">
      <c r="A2960" s="101" t="s">
        <v>341</v>
      </c>
      <c r="B2960" s="102" t="s">
        <v>6954</v>
      </c>
      <c r="C2960" s="101" t="s">
        <v>6955</v>
      </c>
      <c r="D2960" s="101"/>
      <c r="E2960" s="79"/>
    </row>
    <row r="2961" spans="1:5" ht="14.85" customHeight="1" outlineLevel="1" x14ac:dyDescent="0.25">
      <c r="A2961" s="101" t="s">
        <v>341</v>
      </c>
      <c r="B2961" s="102" t="s">
        <v>6956</v>
      </c>
      <c r="C2961" s="101" t="s">
        <v>6957</v>
      </c>
      <c r="D2961" s="101"/>
      <c r="E2961" s="79"/>
    </row>
    <row r="2962" spans="1:5" ht="14.85" customHeight="1" outlineLevel="1" x14ac:dyDescent="0.25">
      <c r="A2962" s="101" t="s">
        <v>341</v>
      </c>
      <c r="B2962" s="102" t="s">
        <v>6958</v>
      </c>
      <c r="C2962" s="101" t="s">
        <v>6959</v>
      </c>
      <c r="D2962" s="101"/>
      <c r="E2962" s="79"/>
    </row>
    <row r="2963" spans="1:5" ht="14.85" customHeight="1" outlineLevel="1" x14ac:dyDescent="0.25">
      <c r="A2963" s="101" t="s">
        <v>341</v>
      </c>
      <c r="B2963" s="102" t="s">
        <v>6960</v>
      </c>
      <c r="C2963" s="101" t="s">
        <v>6961</v>
      </c>
      <c r="D2963" s="101"/>
      <c r="E2963" s="79"/>
    </row>
    <row r="2964" spans="1:5" ht="14.85" customHeight="1" outlineLevel="1" x14ac:dyDescent="0.25">
      <c r="A2964" s="101" t="s">
        <v>341</v>
      </c>
      <c r="B2964" s="102" t="s">
        <v>6962</v>
      </c>
      <c r="C2964" s="101" t="s">
        <v>6963</v>
      </c>
      <c r="D2964" s="101"/>
      <c r="E2964" s="79"/>
    </row>
    <row r="2965" spans="1:5" ht="14.85" customHeight="1" outlineLevel="1" x14ac:dyDescent="0.25">
      <c r="A2965" s="101" t="s">
        <v>341</v>
      </c>
      <c r="B2965" s="102" t="s">
        <v>6964</v>
      </c>
      <c r="C2965" s="101" t="s">
        <v>6965</v>
      </c>
      <c r="D2965" s="101"/>
      <c r="E2965" s="79"/>
    </row>
    <row r="2966" spans="1:5" ht="14.85" customHeight="1" outlineLevel="1" x14ac:dyDescent="0.25">
      <c r="A2966" s="101" t="s">
        <v>341</v>
      </c>
      <c r="B2966" s="102" t="s">
        <v>6966</v>
      </c>
      <c r="C2966" s="101" t="s">
        <v>6967</v>
      </c>
      <c r="D2966" s="101"/>
      <c r="E2966" s="79"/>
    </row>
    <row r="2967" spans="1:5" ht="14.85" customHeight="1" outlineLevel="1" x14ac:dyDescent="0.25">
      <c r="A2967" s="101" t="s">
        <v>341</v>
      </c>
      <c r="B2967" s="102" t="s">
        <v>6968</v>
      </c>
      <c r="C2967" s="101" t="s">
        <v>6969</v>
      </c>
      <c r="D2967" s="101"/>
      <c r="E2967" s="79"/>
    </row>
    <row r="2968" spans="1:5" ht="14.85" customHeight="1" outlineLevel="1" x14ac:dyDescent="0.25">
      <c r="A2968" s="101" t="s">
        <v>341</v>
      </c>
      <c r="B2968" s="102" t="s">
        <v>6970</v>
      </c>
      <c r="C2968" s="101" t="s">
        <v>6971</v>
      </c>
      <c r="D2968" s="101"/>
      <c r="E2968" s="79"/>
    </row>
    <row r="2969" spans="1:5" ht="14.85" customHeight="1" outlineLevel="1" x14ac:dyDescent="0.25">
      <c r="A2969" s="101" t="s">
        <v>341</v>
      </c>
      <c r="B2969" s="102" t="s">
        <v>6972</v>
      </c>
      <c r="C2969" s="101" t="s">
        <v>6973</v>
      </c>
      <c r="D2969" s="101"/>
      <c r="E2969" s="79"/>
    </row>
    <row r="2970" spans="1:5" ht="14.85" customHeight="1" outlineLevel="1" x14ac:dyDescent="0.25">
      <c r="A2970" s="101" t="s">
        <v>341</v>
      </c>
      <c r="B2970" s="102" t="s">
        <v>6974</v>
      </c>
      <c r="C2970" s="101" t="s">
        <v>6975</v>
      </c>
      <c r="D2970" s="101"/>
      <c r="E2970" s="79"/>
    </row>
    <row r="2971" spans="1:5" ht="14.85" customHeight="1" outlineLevel="1" x14ac:dyDescent="0.25">
      <c r="A2971" s="101" t="s">
        <v>341</v>
      </c>
      <c r="B2971" s="102" t="s">
        <v>6976</v>
      </c>
      <c r="C2971" s="101" t="s">
        <v>6977</v>
      </c>
      <c r="D2971" s="101"/>
      <c r="E2971" s="79"/>
    </row>
    <row r="2972" spans="1:5" ht="14.85" customHeight="1" outlineLevel="1" x14ac:dyDescent="0.25">
      <c r="A2972" s="101" t="s">
        <v>341</v>
      </c>
      <c r="B2972" s="102" t="s">
        <v>6978</v>
      </c>
      <c r="C2972" s="101" t="s">
        <v>6979</v>
      </c>
      <c r="D2972" s="101"/>
      <c r="E2972" s="79"/>
    </row>
    <row r="2973" spans="1:5" ht="14.85" customHeight="1" outlineLevel="1" x14ac:dyDescent="0.25">
      <c r="A2973" s="101" t="s">
        <v>341</v>
      </c>
      <c r="B2973" s="102" t="s">
        <v>6980</v>
      </c>
      <c r="C2973" s="101" t="s">
        <v>6981</v>
      </c>
      <c r="D2973" s="101"/>
      <c r="E2973" s="79"/>
    </row>
    <row r="2974" spans="1:5" ht="14.85" customHeight="1" outlineLevel="1" x14ac:dyDescent="0.25">
      <c r="A2974" s="101" t="s">
        <v>341</v>
      </c>
      <c r="B2974" s="102" t="s">
        <v>6982</v>
      </c>
      <c r="C2974" s="101" t="s">
        <v>6983</v>
      </c>
      <c r="D2974" s="101"/>
      <c r="E2974" s="79"/>
    </row>
    <row r="2975" spans="1:5" ht="14.85" customHeight="1" outlineLevel="1" x14ac:dyDescent="0.25">
      <c r="A2975" s="101" t="s">
        <v>341</v>
      </c>
      <c r="B2975" s="102" t="s">
        <v>6984</v>
      </c>
      <c r="C2975" s="101" t="s">
        <v>6985</v>
      </c>
      <c r="D2975" s="101"/>
      <c r="E2975" s="79"/>
    </row>
    <row r="2976" spans="1:5" ht="14.85" customHeight="1" outlineLevel="1" x14ac:dyDescent="0.25">
      <c r="A2976" s="101" t="s">
        <v>341</v>
      </c>
      <c r="B2976" s="102" t="s">
        <v>6986</v>
      </c>
      <c r="C2976" s="101" t="s">
        <v>6987</v>
      </c>
      <c r="D2976" s="101"/>
      <c r="E2976" s="79"/>
    </row>
    <row r="2977" spans="1:5" ht="14.85" customHeight="1" outlineLevel="1" x14ac:dyDescent="0.25">
      <c r="A2977" s="101" t="s">
        <v>341</v>
      </c>
      <c r="B2977" s="102" t="s">
        <v>6988</v>
      </c>
      <c r="C2977" s="101" t="s">
        <v>6989</v>
      </c>
      <c r="D2977" s="101"/>
      <c r="E2977" s="79"/>
    </row>
    <row r="2978" spans="1:5" ht="14.85" customHeight="1" outlineLevel="1" x14ac:dyDescent="0.25">
      <c r="A2978" s="101" t="s">
        <v>341</v>
      </c>
      <c r="B2978" s="102" t="s">
        <v>6990</v>
      </c>
      <c r="C2978" s="101" t="s">
        <v>6991</v>
      </c>
      <c r="D2978" s="101"/>
      <c r="E2978" s="79"/>
    </row>
    <row r="2979" spans="1:5" ht="14.85" customHeight="1" outlineLevel="1" x14ac:dyDescent="0.25">
      <c r="A2979" s="101" t="s">
        <v>341</v>
      </c>
      <c r="B2979" s="102" t="s">
        <v>6992</v>
      </c>
      <c r="C2979" s="101" t="s">
        <v>6993</v>
      </c>
      <c r="D2979" s="101"/>
      <c r="E2979" s="79"/>
    </row>
    <row r="2980" spans="1:5" ht="14.85" customHeight="1" outlineLevel="1" x14ac:dyDescent="0.25">
      <c r="A2980" s="101" t="s">
        <v>341</v>
      </c>
      <c r="B2980" s="102" t="s">
        <v>6994</v>
      </c>
      <c r="C2980" s="101" t="s">
        <v>6995</v>
      </c>
      <c r="D2980" s="101"/>
      <c r="E2980" s="79"/>
    </row>
    <row r="2981" spans="1:5" ht="14.85" customHeight="1" outlineLevel="1" x14ac:dyDescent="0.25">
      <c r="A2981" s="101" t="s">
        <v>341</v>
      </c>
      <c r="B2981" s="102" t="s">
        <v>6996</v>
      </c>
      <c r="C2981" s="101" t="s">
        <v>6997</v>
      </c>
      <c r="D2981" s="101"/>
      <c r="E2981" s="79"/>
    </row>
    <row r="2982" spans="1:5" ht="14.85" customHeight="1" outlineLevel="1" x14ac:dyDescent="0.25">
      <c r="A2982" s="101" t="s">
        <v>341</v>
      </c>
      <c r="B2982" s="102" t="s">
        <v>6998</v>
      </c>
      <c r="C2982" s="101" t="s">
        <v>6999</v>
      </c>
      <c r="D2982" s="101"/>
      <c r="E2982" s="79"/>
    </row>
    <row r="2983" spans="1:5" ht="14.85" customHeight="1" outlineLevel="1" x14ac:dyDescent="0.25">
      <c r="A2983" s="101" t="s">
        <v>341</v>
      </c>
      <c r="B2983" s="102" t="s">
        <v>7000</v>
      </c>
      <c r="C2983" s="101" t="s">
        <v>7001</v>
      </c>
      <c r="D2983" s="101"/>
      <c r="E2983" s="79"/>
    </row>
    <row r="2984" spans="1:5" ht="14.85" customHeight="1" outlineLevel="1" x14ac:dyDescent="0.25">
      <c r="A2984" s="101" t="s">
        <v>341</v>
      </c>
      <c r="B2984" s="102" t="s">
        <v>7002</v>
      </c>
      <c r="C2984" s="101" t="s">
        <v>7003</v>
      </c>
      <c r="D2984" s="101"/>
      <c r="E2984" s="79"/>
    </row>
    <row r="2985" spans="1:5" ht="14.85" customHeight="1" outlineLevel="1" x14ac:dyDescent="0.25">
      <c r="A2985" s="101" t="s">
        <v>341</v>
      </c>
      <c r="B2985" s="102" t="s">
        <v>7004</v>
      </c>
      <c r="C2985" s="101" t="s">
        <v>7005</v>
      </c>
      <c r="D2985" s="101"/>
      <c r="E2985" s="79"/>
    </row>
    <row r="2986" spans="1:5" ht="14.85" customHeight="1" outlineLevel="1" x14ac:dyDescent="0.25">
      <c r="A2986" s="101" t="s">
        <v>341</v>
      </c>
      <c r="B2986" s="102" t="s">
        <v>7006</v>
      </c>
      <c r="C2986" s="101" t="s">
        <v>7007</v>
      </c>
      <c r="D2986" s="101"/>
      <c r="E2986" s="79"/>
    </row>
    <row r="2987" spans="1:5" ht="14.85" customHeight="1" outlineLevel="1" x14ac:dyDescent="0.25">
      <c r="A2987" s="101" t="s">
        <v>341</v>
      </c>
      <c r="B2987" s="102" t="s">
        <v>7008</v>
      </c>
      <c r="C2987" s="101" t="s">
        <v>7009</v>
      </c>
      <c r="D2987" s="101"/>
      <c r="E2987" s="79"/>
    </row>
    <row r="2988" spans="1:5" ht="14.85" customHeight="1" outlineLevel="1" x14ac:dyDescent="0.25">
      <c r="A2988" s="101" t="s">
        <v>341</v>
      </c>
      <c r="B2988" s="102" t="s">
        <v>7010</v>
      </c>
      <c r="C2988" s="101" t="s">
        <v>7011</v>
      </c>
      <c r="D2988" s="101"/>
      <c r="E2988" s="79"/>
    </row>
    <row r="2989" spans="1:5" ht="14.85" customHeight="1" outlineLevel="1" x14ac:dyDescent="0.25">
      <c r="A2989" s="101" t="s">
        <v>341</v>
      </c>
      <c r="B2989" s="102" t="s">
        <v>7012</v>
      </c>
      <c r="C2989" s="101" t="s">
        <v>7013</v>
      </c>
      <c r="D2989" s="101"/>
      <c r="E2989" s="79"/>
    </row>
    <row r="2990" spans="1:5" ht="14.85" customHeight="1" outlineLevel="1" x14ac:dyDescent="0.25">
      <c r="A2990" s="101" t="s">
        <v>341</v>
      </c>
      <c r="B2990" s="102" t="s">
        <v>7014</v>
      </c>
      <c r="C2990" s="101" t="s">
        <v>7015</v>
      </c>
      <c r="D2990" s="101"/>
      <c r="E2990" s="79"/>
    </row>
    <row r="2991" spans="1:5" ht="14.85" customHeight="1" outlineLevel="1" x14ac:dyDescent="0.25">
      <c r="A2991" s="101" t="s">
        <v>341</v>
      </c>
      <c r="B2991" s="102" t="s">
        <v>7016</v>
      </c>
      <c r="C2991" s="101" t="s">
        <v>7017</v>
      </c>
      <c r="D2991" s="101"/>
      <c r="E2991" s="79"/>
    </row>
    <row r="2992" spans="1:5" ht="14.85" customHeight="1" outlineLevel="1" x14ac:dyDescent="0.25">
      <c r="A2992" s="101" t="s">
        <v>341</v>
      </c>
      <c r="B2992" s="102" t="s">
        <v>7018</v>
      </c>
      <c r="C2992" s="101" t="s">
        <v>7019</v>
      </c>
      <c r="D2992" s="101"/>
      <c r="E2992" s="79"/>
    </row>
    <row r="2993" spans="1:5" ht="14.85" customHeight="1" outlineLevel="1" x14ac:dyDescent="0.25">
      <c r="A2993" s="101" t="s">
        <v>341</v>
      </c>
      <c r="B2993" s="102" t="s">
        <v>7020</v>
      </c>
      <c r="C2993" s="101" t="s">
        <v>7021</v>
      </c>
      <c r="D2993" s="101"/>
      <c r="E2993" s="79"/>
    </row>
    <row r="2994" spans="1:5" ht="14.85" customHeight="1" outlineLevel="1" x14ac:dyDescent="0.25">
      <c r="A2994" s="101" t="s">
        <v>341</v>
      </c>
      <c r="B2994" s="102" t="s">
        <v>7022</v>
      </c>
      <c r="C2994" s="101" t="s">
        <v>7023</v>
      </c>
      <c r="D2994" s="101"/>
      <c r="E2994" s="79"/>
    </row>
    <row r="2995" spans="1:5" ht="14.85" customHeight="1" outlineLevel="1" x14ac:dyDescent="0.25">
      <c r="A2995" s="101" t="s">
        <v>341</v>
      </c>
      <c r="B2995" s="102" t="s">
        <v>7024</v>
      </c>
      <c r="C2995" s="101" t="s">
        <v>7025</v>
      </c>
      <c r="D2995" s="101"/>
      <c r="E2995" s="79"/>
    </row>
    <row r="2996" spans="1:5" ht="14.85" customHeight="1" outlineLevel="1" x14ac:dyDescent="0.25">
      <c r="A2996" s="101" t="s">
        <v>341</v>
      </c>
      <c r="B2996" s="102" t="s">
        <v>6665</v>
      </c>
      <c r="C2996" s="101" t="s">
        <v>7026</v>
      </c>
      <c r="D2996" s="101"/>
      <c r="E2996" s="79"/>
    </row>
    <row r="2997" spans="1:5" ht="14.85" customHeight="1" outlineLevel="1" x14ac:dyDescent="0.25">
      <c r="A2997" s="101" t="s">
        <v>341</v>
      </c>
      <c r="B2997" s="102" t="s">
        <v>7027</v>
      </c>
      <c r="C2997" s="101" t="s">
        <v>7028</v>
      </c>
      <c r="D2997" s="101"/>
      <c r="E2997" s="79"/>
    </row>
    <row r="2998" spans="1:5" ht="14.85" customHeight="1" outlineLevel="1" x14ac:dyDescent="0.25">
      <c r="A2998" s="101" t="s">
        <v>341</v>
      </c>
      <c r="B2998" s="102" t="s">
        <v>7029</v>
      </c>
      <c r="C2998" s="101" t="s">
        <v>7030</v>
      </c>
      <c r="D2998" s="101"/>
      <c r="E2998" s="79"/>
    </row>
    <row r="2999" spans="1:5" ht="14.85" customHeight="1" outlineLevel="1" x14ac:dyDescent="0.25">
      <c r="A2999" s="101" t="s">
        <v>341</v>
      </c>
      <c r="B2999" s="102" t="s">
        <v>1286</v>
      </c>
      <c r="C2999" s="101" t="s">
        <v>7031</v>
      </c>
      <c r="D2999" s="101"/>
      <c r="E2999" s="79"/>
    </row>
    <row r="3000" spans="1:5" ht="14.85" customHeight="1" outlineLevel="1" x14ac:dyDescent="0.25">
      <c r="A3000" s="101" t="s">
        <v>341</v>
      </c>
      <c r="B3000" s="102" t="s">
        <v>7032</v>
      </c>
      <c r="C3000" s="101" t="s">
        <v>7033</v>
      </c>
      <c r="D3000" s="101"/>
      <c r="E3000" s="79"/>
    </row>
    <row r="3001" spans="1:5" ht="14.85" customHeight="1" outlineLevel="1" x14ac:dyDescent="0.25">
      <c r="A3001" s="101" t="s">
        <v>341</v>
      </c>
      <c r="B3001" s="102" t="s">
        <v>6703</v>
      </c>
      <c r="C3001" s="101" t="s">
        <v>7034</v>
      </c>
      <c r="D3001" s="101"/>
      <c r="E3001" s="79"/>
    </row>
    <row r="3002" spans="1:5" ht="14.85" customHeight="1" outlineLevel="1" x14ac:dyDescent="0.25">
      <c r="A3002" s="101" t="s">
        <v>341</v>
      </c>
      <c r="B3002" s="102" t="s">
        <v>7035</v>
      </c>
      <c r="C3002" s="101" t="s">
        <v>7036</v>
      </c>
      <c r="D3002" s="101"/>
      <c r="E3002" s="79"/>
    </row>
    <row r="3003" spans="1:5" ht="14.85" customHeight="1" outlineLevel="1" x14ac:dyDescent="0.25">
      <c r="A3003" s="101" t="s">
        <v>341</v>
      </c>
      <c r="B3003" s="102" t="s">
        <v>7037</v>
      </c>
      <c r="C3003" s="101" t="s">
        <v>7038</v>
      </c>
      <c r="D3003" s="101"/>
      <c r="E3003" s="79"/>
    </row>
    <row r="3004" spans="1:5" ht="14.85" customHeight="1" outlineLevel="1" x14ac:dyDescent="0.25">
      <c r="A3004" s="101" t="s">
        <v>341</v>
      </c>
      <c r="B3004" s="102" t="s">
        <v>7039</v>
      </c>
      <c r="C3004" s="101" t="s">
        <v>7040</v>
      </c>
      <c r="D3004" s="101"/>
      <c r="E3004" s="79"/>
    </row>
    <row r="3005" spans="1:5" ht="14.85" customHeight="1" outlineLevel="1" x14ac:dyDescent="0.25">
      <c r="A3005" s="101" t="s">
        <v>341</v>
      </c>
      <c r="B3005" s="102" t="s">
        <v>7041</v>
      </c>
      <c r="C3005" s="101" t="s">
        <v>7042</v>
      </c>
      <c r="D3005" s="101"/>
      <c r="E3005" s="79"/>
    </row>
    <row r="3006" spans="1:5" ht="14.85" customHeight="1" outlineLevel="1" x14ac:dyDescent="0.25">
      <c r="A3006" s="101" t="s">
        <v>341</v>
      </c>
      <c r="B3006" s="102" t="s">
        <v>7043</v>
      </c>
      <c r="C3006" s="101" t="s">
        <v>7044</v>
      </c>
      <c r="D3006" s="101"/>
      <c r="E3006" s="79"/>
    </row>
    <row r="3007" spans="1:5" ht="14.85" customHeight="1" outlineLevel="1" x14ac:dyDescent="0.25">
      <c r="A3007" s="101" t="s">
        <v>341</v>
      </c>
      <c r="B3007" s="102" t="s">
        <v>7045</v>
      </c>
      <c r="C3007" s="101" t="s">
        <v>7046</v>
      </c>
      <c r="D3007" s="101"/>
      <c r="E3007" s="79"/>
    </row>
    <row r="3008" spans="1:5" ht="14.85" customHeight="1" outlineLevel="1" x14ac:dyDescent="0.25">
      <c r="A3008" s="101" t="s">
        <v>341</v>
      </c>
      <c r="B3008" s="102" t="s">
        <v>7047</v>
      </c>
      <c r="C3008" s="101" t="s">
        <v>7048</v>
      </c>
      <c r="D3008" s="101"/>
      <c r="E3008" s="79"/>
    </row>
    <row r="3009" spans="1:5" ht="14.85" customHeight="1" outlineLevel="1" x14ac:dyDescent="0.25">
      <c r="A3009" s="101" t="s">
        <v>341</v>
      </c>
      <c r="B3009" s="102" t="s">
        <v>7049</v>
      </c>
      <c r="C3009" s="101" t="s">
        <v>7050</v>
      </c>
      <c r="D3009" s="101"/>
      <c r="E3009" s="79"/>
    </row>
    <row r="3010" spans="1:5" ht="14.85" customHeight="1" outlineLevel="1" x14ac:dyDescent="0.25">
      <c r="A3010" s="101" t="s">
        <v>341</v>
      </c>
      <c r="B3010" s="102" t="s">
        <v>7051</v>
      </c>
      <c r="C3010" s="101" t="s">
        <v>7052</v>
      </c>
      <c r="D3010" s="101"/>
      <c r="E3010" s="79"/>
    </row>
    <row r="3011" spans="1:5" ht="14.85" customHeight="1" outlineLevel="1" x14ac:dyDescent="0.25">
      <c r="A3011" s="101" t="s">
        <v>341</v>
      </c>
      <c r="B3011" s="102" t="s">
        <v>7053</v>
      </c>
      <c r="C3011" s="101" t="s">
        <v>7054</v>
      </c>
      <c r="D3011" s="101"/>
      <c r="E3011" s="79"/>
    </row>
    <row r="3012" spans="1:5" ht="14.85" customHeight="1" outlineLevel="1" x14ac:dyDescent="0.25">
      <c r="A3012" s="101" t="s">
        <v>341</v>
      </c>
      <c r="B3012" s="102" t="s">
        <v>7055</v>
      </c>
      <c r="C3012" s="101" t="s">
        <v>7056</v>
      </c>
      <c r="D3012" s="101"/>
      <c r="E3012" s="79"/>
    </row>
    <row r="3013" spans="1:5" ht="14.85" customHeight="1" outlineLevel="1" x14ac:dyDescent="0.25">
      <c r="A3013" s="101" t="s">
        <v>341</v>
      </c>
      <c r="B3013" s="102" t="s">
        <v>7057</v>
      </c>
      <c r="C3013" s="101" t="s">
        <v>7058</v>
      </c>
      <c r="D3013" s="101"/>
      <c r="E3013" s="79"/>
    </row>
    <row r="3014" spans="1:5" ht="14.85" customHeight="1" outlineLevel="1" x14ac:dyDescent="0.25">
      <c r="A3014" s="101" t="s">
        <v>341</v>
      </c>
      <c r="B3014" s="102" t="s">
        <v>7059</v>
      </c>
      <c r="C3014" s="101" t="s">
        <v>7060</v>
      </c>
      <c r="D3014" s="101"/>
      <c r="E3014" s="79"/>
    </row>
    <row r="3015" spans="1:5" ht="14.85" customHeight="1" outlineLevel="1" x14ac:dyDescent="0.25">
      <c r="A3015" s="101" t="s">
        <v>341</v>
      </c>
      <c r="B3015" s="102" t="s">
        <v>7061</v>
      </c>
      <c r="C3015" s="101" t="s">
        <v>7062</v>
      </c>
      <c r="D3015" s="101"/>
      <c r="E3015" s="79"/>
    </row>
    <row r="3016" spans="1:5" ht="14.85" customHeight="1" outlineLevel="1" x14ac:dyDescent="0.25">
      <c r="A3016" s="101" t="s">
        <v>341</v>
      </c>
      <c r="B3016" s="102" t="s">
        <v>7063</v>
      </c>
      <c r="C3016" s="101" t="s">
        <v>7064</v>
      </c>
      <c r="D3016" s="101"/>
      <c r="E3016" s="79"/>
    </row>
    <row r="3017" spans="1:5" ht="14.85" customHeight="1" outlineLevel="1" x14ac:dyDescent="0.25">
      <c r="A3017" s="105" t="s">
        <v>341</v>
      </c>
      <c r="B3017" s="194" t="s">
        <v>6668</v>
      </c>
      <c r="C3017" s="195" t="s">
        <v>7065</v>
      </c>
      <c r="D3017" s="101"/>
    </row>
    <row r="3018" spans="1:5" ht="14.85" customHeight="1" outlineLevel="1" x14ac:dyDescent="0.25">
      <c r="A3018" s="105" t="s">
        <v>341</v>
      </c>
      <c r="B3018" s="194" t="s">
        <v>7066</v>
      </c>
      <c r="C3018" s="195" t="s">
        <v>7067</v>
      </c>
      <c r="D3018" s="101"/>
    </row>
    <row r="3019" spans="1:5" ht="14.85" customHeight="1" outlineLevel="1" x14ac:dyDescent="0.25">
      <c r="A3019" s="105" t="s">
        <v>341</v>
      </c>
      <c r="B3019" s="194" t="s">
        <v>7068</v>
      </c>
      <c r="C3019" s="195" t="s">
        <v>7069</v>
      </c>
      <c r="D3019" s="101"/>
    </row>
    <row r="3020" spans="1:5" ht="14.85" customHeight="1" outlineLevel="1" x14ac:dyDescent="0.25">
      <c r="A3020" s="105" t="s">
        <v>341</v>
      </c>
      <c r="B3020" s="194" t="s">
        <v>7070</v>
      </c>
      <c r="C3020" s="195" t="s">
        <v>7071</v>
      </c>
      <c r="D3020" s="101"/>
    </row>
    <row r="3021" spans="1:5" ht="14.85" customHeight="1" outlineLevel="1" x14ac:dyDescent="0.25">
      <c r="A3021" s="105" t="s">
        <v>341</v>
      </c>
      <c r="B3021" s="194" t="s">
        <v>7072</v>
      </c>
      <c r="C3021" s="195" t="s">
        <v>7073</v>
      </c>
      <c r="D3021" s="101"/>
    </row>
    <row r="3022" spans="1:5" ht="14.85" customHeight="1" outlineLevel="1" x14ac:dyDescent="0.25">
      <c r="A3022" s="101" t="s">
        <v>341</v>
      </c>
      <c r="B3022" s="102" t="s">
        <v>7074</v>
      </c>
      <c r="C3022" s="101" t="s">
        <v>7075</v>
      </c>
      <c r="D3022" s="101"/>
      <c r="E3022" s="79"/>
    </row>
    <row r="3023" spans="1:5" ht="14.85" customHeight="1" outlineLevel="1" x14ac:dyDescent="0.25">
      <c r="A3023" s="101" t="s">
        <v>341</v>
      </c>
      <c r="B3023" s="102" t="s">
        <v>7076</v>
      </c>
      <c r="C3023" s="101" t="s">
        <v>7077</v>
      </c>
      <c r="D3023" s="101"/>
      <c r="E3023" s="79"/>
    </row>
    <row r="3024" spans="1:5" ht="14.85" customHeight="1" outlineLevel="1" x14ac:dyDescent="0.25">
      <c r="A3024" s="101" t="s">
        <v>341</v>
      </c>
      <c r="B3024" s="102" t="s">
        <v>7078</v>
      </c>
      <c r="C3024" s="101" t="s">
        <v>7079</v>
      </c>
      <c r="D3024" s="101"/>
      <c r="E3024" s="79"/>
    </row>
    <row r="3025" spans="1:5" ht="14.85" customHeight="1" outlineLevel="1" x14ac:dyDescent="0.25">
      <c r="A3025" s="101" t="s">
        <v>341</v>
      </c>
      <c r="B3025" s="102" t="s">
        <v>7080</v>
      </c>
      <c r="C3025" s="101" t="s">
        <v>7081</v>
      </c>
      <c r="D3025" s="101"/>
      <c r="E3025" s="79"/>
    </row>
    <row r="3026" spans="1:5" ht="14.85" customHeight="1" outlineLevel="1" x14ac:dyDescent="0.25">
      <c r="A3026" s="101" t="s">
        <v>341</v>
      </c>
      <c r="B3026" s="102" t="s">
        <v>7082</v>
      </c>
      <c r="C3026" s="101" t="s">
        <v>7083</v>
      </c>
      <c r="D3026" s="101"/>
      <c r="E3026" s="79"/>
    </row>
    <row r="3027" spans="1:5" ht="14.85" customHeight="1" outlineLevel="1" x14ac:dyDescent="0.25">
      <c r="A3027" s="101" t="s">
        <v>341</v>
      </c>
      <c r="B3027" s="102" t="s">
        <v>7084</v>
      </c>
      <c r="C3027" s="101" t="s">
        <v>7085</v>
      </c>
      <c r="D3027" s="101"/>
      <c r="E3027" s="79"/>
    </row>
    <row r="3028" spans="1:5" ht="14.85" customHeight="1" outlineLevel="1" x14ac:dyDescent="0.25">
      <c r="A3028" s="101" t="s">
        <v>341</v>
      </c>
      <c r="B3028" s="102" t="s">
        <v>7086</v>
      </c>
      <c r="C3028" s="101" t="s">
        <v>7087</v>
      </c>
      <c r="D3028" s="101"/>
      <c r="E3028" s="79"/>
    </row>
    <row r="3029" spans="1:5" ht="14.85" customHeight="1" outlineLevel="1" x14ac:dyDescent="0.25">
      <c r="A3029" s="101" t="s">
        <v>341</v>
      </c>
      <c r="B3029" s="102" t="s">
        <v>6709</v>
      </c>
      <c r="C3029" s="101" t="s">
        <v>7088</v>
      </c>
      <c r="D3029" s="101"/>
      <c r="E3029" s="79"/>
    </row>
    <row r="3030" spans="1:5" ht="14.85" customHeight="1" outlineLevel="1" x14ac:dyDescent="0.25">
      <c r="A3030" s="101" t="s">
        <v>341</v>
      </c>
      <c r="B3030" s="102" t="s">
        <v>7089</v>
      </c>
      <c r="C3030" s="101" t="s">
        <v>7090</v>
      </c>
      <c r="D3030" s="101"/>
      <c r="E3030" s="79"/>
    </row>
    <row r="3031" spans="1:5" ht="14.85" customHeight="1" outlineLevel="1" x14ac:dyDescent="0.25">
      <c r="A3031" s="101" t="s">
        <v>341</v>
      </c>
      <c r="B3031" s="102" t="s">
        <v>7091</v>
      </c>
      <c r="C3031" s="101" t="s">
        <v>7092</v>
      </c>
      <c r="D3031" s="101"/>
      <c r="E3031" s="79"/>
    </row>
    <row r="3032" spans="1:5" ht="14.85" customHeight="1" outlineLevel="1" x14ac:dyDescent="0.25">
      <c r="A3032" s="101" t="s">
        <v>341</v>
      </c>
      <c r="B3032" s="102" t="s">
        <v>1494</v>
      </c>
      <c r="C3032" s="101" t="s">
        <v>7093</v>
      </c>
      <c r="D3032" s="101"/>
      <c r="E3032" s="79"/>
    </row>
    <row r="3033" spans="1:5" ht="14.85" customHeight="1" outlineLevel="1" x14ac:dyDescent="0.25">
      <c r="A3033" s="101" t="s">
        <v>341</v>
      </c>
      <c r="B3033" s="102" t="s">
        <v>7094</v>
      </c>
      <c r="C3033" s="101" t="s">
        <v>7095</v>
      </c>
      <c r="D3033" s="101"/>
      <c r="E3033" s="79"/>
    </row>
    <row r="3034" spans="1:5" ht="14.85" customHeight="1" outlineLevel="1" x14ac:dyDescent="0.25">
      <c r="A3034" s="101" t="s">
        <v>341</v>
      </c>
      <c r="B3034" s="102" t="s">
        <v>7096</v>
      </c>
      <c r="C3034" s="101" t="s">
        <v>7097</v>
      </c>
      <c r="D3034" s="101"/>
      <c r="E3034" s="79"/>
    </row>
    <row r="3035" spans="1:5" ht="14.85" customHeight="1" outlineLevel="1" x14ac:dyDescent="0.25">
      <c r="A3035" s="101" t="s">
        <v>341</v>
      </c>
      <c r="B3035" s="102" t="s">
        <v>7098</v>
      </c>
      <c r="C3035" s="101" t="s">
        <v>7099</v>
      </c>
      <c r="D3035" s="101"/>
      <c r="E3035" s="79"/>
    </row>
    <row r="3036" spans="1:5" ht="14.85" customHeight="1" outlineLevel="1" x14ac:dyDescent="0.25">
      <c r="A3036" s="101" t="s">
        <v>341</v>
      </c>
      <c r="B3036" s="102" t="s">
        <v>7100</v>
      </c>
      <c r="C3036" s="101" t="s">
        <v>7101</v>
      </c>
      <c r="D3036" s="101"/>
      <c r="E3036" s="79"/>
    </row>
    <row r="3037" spans="1:5" ht="14.85" customHeight="1" outlineLevel="1" x14ac:dyDescent="0.25">
      <c r="A3037" s="101" t="s">
        <v>341</v>
      </c>
      <c r="B3037" s="102" t="s">
        <v>7102</v>
      </c>
      <c r="C3037" s="101" t="s">
        <v>7103</v>
      </c>
      <c r="D3037" s="101"/>
      <c r="E3037" s="79"/>
    </row>
    <row r="3038" spans="1:5" ht="14.85" customHeight="1" outlineLevel="1" x14ac:dyDescent="0.25">
      <c r="A3038" s="101" t="s">
        <v>341</v>
      </c>
      <c r="B3038" s="102" t="s">
        <v>7104</v>
      </c>
      <c r="C3038" s="101" t="s">
        <v>7105</v>
      </c>
      <c r="D3038" s="101"/>
      <c r="E3038" s="79"/>
    </row>
    <row r="3039" spans="1:5" ht="14.85" customHeight="1" outlineLevel="1" x14ac:dyDescent="0.25">
      <c r="A3039" s="101" t="s">
        <v>341</v>
      </c>
      <c r="B3039" s="102" t="s">
        <v>7106</v>
      </c>
      <c r="C3039" s="101" t="s">
        <v>7107</v>
      </c>
      <c r="D3039" s="101"/>
      <c r="E3039" s="79"/>
    </row>
    <row r="3040" spans="1:5" ht="14.85" customHeight="1" outlineLevel="1" x14ac:dyDescent="0.25">
      <c r="A3040" s="101" t="s">
        <v>341</v>
      </c>
      <c r="B3040" s="102" t="s">
        <v>7108</v>
      </c>
      <c r="C3040" s="101" t="s">
        <v>7109</v>
      </c>
      <c r="D3040" s="101"/>
      <c r="E3040" s="79"/>
    </row>
    <row r="3041" spans="1:5" ht="14.85" customHeight="1" outlineLevel="1" x14ac:dyDescent="0.25">
      <c r="A3041" s="101" t="s">
        <v>341</v>
      </c>
      <c r="B3041" s="102" t="s">
        <v>7110</v>
      </c>
      <c r="C3041" s="101" t="s">
        <v>7111</v>
      </c>
      <c r="D3041" s="101"/>
      <c r="E3041" s="79"/>
    </row>
    <row r="3042" spans="1:5" ht="14.85" customHeight="1" outlineLevel="1" x14ac:dyDescent="0.25">
      <c r="A3042" s="101" t="s">
        <v>341</v>
      </c>
      <c r="B3042" s="102" t="s">
        <v>7112</v>
      </c>
      <c r="C3042" s="101" t="s">
        <v>7113</v>
      </c>
      <c r="D3042" s="101"/>
      <c r="E3042" s="79"/>
    </row>
    <row r="3043" spans="1:5" ht="14.85" customHeight="1" outlineLevel="1" x14ac:dyDescent="0.25">
      <c r="A3043" s="101" t="s">
        <v>341</v>
      </c>
      <c r="B3043" s="102" t="s">
        <v>7114</v>
      </c>
      <c r="C3043" s="101" t="s">
        <v>7115</v>
      </c>
      <c r="D3043" s="101"/>
      <c r="E3043" s="79"/>
    </row>
    <row r="3044" spans="1:5" ht="14.85" customHeight="1" outlineLevel="1" x14ac:dyDescent="0.25">
      <c r="A3044" s="101" t="s">
        <v>341</v>
      </c>
      <c r="B3044" s="102" t="s">
        <v>7116</v>
      </c>
      <c r="C3044" s="101" t="s">
        <v>7117</v>
      </c>
      <c r="D3044" s="101"/>
      <c r="E3044" s="79"/>
    </row>
    <row r="3045" spans="1:5" ht="14.85" customHeight="1" outlineLevel="1" x14ac:dyDescent="0.25">
      <c r="A3045" s="101" t="s">
        <v>341</v>
      </c>
      <c r="B3045" s="102" t="s">
        <v>7118</v>
      </c>
      <c r="C3045" s="101" t="s">
        <v>7119</v>
      </c>
      <c r="D3045" s="101"/>
      <c r="E3045" s="79"/>
    </row>
    <row r="3046" spans="1:5" ht="14.85" customHeight="1" outlineLevel="1" x14ac:dyDescent="0.25">
      <c r="A3046" s="101" t="s">
        <v>341</v>
      </c>
      <c r="B3046" s="102" t="s">
        <v>1498</v>
      </c>
      <c r="C3046" s="101" t="s">
        <v>7120</v>
      </c>
      <c r="D3046" s="101"/>
      <c r="E3046" s="79"/>
    </row>
    <row r="3047" spans="1:5" ht="14.85" customHeight="1" outlineLevel="1" x14ac:dyDescent="0.25">
      <c r="A3047" s="101" t="s">
        <v>341</v>
      </c>
      <c r="B3047" s="102" t="s">
        <v>7121</v>
      </c>
      <c r="C3047" s="101" t="s">
        <v>7122</v>
      </c>
      <c r="D3047" s="101"/>
      <c r="E3047" s="79"/>
    </row>
    <row r="3048" spans="1:5" ht="14.85" customHeight="1" outlineLevel="1" x14ac:dyDescent="0.25">
      <c r="A3048" s="101" t="s">
        <v>341</v>
      </c>
      <c r="B3048" s="102" t="s">
        <v>6712</v>
      </c>
      <c r="C3048" s="101" t="s">
        <v>7123</v>
      </c>
      <c r="D3048" s="101"/>
      <c r="E3048" s="79"/>
    </row>
    <row r="3049" spans="1:5" ht="14.85" customHeight="1" outlineLevel="1" x14ac:dyDescent="0.25">
      <c r="A3049" s="101" t="s">
        <v>341</v>
      </c>
      <c r="B3049" s="102" t="s">
        <v>7124</v>
      </c>
      <c r="C3049" s="101" t="s">
        <v>7125</v>
      </c>
      <c r="D3049" s="101"/>
      <c r="E3049" s="79"/>
    </row>
    <row r="3050" spans="1:5" ht="14.85" customHeight="1" outlineLevel="1" x14ac:dyDescent="0.25">
      <c r="A3050" s="101" t="s">
        <v>341</v>
      </c>
      <c r="B3050" s="102" t="s">
        <v>7126</v>
      </c>
      <c r="C3050" s="101" t="s">
        <v>7127</v>
      </c>
      <c r="D3050" s="101"/>
      <c r="E3050" s="79"/>
    </row>
    <row r="3051" spans="1:5" ht="14.85" customHeight="1" outlineLevel="1" x14ac:dyDescent="0.25">
      <c r="A3051" s="101" t="s">
        <v>341</v>
      </c>
      <c r="B3051" s="102" t="s">
        <v>7128</v>
      </c>
      <c r="C3051" s="101" t="s">
        <v>7129</v>
      </c>
      <c r="D3051" s="101"/>
      <c r="E3051" s="79"/>
    </row>
    <row r="3052" spans="1:5" ht="14.85" customHeight="1" outlineLevel="1" x14ac:dyDescent="0.25">
      <c r="A3052" s="101" t="s">
        <v>341</v>
      </c>
      <c r="B3052" s="102" t="s">
        <v>7130</v>
      </c>
      <c r="C3052" s="101" t="s">
        <v>7131</v>
      </c>
      <c r="D3052" s="101"/>
      <c r="E3052" s="79"/>
    </row>
    <row r="3053" spans="1:5" ht="14.85" customHeight="1" outlineLevel="1" x14ac:dyDescent="0.25">
      <c r="A3053" s="101" t="s">
        <v>341</v>
      </c>
      <c r="B3053" s="102" t="s">
        <v>7132</v>
      </c>
      <c r="C3053" s="101" t="s">
        <v>7133</v>
      </c>
      <c r="D3053" s="101"/>
      <c r="E3053" s="79"/>
    </row>
    <row r="3054" spans="1:5" ht="14.85" customHeight="1" outlineLevel="1" x14ac:dyDescent="0.25">
      <c r="A3054" s="101" t="s">
        <v>341</v>
      </c>
      <c r="B3054" s="102" t="s">
        <v>7134</v>
      </c>
      <c r="C3054" s="101" t="s">
        <v>7135</v>
      </c>
      <c r="D3054" s="101"/>
      <c r="E3054" s="79"/>
    </row>
    <row r="3055" spans="1:5" ht="14.85" customHeight="1" outlineLevel="1" x14ac:dyDescent="0.25">
      <c r="A3055" s="101" t="s">
        <v>341</v>
      </c>
      <c r="B3055" s="102" t="s">
        <v>7136</v>
      </c>
      <c r="C3055" s="101" t="s">
        <v>7137</v>
      </c>
      <c r="D3055" s="101"/>
      <c r="E3055" s="79"/>
    </row>
    <row r="3056" spans="1:5" ht="14.85" customHeight="1" outlineLevel="1" x14ac:dyDescent="0.25">
      <c r="A3056" s="101" t="s">
        <v>341</v>
      </c>
      <c r="B3056" s="102" t="s">
        <v>7138</v>
      </c>
      <c r="C3056" s="101" t="s">
        <v>7139</v>
      </c>
      <c r="D3056" s="101"/>
      <c r="E3056" s="79"/>
    </row>
    <row r="3057" spans="1:5" ht="14.85" customHeight="1" outlineLevel="1" x14ac:dyDescent="0.25">
      <c r="A3057" s="101" t="s">
        <v>341</v>
      </c>
      <c r="B3057" s="102" t="s">
        <v>7140</v>
      </c>
      <c r="C3057" s="101" t="s">
        <v>7141</v>
      </c>
      <c r="D3057" s="101"/>
      <c r="E3057" s="79"/>
    </row>
    <row r="3058" spans="1:5" ht="14.85" customHeight="1" outlineLevel="1" x14ac:dyDescent="0.25">
      <c r="A3058" s="101" t="s">
        <v>341</v>
      </c>
      <c r="B3058" s="102" t="s">
        <v>7142</v>
      </c>
      <c r="C3058" s="101" t="s">
        <v>7143</v>
      </c>
      <c r="D3058" s="101"/>
      <c r="E3058" s="79"/>
    </row>
    <row r="3059" spans="1:5" ht="14.85" customHeight="1" outlineLevel="1" x14ac:dyDescent="0.25">
      <c r="A3059" s="101" t="s">
        <v>341</v>
      </c>
      <c r="B3059" s="102" t="s">
        <v>7144</v>
      </c>
      <c r="C3059" s="101" t="s">
        <v>7145</v>
      </c>
      <c r="D3059" s="101"/>
      <c r="E3059" s="79"/>
    </row>
    <row r="3060" spans="1:5" ht="14.85" customHeight="1" outlineLevel="1" x14ac:dyDescent="0.25">
      <c r="A3060" s="101" t="s">
        <v>341</v>
      </c>
      <c r="B3060" s="102" t="s">
        <v>7146</v>
      </c>
      <c r="C3060" s="101" t="s">
        <v>7147</v>
      </c>
      <c r="D3060" s="101"/>
      <c r="E3060" s="79"/>
    </row>
    <row r="3061" spans="1:5" ht="14.85" customHeight="1" outlineLevel="1" x14ac:dyDescent="0.25">
      <c r="A3061" s="101" t="s">
        <v>341</v>
      </c>
      <c r="B3061" s="102" t="s">
        <v>7148</v>
      </c>
      <c r="C3061" s="101" t="s">
        <v>7149</v>
      </c>
      <c r="D3061" s="101"/>
      <c r="E3061" s="79"/>
    </row>
    <row r="3062" spans="1:5" ht="14.85" customHeight="1" outlineLevel="1" x14ac:dyDescent="0.25">
      <c r="A3062" s="101" t="s">
        <v>341</v>
      </c>
      <c r="B3062" s="102" t="s">
        <v>7150</v>
      </c>
      <c r="C3062" s="101" t="s">
        <v>7151</v>
      </c>
      <c r="D3062" s="101"/>
      <c r="E3062" s="79"/>
    </row>
    <row r="3063" spans="1:5" ht="14.85" customHeight="1" outlineLevel="1" x14ac:dyDescent="0.25">
      <c r="A3063" s="101" t="s">
        <v>341</v>
      </c>
      <c r="B3063" s="102" t="s">
        <v>7152</v>
      </c>
      <c r="C3063" s="101" t="s">
        <v>7153</v>
      </c>
      <c r="D3063" s="101"/>
      <c r="E3063" s="79"/>
    </row>
    <row r="3064" spans="1:5" ht="14.85" customHeight="1" outlineLevel="1" x14ac:dyDescent="0.25">
      <c r="A3064" s="101" t="s">
        <v>341</v>
      </c>
      <c r="B3064" s="102" t="s">
        <v>7154</v>
      </c>
      <c r="C3064" s="101" t="s">
        <v>7155</v>
      </c>
      <c r="D3064" s="101"/>
      <c r="E3064" s="79"/>
    </row>
    <row r="3065" spans="1:5" ht="14.85" customHeight="1" outlineLevel="1" x14ac:dyDescent="0.25">
      <c r="A3065" s="101" t="s">
        <v>341</v>
      </c>
      <c r="B3065" s="102" t="s">
        <v>7156</v>
      </c>
      <c r="C3065" s="101" t="s">
        <v>7157</v>
      </c>
      <c r="D3065" s="101"/>
      <c r="E3065" s="79"/>
    </row>
    <row r="3066" spans="1:5" ht="14.85" customHeight="1" outlineLevel="1" x14ac:dyDescent="0.25">
      <c r="A3066" s="101" t="s">
        <v>341</v>
      </c>
      <c r="B3066" s="102" t="s">
        <v>7158</v>
      </c>
      <c r="C3066" s="101" t="s">
        <v>7159</v>
      </c>
      <c r="D3066" s="101"/>
      <c r="E3066" s="79"/>
    </row>
    <row r="3067" spans="1:5" ht="14.85" customHeight="1" outlineLevel="1" x14ac:dyDescent="0.25">
      <c r="A3067" s="101" t="s">
        <v>341</v>
      </c>
      <c r="B3067" s="102" t="s">
        <v>7160</v>
      </c>
      <c r="C3067" s="101" t="s">
        <v>7161</v>
      </c>
      <c r="D3067" s="101"/>
      <c r="E3067" s="79"/>
    </row>
    <row r="3068" spans="1:5" ht="14.85" customHeight="1" outlineLevel="1" x14ac:dyDescent="0.25">
      <c r="A3068" s="101" t="s">
        <v>341</v>
      </c>
      <c r="B3068" s="102" t="s">
        <v>7162</v>
      </c>
      <c r="C3068" s="101" t="s">
        <v>7163</v>
      </c>
      <c r="D3068" s="101"/>
      <c r="E3068" s="79"/>
    </row>
    <row r="3069" spans="1:5" ht="14.85" customHeight="1" outlineLevel="1" x14ac:dyDescent="0.25">
      <c r="A3069" s="101" t="s">
        <v>341</v>
      </c>
      <c r="B3069" s="102" t="s">
        <v>1290</v>
      </c>
      <c r="C3069" s="101" t="s">
        <v>7164</v>
      </c>
      <c r="D3069" s="101"/>
      <c r="E3069" s="79"/>
    </row>
    <row r="3070" spans="1:5" ht="14.85" customHeight="1" outlineLevel="1" x14ac:dyDescent="0.25">
      <c r="A3070" s="101" t="s">
        <v>341</v>
      </c>
      <c r="B3070" s="102" t="s">
        <v>7165</v>
      </c>
      <c r="C3070" s="101" t="s">
        <v>7166</v>
      </c>
      <c r="D3070" s="101"/>
      <c r="E3070" s="79"/>
    </row>
    <row r="3071" spans="1:5" ht="14.85" customHeight="1" outlineLevel="1" x14ac:dyDescent="0.25">
      <c r="A3071" s="101" t="s">
        <v>341</v>
      </c>
      <c r="B3071" s="102" t="s">
        <v>7167</v>
      </c>
      <c r="C3071" s="101" t="s">
        <v>7168</v>
      </c>
      <c r="D3071" s="101"/>
      <c r="E3071" s="79"/>
    </row>
    <row r="3072" spans="1:5" ht="14.85" customHeight="1" outlineLevel="1" x14ac:dyDescent="0.25">
      <c r="A3072" s="101" t="s">
        <v>341</v>
      </c>
      <c r="B3072" s="102" t="s">
        <v>7169</v>
      </c>
      <c r="C3072" s="101" t="s">
        <v>7170</v>
      </c>
      <c r="D3072" s="101"/>
      <c r="E3072" s="79"/>
    </row>
    <row r="3073" spans="1:5" ht="14.85" customHeight="1" outlineLevel="1" x14ac:dyDescent="0.25">
      <c r="A3073" s="101" t="s">
        <v>341</v>
      </c>
      <c r="B3073" s="102" t="s">
        <v>7171</v>
      </c>
      <c r="C3073" s="101" t="s">
        <v>7172</v>
      </c>
      <c r="D3073" s="101"/>
      <c r="E3073" s="79"/>
    </row>
    <row r="3074" spans="1:5" ht="14.85" customHeight="1" outlineLevel="1" x14ac:dyDescent="0.25">
      <c r="A3074" s="101" t="s">
        <v>341</v>
      </c>
      <c r="B3074" s="102" t="s">
        <v>7173</v>
      </c>
      <c r="C3074" s="101" t="s">
        <v>7174</v>
      </c>
      <c r="D3074" s="101"/>
      <c r="E3074" s="79"/>
    </row>
    <row r="3075" spans="1:5" ht="14.85" customHeight="1" outlineLevel="1" x14ac:dyDescent="0.25">
      <c r="A3075" s="101" t="s">
        <v>341</v>
      </c>
      <c r="B3075" s="102" t="s">
        <v>7175</v>
      </c>
      <c r="C3075" s="101" t="s">
        <v>7176</v>
      </c>
      <c r="D3075" s="101"/>
      <c r="E3075" s="79"/>
    </row>
    <row r="3076" spans="1:5" ht="14.85" customHeight="1" outlineLevel="1" x14ac:dyDescent="0.25">
      <c r="A3076" s="101" t="s">
        <v>341</v>
      </c>
      <c r="B3076" s="102" t="s">
        <v>7177</v>
      </c>
      <c r="C3076" s="101" t="s">
        <v>7178</v>
      </c>
      <c r="D3076" s="101"/>
      <c r="E3076" s="79"/>
    </row>
    <row r="3077" spans="1:5" ht="14.85" customHeight="1" outlineLevel="1" x14ac:dyDescent="0.25">
      <c r="A3077" s="101" t="s">
        <v>341</v>
      </c>
      <c r="B3077" s="102" t="s">
        <v>7179</v>
      </c>
      <c r="C3077" s="101" t="s">
        <v>7180</v>
      </c>
      <c r="D3077" s="101"/>
      <c r="E3077" s="79"/>
    </row>
    <row r="3078" spans="1:5" ht="14.85" customHeight="1" outlineLevel="1" x14ac:dyDescent="0.25">
      <c r="A3078" s="101" t="s">
        <v>341</v>
      </c>
      <c r="B3078" s="102" t="s">
        <v>7181</v>
      </c>
      <c r="C3078" s="101" t="s">
        <v>7182</v>
      </c>
      <c r="D3078" s="101"/>
      <c r="E3078" s="79"/>
    </row>
    <row r="3079" spans="1:5" ht="14.85" customHeight="1" outlineLevel="1" x14ac:dyDescent="0.25">
      <c r="A3079" s="101" t="s">
        <v>341</v>
      </c>
      <c r="B3079" s="102" t="s">
        <v>7183</v>
      </c>
      <c r="C3079" s="101" t="s">
        <v>7184</v>
      </c>
      <c r="D3079" s="101"/>
      <c r="E3079" s="79"/>
    </row>
    <row r="3080" spans="1:5" ht="14.85" customHeight="1" outlineLevel="1" x14ac:dyDescent="0.25">
      <c r="A3080" s="101" t="s">
        <v>341</v>
      </c>
      <c r="B3080" s="102" t="s">
        <v>7185</v>
      </c>
      <c r="C3080" s="101" t="s">
        <v>7186</v>
      </c>
      <c r="D3080" s="101"/>
      <c r="E3080" s="79"/>
    </row>
    <row r="3081" spans="1:5" ht="14.85" customHeight="1" outlineLevel="1" x14ac:dyDescent="0.25">
      <c r="A3081" s="101" t="s">
        <v>341</v>
      </c>
      <c r="B3081" s="102" t="s">
        <v>7187</v>
      </c>
      <c r="C3081" s="101" t="s">
        <v>7188</v>
      </c>
      <c r="D3081" s="101"/>
      <c r="E3081" s="79"/>
    </row>
    <row r="3082" spans="1:5" ht="14.85" customHeight="1" outlineLevel="1" x14ac:dyDescent="0.25">
      <c r="A3082" s="101" t="s">
        <v>341</v>
      </c>
      <c r="B3082" s="102" t="s">
        <v>7189</v>
      </c>
      <c r="C3082" s="101" t="s">
        <v>7190</v>
      </c>
      <c r="D3082" s="101"/>
      <c r="E3082" s="79"/>
    </row>
    <row r="3083" spans="1:5" ht="14.85" customHeight="1" outlineLevel="1" x14ac:dyDescent="0.25">
      <c r="A3083" s="101" t="s">
        <v>341</v>
      </c>
      <c r="B3083" s="102" t="s">
        <v>7191</v>
      </c>
      <c r="C3083" s="101" t="s">
        <v>7192</v>
      </c>
      <c r="D3083" s="101"/>
      <c r="E3083" s="79"/>
    </row>
    <row r="3084" spans="1:5" ht="14.85" customHeight="1" outlineLevel="1" x14ac:dyDescent="0.25">
      <c r="A3084" s="101" t="s">
        <v>341</v>
      </c>
      <c r="B3084" s="102" t="s">
        <v>7193</v>
      </c>
      <c r="C3084" s="101" t="s">
        <v>7194</v>
      </c>
      <c r="D3084" s="101"/>
      <c r="E3084" s="79"/>
    </row>
    <row r="3085" spans="1:5" ht="14.85" customHeight="1" outlineLevel="1" x14ac:dyDescent="0.25">
      <c r="A3085" s="101" t="s">
        <v>341</v>
      </c>
      <c r="B3085" s="102" t="s">
        <v>7195</v>
      </c>
      <c r="C3085" s="101" t="s">
        <v>7196</v>
      </c>
      <c r="D3085" s="101"/>
      <c r="E3085" s="79"/>
    </row>
    <row r="3086" spans="1:5" ht="14.85" customHeight="1" outlineLevel="1" x14ac:dyDescent="0.25">
      <c r="A3086" s="101" t="s">
        <v>341</v>
      </c>
      <c r="B3086" s="102" t="s">
        <v>7197</v>
      </c>
      <c r="C3086" s="101" t="s">
        <v>7198</v>
      </c>
      <c r="D3086" s="101"/>
      <c r="E3086" s="79"/>
    </row>
    <row r="3087" spans="1:5" ht="14.85" customHeight="1" outlineLevel="1" x14ac:dyDescent="0.25">
      <c r="A3087" s="101" t="s">
        <v>341</v>
      </c>
      <c r="B3087" s="102" t="s">
        <v>7199</v>
      </c>
      <c r="C3087" s="101" t="s">
        <v>7200</v>
      </c>
      <c r="D3087" s="101"/>
      <c r="E3087" s="79"/>
    </row>
    <row r="3088" spans="1:5" ht="14.85" customHeight="1" outlineLevel="1" x14ac:dyDescent="0.25">
      <c r="A3088" s="101" t="s">
        <v>341</v>
      </c>
      <c r="B3088" s="102" t="s">
        <v>7201</v>
      </c>
      <c r="C3088" s="101" t="s">
        <v>7202</v>
      </c>
      <c r="D3088" s="101"/>
      <c r="E3088" s="79"/>
    </row>
    <row r="3089" spans="1:5" ht="14.85" customHeight="1" outlineLevel="1" x14ac:dyDescent="0.25">
      <c r="A3089" s="101" t="s">
        <v>341</v>
      </c>
      <c r="B3089" s="102" t="s">
        <v>7203</v>
      </c>
      <c r="C3089" s="101" t="s">
        <v>7204</v>
      </c>
      <c r="D3089" s="101"/>
      <c r="E3089" s="79"/>
    </row>
    <row r="3090" spans="1:5" ht="14.85" customHeight="1" x14ac:dyDescent="0.25">
      <c r="A3090" s="212" t="s">
        <v>341</v>
      </c>
      <c r="B3090" s="213" t="s">
        <v>6716</v>
      </c>
      <c r="C3090" s="212" t="s">
        <v>6717</v>
      </c>
      <c r="D3090" s="212" t="s">
        <v>6718</v>
      </c>
      <c r="E3090" s="79"/>
    </row>
    <row r="3091" spans="1:5" ht="14.85" customHeight="1" x14ac:dyDescent="0.25">
      <c r="A3091" s="101" t="s">
        <v>91</v>
      </c>
      <c r="B3091" s="102"/>
      <c r="C3091" s="101" t="s">
        <v>7205</v>
      </c>
      <c r="D3091" s="101" t="s">
        <v>7206</v>
      </c>
      <c r="E3091" s="79"/>
    </row>
    <row r="3092" spans="1:5" ht="14.85" customHeight="1" x14ac:dyDescent="0.25">
      <c r="A3092" s="101" t="s">
        <v>418</v>
      </c>
      <c r="B3092" s="102" t="s">
        <v>6796</v>
      </c>
      <c r="C3092" s="101" t="s">
        <v>7207</v>
      </c>
      <c r="D3092" s="101" t="s">
        <v>7208</v>
      </c>
      <c r="E3092" s="79"/>
    </row>
    <row r="3093" spans="1:5" ht="14.85" customHeight="1" x14ac:dyDescent="0.25">
      <c r="A3093" s="101" t="s">
        <v>418</v>
      </c>
      <c r="B3093" s="102" t="s">
        <v>6809</v>
      </c>
      <c r="C3093" s="101" t="s">
        <v>7209</v>
      </c>
      <c r="D3093" s="101" t="s">
        <v>7210</v>
      </c>
      <c r="E3093" s="79"/>
    </row>
    <row r="3094" spans="1:5" ht="14.85" customHeight="1" x14ac:dyDescent="0.25">
      <c r="A3094" s="101" t="s">
        <v>418</v>
      </c>
      <c r="B3094" s="102" t="s">
        <v>7211</v>
      </c>
      <c r="C3094" s="101" t="s">
        <v>7212</v>
      </c>
      <c r="D3094" s="101" t="s">
        <v>7213</v>
      </c>
      <c r="E3094" s="79"/>
    </row>
    <row r="3095" spans="1:5" ht="14.85" customHeight="1" x14ac:dyDescent="0.25">
      <c r="A3095" s="101" t="s">
        <v>418</v>
      </c>
      <c r="B3095" s="102" t="s">
        <v>6976</v>
      </c>
      <c r="C3095" s="101" t="s">
        <v>7214</v>
      </c>
      <c r="D3095" s="101" t="s">
        <v>7215</v>
      </c>
      <c r="E3095" s="79"/>
    </row>
    <row r="3096" spans="1:5" ht="14.85" customHeight="1" x14ac:dyDescent="0.25">
      <c r="A3096" s="101" t="s">
        <v>418</v>
      </c>
      <c r="B3096" s="102" t="s">
        <v>7096</v>
      </c>
      <c r="C3096" s="101" t="s">
        <v>7216</v>
      </c>
      <c r="D3096" s="101" t="s">
        <v>7217</v>
      </c>
      <c r="E3096" s="79"/>
    </row>
    <row r="3097" spans="1:5" ht="14.85" customHeight="1" x14ac:dyDescent="0.25">
      <c r="A3097" s="101" t="s">
        <v>96</v>
      </c>
      <c r="B3097" s="102" t="s">
        <v>6697</v>
      </c>
      <c r="C3097" s="101" t="s">
        <v>7218</v>
      </c>
      <c r="D3097" s="101" t="s">
        <v>7219</v>
      </c>
      <c r="E3097" s="79"/>
    </row>
    <row r="3098" spans="1:5" ht="14.85" customHeight="1" x14ac:dyDescent="0.25">
      <c r="A3098" s="101" t="s">
        <v>96</v>
      </c>
      <c r="B3098" s="102" t="s">
        <v>7220</v>
      </c>
      <c r="C3098" s="101" t="s">
        <v>7221</v>
      </c>
      <c r="D3098" s="101" t="s">
        <v>7222</v>
      </c>
      <c r="E3098" s="79"/>
    </row>
    <row r="3099" spans="1:5" ht="14.85" customHeight="1" x14ac:dyDescent="0.25">
      <c r="A3099" s="101" t="s">
        <v>96</v>
      </c>
      <c r="B3099" s="102" t="s">
        <v>1476</v>
      </c>
      <c r="C3099" s="101" t="s">
        <v>7223</v>
      </c>
      <c r="D3099" s="101" t="s">
        <v>7224</v>
      </c>
      <c r="E3099" s="79"/>
    </row>
    <row r="3100" spans="1:5" ht="14.85" customHeight="1" x14ac:dyDescent="0.25">
      <c r="A3100" s="101" t="s">
        <v>96</v>
      </c>
      <c r="B3100" s="102" t="s">
        <v>1491</v>
      </c>
      <c r="C3100" s="101" t="s">
        <v>7225</v>
      </c>
      <c r="D3100" s="101" t="s">
        <v>7226</v>
      </c>
      <c r="E3100" s="79"/>
    </row>
    <row r="3101" spans="1:5" ht="14.85" customHeight="1" x14ac:dyDescent="0.25">
      <c r="A3101" s="101" t="s">
        <v>96</v>
      </c>
      <c r="B3101" s="102" t="s">
        <v>7227</v>
      </c>
      <c r="C3101" s="101" t="s">
        <v>7228</v>
      </c>
      <c r="D3101" s="101" t="s">
        <v>7229</v>
      </c>
      <c r="E3101" s="79"/>
    </row>
    <row r="3102" spans="1:5" ht="14.85" customHeight="1" x14ac:dyDescent="0.25">
      <c r="A3102" s="101" t="s">
        <v>1063</v>
      </c>
      <c r="B3102" s="102" t="s">
        <v>7230</v>
      </c>
      <c r="C3102" s="101" t="s">
        <v>7231</v>
      </c>
      <c r="D3102" s="101" t="s">
        <v>7232</v>
      </c>
      <c r="E3102" s="79"/>
    </row>
    <row r="3103" spans="1:5" ht="14.85" customHeight="1" x14ac:dyDescent="0.25">
      <c r="A3103" s="101" t="s">
        <v>1063</v>
      </c>
      <c r="B3103" s="102" t="s">
        <v>7233</v>
      </c>
      <c r="C3103" s="101" t="s">
        <v>7234</v>
      </c>
      <c r="D3103" s="101" t="s">
        <v>7235</v>
      </c>
      <c r="E3103" s="79"/>
    </row>
    <row r="3104" spans="1:5" ht="14.85" customHeight="1" x14ac:dyDescent="0.25">
      <c r="A3104" s="101" t="s">
        <v>1063</v>
      </c>
      <c r="B3104" s="102" t="s">
        <v>7236</v>
      </c>
      <c r="C3104" s="101" t="s">
        <v>7237</v>
      </c>
      <c r="D3104" s="101" t="s">
        <v>7238</v>
      </c>
      <c r="E3104" s="79"/>
    </row>
    <row r="3105" spans="1:5" ht="14.85" customHeight="1" x14ac:dyDescent="0.25">
      <c r="A3105" s="101" t="s">
        <v>1063</v>
      </c>
      <c r="B3105" s="102" t="s">
        <v>7239</v>
      </c>
      <c r="C3105" s="101" t="s">
        <v>7240</v>
      </c>
      <c r="D3105" s="101" t="s">
        <v>7241</v>
      </c>
      <c r="E3105" s="79"/>
    </row>
    <row r="3106" spans="1:5" ht="14.85" customHeight="1" x14ac:dyDescent="0.25">
      <c r="A3106" s="101" t="s">
        <v>1063</v>
      </c>
      <c r="B3106" s="102" t="s">
        <v>7242</v>
      </c>
      <c r="C3106" s="101" t="s">
        <v>7243</v>
      </c>
      <c r="D3106" s="101" t="s">
        <v>7244</v>
      </c>
      <c r="E3106" s="79"/>
    </row>
    <row r="3107" spans="1:5" ht="14.85" customHeight="1" x14ac:dyDescent="0.25">
      <c r="A3107" s="101" t="s">
        <v>1063</v>
      </c>
      <c r="B3107" s="102" t="s">
        <v>7245</v>
      </c>
      <c r="C3107" s="101" t="s">
        <v>7246</v>
      </c>
      <c r="D3107" s="101" t="s">
        <v>7247</v>
      </c>
      <c r="E3107" s="79"/>
    </row>
    <row r="3108" spans="1:5" ht="14.85" customHeight="1" x14ac:dyDescent="0.25">
      <c r="A3108" s="101" t="s">
        <v>522</v>
      </c>
      <c r="B3108" s="102" t="s">
        <v>7022</v>
      </c>
      <c r="C3108" s="101" t="s">
        <v>7248</v>
      </c>
      <c r="D3108" s="101" t="s">
        <v>7249</v>
      </c>
      <c r="E3108" s="79"/>
    </row>
    <row r="3109" spans="1:5" ht="14.85" customHeight="1" x14ac:dyDescent="0.25">
      <c r="A3109" s="101" t="s">
        <v>522</v>
      </c>
      <c r="B3109" s="102" t="s">
        <v>1476</v>
      </c>
      <c r="C3109" s="101" t="s">
        <v>7250</v>
      </c>
      <c r="D3109" s="101" t="s">
        <v>7251</v>
      </c>
      <c r="E3109" s="101" t="s">
        <v>7252</v>
      </c>
    </row>
    <row r="3110" spans="1:5" ht="14.85" customHeight="1" x14ac:dyDescent="0.25">
      <c r="A3110" s="101" t="s">
        <v>522</v>
      </c>
      <c r="B3110" s="102" t="s">
        <v>1470</v>
      </c>
      <c r="C3110" s="101" t="s">
        <v>7253</v>
      </c>
      <c r="D3110" s="101" t="s">
        <v>7254</v>
      </c>
      <c r="E3110" s="79"/>
    </row>
    <row r="3111" spans="1:5" ht="14.85" customHeight="1" x14ac:dyDescent="0.25">
      <c r="A3111" s="101" t="s">
        <v>256</v>
      </c>
      <c r="B3111" s="102" t="s">
        <v>7255</v>
      </c>
      <c r="C3111" s="101" t="s">
        <v>7256</v>
      </c>
      <c r="D3111" s="101" t="s">
        <v>7257</v>
      </c>
      <c r="E3111" s="79"/>
    </row>
    <row r="3112" spans="1:5" ht="14.85" customHeight="1" x14ac:dyDescent="0.25">
      <c r="A3112" s="101" t="s">
        <v>256</v>
      </c>
      <c r="B3112" s="102" t="s">
        <v>7258</v>
      </c>
      <c r="C3112" s="101" t="s">
        <v>7259</v>
      </c>
      <c r="D3112" s="101" t="s">
        <v>7260</v>
      </c>
      <c r="E3112" s="79"/>
    </row>
    <row r="3113" spans="1:5" ht="14.85" customHeight="1" x14ac:dyDescent="0.25">
      <c r="A3113" s="101" t="s">
        <v>256</v>
      </c>
      <c r="B3113" s="102" t="s">
        <v>7261</v>
      </c>
      <c r="C3113" s="101" t="s">
        <v>7262</v>
      </c>
      <c r="D3113" s="101" t="s">
        <v>7263</v>
      </c>
      <c r="E3113" s="79"/>
    </row>
    <row r="3114" spans="1:5" ht="14.85" customHeight="1" x14ac:dyDescent="0.25">
      <c r="A3114" s="101" t="s">
        <v>256</v>
      </c>
      <c r="B3114" s="102" t="s">
        <v>1491</v>
      </c>
      <c r="C3114" s="101" t="s">
        <v>7264</v>
      </c>
      <c r="D3114" s="101" t="s">
        <v>7265</v>
      </c>
      <c r="E3114" s="79"/>
    </row>
    <row r="3115" spans="1:5" ht="14.85" customHeight="1" x14ac:dyDescent="0.25">
      <c r="A3115" s="101" t="s">
        <v>256</v>
      </c>
      <c r="B3115" s="102" t="s">
        <v>7266</v>
      </c>
      <c r="C3115" s="101" t="s">
        <v>7267</v>
      </c>
      <c r="D3115" s="101" t="s">
        <v>7268</v>
      </c>
      <c r="E3115" s="79"/>
    </row>
    <row r="3116" spans="1:5" ht="14.85" customHeight="1" x14ac:dyDescent="0.25">
      <c r="A3116" s="101" t="s">
        <v>256</v>
      </c>
      <c r="B3116" s="102" t="s">
        <v>99</v>
      </c>
      <c r="C3116" s="101" t="s">
        <v>7269</v>
      </c>
      <c r="D3116" s="101" t="s">
        <v>7270</v>
      </c>
      <c r="E3116" s="79"/>
    </row>
    <row r="3117" spans="1:5" ht="14.85" customHeight="1" x14ac:dyDescent="0.25">
      <c r="A3117" s="101" t="s">
        <v>652</v>
      </c>
      <c r="B3117" s="102" t="s">
        <v>1481</v>
      </c>
      <c r="C3117" s="101" t="s">
        <v>7271</v>
      </c>
      <c r="D3117" s="101"/>
      <c r="E3117" s="79"/>
    </row>
    <row r="3118" spans="1:5" ht="14.85" customHeight="1" x14ac:dyDescent="0.25">
      <c r="A3118" s="101" t="s">
        <v>652</v>
      </c>
      <c r="B3118" s="102" t="s">
        <v>7272</v>
      </c>
      <c r="C3118" s="101" t="s">
        <v>7273</v>
      </c>
      <c r="D3118" s="101"/>
      <c r="E3118" s="79"/>
    </row>
    <row r="3119" spans="1:5" ht="14.85" customHeight="1" x14ac:dyDescent="0.25">
      <c r="A3119" s="101" t="s">
        <v>652</v>
      </c>
      <c r="B3119" s="102" t="s">
        <v>6748</v>
      </c>
      <c r="C3119" s="101" t="s">
        <v>7274</v>
      </c>
      <c r="D3119" s="101"/>
      <c r="E3119" s="79"/>
    </row>
    <row r="3120" spans="1:5" ht="14.85" customHeight="1" x14ac:dyDescent="0.25">
      <c r="A3120" s="101" t="s">
        <v>652</v>
      </c>
      <c r="B3120" s="102" t="s">
        <v>6778</v>
      </c>
      <c r="C3120" s="101" t="s">
        <v>7275</v>
      </c>
      <c r="D3120" s="101"/>
      <c r="E3120" s="79"/>
    </row>
    <row r="3121" spans="1:5" ht="14.85" customHeight="1" x14ac:dyDescent="0.25">
      <c r="A3121" s="101" t="s">
        <v>652</v>
      </c>
      <c r="B3121" s="102" t="s">
        <v>1484</v>
      </c>
      <c r="C3121" s="101" t="s">
        <v>7276</v>
      </c>
      <c r="D3121" s="101"/>
      <c r="E3121" s="79"/>
    </row>
    <row r="3122" spans="1:5" ht="14.85" customHeight="1" x14ac:dyDescent="0.25">
      <c r="A3122" s="101" t="s">
        <v>652</v>
      </c>
      <c r="B3122" s="102" t="s">
        <v>6849</v>
      </c>
      <c r="C3122" s="101" t="s">
        <v>7277</v>
      </c>
      <c r="D3122" s="101"/>
      <c r="E3122" s="79"/>
    </row>
    <row r="3123" spans="1:5" ht="14.85" customHeight="1" x14ac:dyDescent="0.25">
      <c r="A3123" s="101" t="s">
        <v>652</v>
      </c>
      <c r="B3123" s="102" t="s">
        <v>7278</v>
      </c>
      <c r="C3123" s="101" t="s">
        <v>7279</v>
      </c>
      <c r="D3123" s="101"/>
      <c r="E3123" s="79"/>
    </row>
    <row r="3124" spans="1:5" ht="14.85" customHeight="1" x14ac:dyDescent="0.25">
      <c r="A3124" s="101" t="s">
        <v>652</v>
      </c>
      <c r="B3124" s="102" t="s">
        <v>1466</v>
      </c>
      <c r="C3124" s="101" t="s">
        <v>7280</v>
      </c>
      <c r="D3124" s="101"/>
      <c r="E3124" s="79"/>
    </row>
    <row r="3125" spans="1:5" ht="14.85" customHeight="1" x14ac:dyDescent="0.25">
      <c r="A3125" s="101" t="s">
        <v>652</v>
      </c>
      <c r="B3125" s="102" t="s">
        <v>6986</v>
      </c>
      <c r="C3125" s="101" t="s">
        <v>7281</v>
      </c>
      <c r="D3125" s="101"/>
      <c r="E3125" s="79"/>
    </row>
    <row r="3126" spans="1:5" ht="14.85" customHeight="1" x14ac:dyDescent="0.25">
      <c r="A3126" s="101" t="s">
        <v>652</v>
      </c>
      <c r="B3126" s="102" t="s">
        <v>7016</v>
      </c>
      <c r="C3126" s="101" t="s">
        <v>7282</v>
      </c>
      <c r="D3126" s="101"/>
      <c r="E3126" s="79"/>
    </row>
    <row r="3127" spans="1:5" ht="14.85" customHeight="1" x14ac:dyDescent="0.25">
      <c r="A3127" s="101" t="s">
        <v>652</v>
      </c>
      <c r="B3127" s="102" t="s">
        <v>1476</v>
      </c>
      <c r="C3127" s="101" t="s">
        <v>7250</v>
      </c>
      <c r="D3127" s="101"/>
      <c r="E3127" s="79"/>
    </row>
    <row r="3128" spans="1:5" ht="14.85" customHeight="1" x14ac:dyDescent="0.25">
      <c r="A3128" s="101" t="s">
        <v>652</v>
      </c>
      <c r="B3128" s="102" t="s">
        <v>7283</v>
      </c>
      <c r="C3128" s="101" t="s">
        <v>7284</v>
      </c>
      <c r="D3128" s="101"/>
      <c r="E3128" s="79"/>
    </row>
    <row r="3129" spans="1:5" ht="14.85" customHeight="1" x14ac:dyDescent="0.25">
      <c r="A3129" s="101" t="s">
        <v>807</v>
      </c>
      <c r="B3129" s="102" t="s">
        <v>1481</v>
      </c>
      <c r="C3129" s="101" t="s">
        <v>7285</v>
      </c>
      <c r="D3129" s="101" t="s">
        <v>7286</v>
      </c>
      <c r="E3129" s="79"/>
    </row>
    <row r="3130" spans="1:5" ht="14.85" customHeight="1" x14ac:dyDescent="0.25">
      <c r="A3130" s="101" t="s">
        <v>807</v>
      </c>
      <c r="B3130" s="102" t="s">
        <v>1473</v>
      </c>
      <c r="C3130" s="101" t="s">
        <v>7287</v>
      </c>
      <c r="D3130" s="101" t="s">
        <v>7288</v>
      </c>
      <c r="E3130" s="79"/>
    </row>
    <row r="3131" spans="1:5" ht="14.85" customHeight="1" x14ac:dyDescent="0.25">
      <c r="A3131" s="101" t="s">
        <v>807</v>
      </c>
      <c r="B3131" s="102" t="s">
        <v>7289</v>
      </c>
      <c r="C3131" s="101" t="s">
        <v>7290</v>
      </c>
      <c r="D3131" s="101" t="s">
        <v>7291</v>
      </c>
      <c r="E3131" s="79" t="s">
        <v>7292</v>
      </c>
    </row>
    <row r="3132" spans="1:5" ht="14.85" customHeight="1" x14ac:dyDescent="0.25">
      <c r="A3132" s="101" t="s">
        <v>374</v>
      </c>
      <c r="B3132" s="102" t="s">
        <v>7293</v>
      </c>
      <c r="C3132" s="101" t="s">
        <v>7294</v>
      </c>
      <c r="D3132" s="101" t="s">
        <v>7295</v>
      </c>
      <c r="E3132" s="79" t="s">
        <v>7296</v>
      </c>
    </row>
    <row r="3133" spans="1:5" ht="14.85" customHeight="1" x14ac:dyDescent="0.25">
      <c r="A3133" s="101" t="s">
        <v>374</v>
      </c>
      <c r="B3133" s="102" t="s">
        <v>7297</v>
      </c>
      <c r="C3133" s="101" t="s">
        <v>7298</v>
      </c>
      <c r="D3133" s="101" t="s">
        <v>7299</v>
      </c>
      <c r="E3133" s="79"/>
    </row>
    <row r="3134" spans="1:5" ht="14.85" customHeight="1" x14ac:dyDescent="0.25">
      <c r="A3134" s="101" t="s">
        <v>374</v>
      </c>
      <c r="B3134" s="102" t="s">
        <v>7300</v>
      </c>
      <c r="C3134" s="101" t="s">
        <v>7301</v>
      </c>
      <c r="D3134" s="101" t="s">
        <v>7302</v>
      </c>
      <c r="E3134" s="79"/>
    </row>
    <row r="3135" spans="1:5" ht="14.85" customHeight="1" x14ac:dyDescent="0.25">
      <c r="A3135" s="101" t="s">
        <v>374</v>
      </c>
      <c r="B3135" s="102" t="s">
        <v>7303</v>
      </c>
      <c r="C3135" s="101" t="s">
        <v>7304</v>
      </c>
      <c r="D3135" s="101" t="s">
        <v>7305</v>
      </c>
      <c r="E3135" s="79"/>
    </row>
    <row r="3136" spans="1:5" ht="14.85" customHeight="1" x14ac:dyDescent="0.25">
      <c r="A3136" s="101" t="s">
        <v>374</v>
      </c>
      <c r="B3136" s="102" t="s">
        <v>7306</v>
      </c>
      <c r="C3136" s="101" t="s">
        <v>7307</v>
      </c>
      <c r="D3136" s="101" t="s">
        <v>7308</v>
      </c>
      <c r="E3136" s="79"/>
    </row>
    <row r="3137" spans="1:5" ht="14.85" customHeight="1" x14ac:dyDescent="0.25">
      <c r="A3137" s="101" t="s">
        <v>374</v>
      </c>
      <c r="B3137" s="102" t="s">
        <v>7309</v>
      </c>
      <c r="C3137" s="101" t="s">
        <v>7310</v>
      </c>
      <c r="D3137" s="101" t="s">
        <v>7311</v>
      </c>
      <c r="E3137" s="79"/>
    </row>
    <row r="3138" spans="1:5" ht="14.85" customHeight="1" x14ac:dyDescent="0.25">
      <c r="A3138" s="101" t="s">
        <v>374</v>
      </c>
      <c r="B3138" s="102" t="s">
        <v>7312</v>
      </c>
      <c r="C3138" s="101" t="s">
        <v>7313</v>
      </c>
      <c r="D3138" s="101" t="s">
        <v>7314</v>
      </c>
      <c r="E3138" s="79"/>
    </row>
    <row r="3139" spans="1:5" ht="14.85" customHeight="1" x14ac:dyDescent="0.25">
      <c r="A3139" s="101" t="s">
        <v>374</v>
      </c>
      <c r="B3139" s="102" t="s">
        <v>7315</v>
      </c>
      <c r="C3139" s="101" t="s">
        <v>7316</v>
      </c>
      <c r="D3139" s="101" t="s">
        <v>7317</v>
      </c>
      <c r="E3139" s="79"/>
    </row>
    <row r="3140" spans="1:5" ht="14.85" customHeight="1" x14ac:dyDescent="0.25">
      <c r="A3140" s="101" t="s">
        <v>374</v>
      </c>
      <c r="B3140" s="102" t="s">
        <v>7318</v>
      </c>
      <c r="C3140" s="101" t="s">
        <v>7319</v>
      </c>
      <c r="D3140" s="101" t="s">
        <v>7320</v>
      </c>
      <c r="E3140" s="79"/>
    </row>
    <row r="3141" spans="1:5" ht="14.85" customHeight="1" x14ac:dyDescent="0.25">
      <c r="A3141" s="101" t="s">
        <v>374</v>
      </c>
      <c r="B3141" s="102" t="s">
        <v>7321</v>
      </c>
      <c r="C3141" s="101" t="s">
        <v>7322</v>
      </c>
      <c r="D3141" s="101" t="s">
        <v>7323</v>
      </c>
      <c r="E3141" s="79"/>
    </row>
    <row r="3142" spans="1:5" ht="14.85" customHeight="1" x14ac:dyDescent="0.25">
      <c r="A3142" s="101" t="s">
        <v>374</v>
      </c>
      <c r="B3142" s="102" t="s">
        <v>7324</v>
      </c>
      <c r="C3142" s="101" t="s">
        <v>7325</v>
      </c>
      <c r="D3142" s="101" t="s">
        <v>7326</v>
      </c>
      <c r="E3142" s="79"/>
    </row>
    <row r="3143" spans="1:5" ht="14.85" customHeight="1" x14ac:dyDescent="0.25">
      <c r="A3143" s="101" t="s">
        <v>374</v>
      </c>
      <c r="B3143" s="102" t="s">
        <v>7327</v>
      </c>
      <c r="C3143" s="101" t="s">
        <v>7328</v>
      </c>
      <c r="D3143" s="101" t="s">
        <v>7329</v>
      </c>
      <c r="E3143" s="79"/>
    </row>
    <row r="3144" spans="1:5" ht="14.85" customHeight="1" x14ac:dyDescent="0.25">
      <c r="A3144" s="101" t="s">
        <v>374</v>
      </c>
      <c r="B3144" s="102" t="s">
        <v>7330</v>
      </c>
      <c r="C3144" s="101" t="s">
        <v>7331</v>
      </c>
      <c r="D3144" s="101" t="s">
        <v>7332</v>
      </c>
      <c r="E3144" s="79"/>
    </row>
    <row r="3145" spans="1:5" ht="14.85" customHeight="1" x14ac:dyDescent="0.25">
      <c r="A3145" s="101" t="s">
        <v>374</v>
      </c>
      <c r="B3145" s="102" t="s">
        <v>7333</v>
      </c>
      <c r="C3145" s="101" t="s">
        <v>7334</v>
      </c>
      <c r="D3145" s="101" t="s">
        <v>7335</v>
      </c>
      <c r="E3145" s="79"/>
    </row>
    <row r="3146" spans="1:5" ht="14.85" customHeight="1" x14ac:dyDescent="0.25">
      <c r="A3146" s="101" t="s">
        <v>500</v>
      </c>
      <c r="B3146" s="102" t="s">
        <v>7336</v>
      </c>
      <c r="C3146" s="101" t="s">
        <v>7337</v>
      </c>
      <c r="D3146" s="101" t="s">
        <v>7338</v>
      </c>
      <c r="E3146" s="79"/>
    </row>
    <row r="3147" spans="1:5" ht="14.85" customHeight="1" x14ac:dyDescent="0.25">
      <c r="A3147" s="101" t="s">
        <v>500</v>
      </c>
      <c r="B3147" s="102" t="s">
        <v>7339</v>
      </c>
      <c r="C3147" s="101" t="s">
        <v>7340</v>
      </c>
      <c r="D3147" s="101" t="s">
        <v>7341</v>
      </c>
      <c r="E3147" s="79"/>
    </row>
    <row r="3148" spans="1:5" ht="14.85" customHeight="1" x14ac:dyDescent="0.25">
      <c r="A3148" s="101" t="s">
        <v>500</v>
      </c>
      <c r="B3148" s="102" t="s">
        <v>7342</v>
      </c>
      <c r="C3148" s="101" t="s">
        <v>7343</v>
      </c>
      <c r="D3148" s="101" t="s">
        <v>7344</v>
      </c>
      <c r="E3148" s="79"/>
    </row>
    <row r="3149" spans="1:5" ht="14.85" customHeight="1" x14ac:dyDescent="0.25">
      <c r="A3149" s="101" t="s">
        <v>500</v>
      </c>
      <c r="B3149" s="102" t="s">
        <v>7345</v>
      </c>
      <c r="C3149" s="101" t="s">
        <v>7346</v>
      </c>
      <c r="D3149" s="101" t="s">
        <v>7347</v>
      </c>
      <c r="E3149" s="79"/>
    </row>
    <row r="3150" spans="1:5" ht="14.85" customHeight="1" x14ac:dyDescent="0.25">
      <c r="A3150" s="101" t="s">
        <v>500</v>
      </c>
      <c r="B3150" s="102" t="s">
        <v>7348</v>
      </c>
      <c r="C3150" s="101" t="s">
        <v>7349</v>
      </c>
      <c r="D3150" s="101" t="s">
        <v>7350</v>
      </c>
      <c r="E3150" s="79"/>
    </row>
    <row r="3151" spans="1:5" ht="14.85" customHeight="1" x14ac:dyDescent="0.25">
      <c r="A3151" s="101" t="s">
        <v>500</v>
      </c>
      <c r="B3151" s="102" t="s">
        <v>7351</v>
      </c>
      <c r="C3151" s="101" t="s">
        <v>7352</v>
      </c>
      <c r="D3151" s="101" t="s">
        <v>7353</v>
      </c>
      <c r="E3151" s="79"/>
    </row>
    <row r="3152" spans="1:5" ht="14.85" customHeight="1" x14ac:dyDescent="0.25">
      <c r="A3152" s="101" t="s">
        <v>500</v>
      </c>
      <c r="B3152" s="102" t="s">
        <v>7354</v>
      </c>
      <c r="C3152" s="101" t="s">
        <v>7355</v>
      </c>
      <c r="D3152" s="101" t="s">
        <v>7356</v>
      </c>
      <c r="E3152" s="79"/>
    </row>
    <row r="3153" spans="1:5" ht="14.85" customHeight="1" x14ac:dyDescent="0.25">
      <c r="A3153" s="101" t="s">
        <v>500</v>
      </c>
      <c r="B3153" s="102" t="s">
        <v>136</v>
      </c>
      <c r="C3153" s="101" t="s">
        <v>7357</v>
      </c>
      <c r="D3153" s="101" t="s">
        <v>7358</v>
      </c>
      <c r="E3153" s="79"/>
    </row>
    <row r="3154" spans="1:5" ht="14.85" customHeight="1" x14ac:dyDescent="0.25">
      <c r="A3154" s="101" t="s">
        <v>500</v>
      </c>
      <c r="B3154" s="102" t="s">
        <v>142</v>
      </c>
      <c r="C3154" s="101" t="s">
        <v>7359</v>
      </c>
      <c r="D3154" s="101" t="s">
        <v>7360</v>
      </c>
      <c r="E3154" s="79"/>
    </row>
    <row r="3155" spans="1:5" ht="14.85" customHeight="1" x14ac:dyDescent="0.25">
      <c r="A3155" s="101" t="s">
        <v>500</v>
      </c>
      <c r="B3155" s="102" t="s">
        <v>146</v>
      </c>
      <c r="C3155" s="101" t="s">
        <v>7361</v>
      </c>
      <c r="D3155" s="101" t="s">
        <v>7362</v>
      </c>
      <c r="E3155" s="79"/>
    </row>
    <row r="3156" spans="1:5" ht="14.85" customHeight="1" x14ac:dyDescent="0.25">
      <c r="A3156" s="101" t="s">
        <v>500</v>
      </c>
      <c r="B3156" s="102" t="s">
        <v>152</v>
      </c>
      <c r="C3156" s="101" t="s">
        <v>7363</v>
      </c>
      <c r="D3156" s="101" t="s">
        <v>7364</v>
      </c>
      <c r="E3156" s="79"/>
    </row>
    <row r="3157" spans="1:5" ht="14.85" customHeight="1" x14ac:dyDescent="0.25">
      <c r="A3157" s="101" t="s">
        <v>500</v>
      </c>
      <c r="B3157" s="102" t="s">
        <v>156</v>
      </c>
      <c r="C3157" s="101" t="s">
        <v>7365</v>
      </c>
      <c r="D3157" s="101" t="s">
        <v>7366</v>
      </c>
      <c r="E3157" s="79" t="s">
        <v>7367</v>
      </c>
    </row>
    <row r="3158" spans="1:5" ht="14.85" customHeight="1" x14ac:dyDescent="0.25">
      <c r="A3158" s="101" t="s">
        <v>500</v>
      </c>
      <c r="B3158" s="102" t="s">
        <v>161</v>
      </c>
      <c r="C3158" s="101" t="s">
        <v>7368</v>
      </c>
      <c r="D3158" s="101" t="s">
        <v>7369</v>
      </c>
      <c r="E3158" s="79"/>
    </row>
    <row r="3159" spans="1:5" ht="14.85" customHeight="1" x14ac:dyDescent="0.25">
      <c r="A3159" s="101" t="s">
        <v>500</v>
      </c>
      <c r="B3159" s="102" t="s">
        <v>218</v>
      </c>
      <c r="C3159" s="101" t="s">
        <v>7370</v>
      </c>
      <c r="D3159" s="101" t="s">
        <v>7371</v>
      </c>
      <c r="E3159" s="79"/>
    </row>
    <row r="3160" spans="1:5" ht="14.85" customHeight="1" x14ac:dyDescent="0.25">
      <c r="A3160" s="101" t="s">
        <v>392</v>
      </c>
      <c r="B3160" s="102" t="s">
        <v>7293</v>
      </c>
      <c r="C3160" s="101" t="s">
        <v>7372</v>
      </c>
      <c r="D3160" s="101" t="s">
        <v>7373</v>
      </c>
      <c r="E3160" s="79" t="s">
        <v>7374</v>
      </c>
    </row>
    <row r="3161" spans="1:5" ht="14.85" customHeight="1" x14ac:dyDescent="0.25">
      <c r="A3161" s="101" t="s">
        <v>392</v>
      </c>
      <c r="B3161" s="102" t="s">
        <v>7297</v>
      </c>
      <c r="C3161" s="101" t="s">
        <v>7375</v>
      </c>
      <c r="D3161" s="101" t="s">
        <v>7376</v>
      </c>
      <c r="E3161" s="79" t="s">
        <v>7377</v>
      </c>
    </row>
    <row r="3162" spans="1:5" ht="14.85" customHeight="1" x14ac:dyDescent="0.25">
      <c r="A3162" s="101" t="s">
        <v>392</v>
      </c>
      <c r="B3162" s="102" t="s">
        <v>7303</v>
      </c>
      <c r="C3162" s="101" t="s">
        <v>7378</v>
      </c>
      <c r="D3162" s="101" t="s">
        <v>7379</v>
      </c>
      <c r="E3162" s="79" t="s">
        <v>7380</v>
      </c>
    </row>
    <row r="3163" spans="1:5" ht="14.85" customHeight="1" x14ac:dyDescent="0.25">
      <c r="A3163" s="101" t="s">
        <v>392</v>
      </c>
      <c r="B3163" s="102" t="s">
        <v>7306</v>
      </c>
      <c r="C3163" s="101" t="s">
        <v>7381</v>
      </c>
      <c r="D3163" s="101" t="s">
        <v>7382</v>
      </c>
      <c r="E3163" s="79" t="s">
        <v>7383</v>
      </c>
    </row>
    <row r="3164" spans="1:5" ht="14.85" customHeight="1" x14ac:dyDescent="0.25">
      <c r="A3164" s="101" t="s">
        <v>392</v>
      </c>
      <c r="B3164" s="102" t="s">
        <v>7309</v>
      </c>
      <c r="C3164" s="101" t="s">
        <v>7384</v>
      </c>
      <c r="D3164" s="101" t="s">
        <v>7385</v>
      </c>
      <c r="E3164" s="79" t="s">
        <v>7386</v>
      </c>
    </row>
    <row r="3165" spans="1:5" ht="14.85" customHeight="1" x14ac:dyDescent="0.25">
      <c r="A3165" s="101" t="s">
        <v>392</v>
      </c>
      <c r="B3165" s="102" t="s">
        <v>7387</v>
      </c>
      <c r="C3165" s="101" t="s">
        <v>7388</v>
      </c>
      <c r="D3165" s="101" t="s">
        <v>7389</v>
      </c>
      <c r="E3165" s="79" t="s">
        <v>7390</v>
      </c>
    </row>
    <row r="3166" spans="1:5" ht="14.85" customHeight="1" x14ac:dyDescent="0.25">
      <c r="A3166" s="101" t="s">
        <v>392</v>
      </c>
      <c r="B3166" s="102" t="s">
        <v>7391</v>
      </c>
      <c r="C3166" s="101" t="s">
        <v>7392</v>
      </c>
      <c r="D3166" s="101" t="s">
        <v>7393</v>
      </c>
      <c r="E3166" s="79" t="s">
        <v>7394</v>
      </c>
    </row>
    <row r="3167" spans="1:5" ht="14.85" customHeight="1" x14ac:dyDescent="0.25">
      <c r="A3167" s="101" t="s">
        <v>392</v>
      </c>
      <c r="B3167" s="102" t="s">
        <v>7312</v>
      </c>
      <c r="C3167" s="101" t="s">
        <v>7395</v>
      </c>
      <c r="D3167" s="101" t="s">
        <v>7396</v>
      </c>
      <c r="E3167" s="79" t="s">
        <v>7397</v>
      </c>
    </row>
    <row r="3168" spans="1:5" ht="14.85" customHeight="1" x14ac:dyDescent="0.25">
      <c r="A3168" s="101" t="s">
        <v>392</v>
      </c>
      <c r="B3168" s="102" t="s">
        <v>7398</v>
      </c>
      <c r="C3168" s="101" t="s">
        <v>7399</v>
      </c>
      <c r="D3168" s="101" t="s">
        <v>7400</v>
      </c>
      <c r="E3168" s="79" t="s">
        <v>7401</v>
      </c>
    </row>
    <row r="3169" spans="1:5" ht="14.85" customHeight="1" x14ac:dyDescent="0.25">
      <c r="A3169" s="101" t="s">
        <v>392</v>
      </c>
      <c r="B3169" s="102" t="s">
        <v>7402</v>
      </c>
      <c r="C3169" s="101" t="s">
        <v>7403</v>
      </c>
      <c r="D3169" s="101" t="s">
        <v>7404</v>
      </c>
      <c r="E3169" s="79" t="s">
        <v>7405</v>
      </c>
    </row>
    <row r="3170" spans="1:5" ht="14.85" customHeight="1" x14ac:dyDescent="0.25">
      <c r="A3170" s="101" t="s">
        <v>392</v>
      </c>
      <c r="B3170" s="102" t="s">
        <v>7406</v>
      </c>
      <c r="C3170" s="101" t="s">
        <v>7407</v>
      </c>
      <c r="D3170" s="101" t="s">
        <v>7408</v>
      </c>
      <c r="E3170" s="79" t="s">
        <v>7409</v>
      </c>
    </row>
    <row r="3171" spans="1:5" ht="14.85" customHeight="1" x14ac:dyDescent="0.25">
      <c r="A3171" s="101" t="s">
        <v>392</v>
      </c>
      <c r="B3171" s="102" t="s">
        <v>7410</v>
      </c>
      <c r="C3171" s="101" t="s">
        <v>7411</v>
      </c>
      <c r="D3171" s="101" t="s">
        <v>7412</v>
      </c>
      <c r="E3171" s="79" t="s">
        <v>7413</v>
      </c>
    </row>
    <row r="3172" spans="1:5" ht="14.85" customHeight="1" x14ac:dyDescent="0.25">
      <c r="A3172" s="101" t="s">
        <v>392</v>
      </c>
      <c r="B3172" s="102" t="s">
        <v>7315</v>
      </c>
      <c r="C3172" s="101" t="s">
        <v>7414</v>
      </c>
      <c r="D3172" s="101" t="s">
        <v>7415</v>
      </c>
      <c r="E3172" s="79" t="s">
        <v>7416</v>
      </c>
    </row>
    <row r="3173" spans="1:5" ht="14.85" customHeight="1" x14ac:dyDescent="0.25">
      <c r="A3173" s="101" t="s">
        <v>392</v>
      </c>
      <c r="B3173" s="102" t="s">
        <v>7417</v>
      </c>
      <c r="C3173" s="101" t="s">
        <v>7418</v>
      </c>
      <c r="D3173" s="101" t="s">
        <v>7419</v>
      </c>
      <c r="E3173" s="79" t="s">
        <v>7420</v>
      </c>
    </row>
    <row r="3174" spans="1:5" ht="14.85" customHeight="1" x14ac:dyDescent="0.25">
      <c r="A3174" s="101" t="s">
        <v>392</v>
      </c>
      <c r="B3174" s="102" t="s">
        <v>7421</v>
      </c>
      <c r="C3174" s="101" t="s">
        <v>7422</v>
      </c>
      <c r="D3174" s="101" t="s">
        <v>7423</v>
      </c>
      <c r="E3174" s="79" t="s">
        <v>7424</v>
      </c>
    </row>
    <row r="3175" spans="1:5" ht="14.85" customHeight="1" x14ac:dyDescent="0.25">
      <c r="A3175" s="101" t="s">
        <v>392</v>
      </c>
      <c r="B3175" s="102" t="s">
        <v>7425</v>
      </c>
      <c r="C3175" s="101" t="s">
        <v>7426</v>
      </c>
      <c r="D3175" s="101" t="s">
        <v>7427</v>
      </c>
      <c r="E3175" s="79" t="s">
        <v>7428</v>
      </c>
    </row>
    <row r="3176" spans="1:5" ht="14.85" customHeight="1" x14ac:dyDescent="0.25">
      <c r="A3176" s="101" t="s">
        <v>392</v>
      </c>
      <c r="B3176" s="102" t="s">
        <v>7429</v>
      </c>
      <c r="C3176" s="101" t="s">
        <v>7430</v>
      </c>
      <c r="D3176" s="101" t="s">
        <v>7431</v>
      </c>
      <c r="E3176" s="79" t="s">
        <v>7432</v>
      </c>
    </row>
    <row r="3177" spans="1:5" ht="14.85" customHeight="1" x14ac:dyDescent="0.25">
      <c r="A3177" s="101" t="s">
        <v>392</v>
      </c>
      <c r="B3177" s="102" t="s">
        <v>7321</v>
      </c>
      <c r="C3177" s="101" t="s">
        <v>7433</v>
      </c>
      <c r="D3177" s="101" t="s">
        <v>7434</v>
      </c>
      <c r="E3177" s="79" t="s">
        <v>7435</v>
      </c>
    </row>
    <row r="3178" spans="1:5" ht="14.85" customHeight="1" x14ac:dyDescent="0.25">
      <c r="A3178" s="101" t="s">
        <v>392</v>
      </c>
      <c r="B3178" s="102" t="s">
        <v>7324</v>
      </c>
      <c r="C3178" s="101" t="s">
        <v>7436</v>
      </c>
      <c r="D3178" s="101" t="s">
        <v>7437</v>
      </c>
      <c r="E3178" s="79" t="s">
        <v>7438</v>
      </c>
    </row>
    <row r="3179" spans="1:5" ht="14.85" customHeight="1" x14ac:dyDescent="0.25">
      <c r="A3179" s="101" t="s">
        <v>392</v>
      </c>
      <c r="B3179" s="102" t="s">
        <v>7439</v>
      </c>
      <c r="C3179" s="101" t="s">
        <v>7440</v>
      </c>
      <c r="D3179" s="101" t="s">
        <v>7441</v>
      </c>
      <c r="E3179" s="79" t="s">
        <v>7442</v>
      </c>
    </row>
    <row r="3180" spans="1:5" ht="14.85" customHeight="1" x14ac:dyDescent="0.25">
      <c r="A3180" s="101" t="s">
        <v>392</v>
      </c>
      <c r="B3180" s="102" t="s">
        <v>7443</v>
      </c>
      <c r="C3180" s="101" t="s">
        <v>7444</v>
      </c>
      <c r="D3180" s="101" t="s">
        <v>7445</v>
      </c>
      <c r="E3180" s="79" t="s">
        <v>7446</v>
      </c>
    </row>
    <row r="3181" spans="1:5" ht="14.85" customHeight="1" x14ac:dyDescent="0.25">
      <c r="A3181" s="101" t="s">
        <v>392</v>
      </c>
      <c r="B3181" s="102" t="s">
        <v>7447</v>
      </c>
      <c r="C3181" s="101" t="s">
        <v>7448</v>
      </c>
      <c r="D3181" s="101" t="s">
        <v>7449</v>
      </c>
      <c r="E3181" s="79" t="s">
        <v>7450</v>
      </c>
    </row>
    <row r="3182" spans="1:5" ht="14.85" customHeight="1" x14ac:dyDescent="0.25">
      <c r="A3182" s="101" t="s">
        <v>961</v>
      </c>
      <c r="B3182" s="102" t="s">
        <v>1481</v>
      </c>
      <c r="C3182" s="101" t="s">
        <v>7451</v>
      </c>
      <c r="D3182" s="101" t="s">
        <v>7452</v>
      </c>
      <c r="E3182" s="79"/>
    </row>
    <row r="3183" spans="1:5" ht="14.85" customHeight="1" x14ac:dyDescent="0.25">
      <c r="A3183" s="101" t="s">
        <v>961</v>
      </c>
      <c r="B3183" s="102" t="s">
        <v>7272</v>
      </c>
      <c r="C3183" s="101" t="s">
        <v>7453</v>
      </c>
      <c r="D3183" s="101" t="s">
        <v>7454</v>
      </c>
      <c r="E3183" s="79"/>
    </row>
    <row r="3184" spans="1:5" ht="14.85" customHeight="1" x14ac:dyDescent="0.25">
      <c r="A3184" s="101" t="s">
        <v>961</v>
      </c>
      <c r="B3184" s="102" t="s">
        <v>6697</v>
      </c>
      <c r="C3184" s="101" t="s">
        <v>7455</v>
      </c>
      <c r="D3184" s="101" t="s">
        <v>7452</v>
      </c>
      <c r="E3184" s="79"/>
    </row>
    <row r="3185" spans="1:5" ht="14.85" customHeight="1" x14ac:dyDescent="0.25">
      <c r="A3185" s="101" t="s">
        <v>961</v>
      </c>
      <c r="B3185" s="102" t="s">
        <v>7255</v>
      </c>
      <c r="C3185" s="101" t="s">
        <v>7456</v>
      </c>
      <c r="D3185" s="101" t="s">
        <v>7452</v>
      </c>
      <c r="E3185" s="79"/>
    </row>
    <row r="3186" spans="1:5" ht="14.85" customHeight="1" x14ac:dyDescent="0.25">
      <c r="A3186" s="101" t="s">
        <v>961</v>
      </c>
      <c r="B3186" s="102" t="s">
        <v>7457</v>
      </c>
      <c r="C3186" s="101" t="s">
        <v>7458</v>
      </c>
      <c r="D3186" s="101" t="s">
        <v>7454</v>
      </c>
      <c r="E3186" s="79"/>
    </row>
    <row r="3187" spans="1:5" ht="14.85" customHeight="1" x14ac:dyDescent="0.25">
      <c r="A3187" s="101" t="s">
        <v>961</v>
      </c>
      <c r="B3187" s="102" t="s">
        <v>7261</v>
      </c>
      <c r="C3187" s="101" t="s">
        <v>7459</v>
      </c>
      <c r="D3187" s="101" t="s">
        <v>7452</v>
      </c>
      <c r="E3187" s="79"/>
    </row>
    <row r="3188" spans="1:5" ht="14.85" customHeight="1" x14ac:dyDescent="0.25">
      <c r="A3188" s="101" t="s">
        <v>961</v>
      </c>
      <c r="B3188" s="102" t="s">
        <v>7460</v>
      </c>
      <c r="C3188" s="101" t="s">
        <v>7461</v>
      </c>
      <c r="D3188" s="101" t="s">
        <v>7454</v>
      </c>
      <c r="E3188" s="79"/>
    </row>
    <row r="3189" spans="1:5" ht="14.85" customHeight="1" x14ac:dyDescent="0.25">
      <c r="A3189" s="101" t="s">
        <v>961</v>
      </c>
      <c r="B3189" s="102" t="s">
        <v>7462</v>
      </c>
      <c r="C3189" s="101" t="s">
        <v>7463</v>
      </c>
      <c r="D3189" s="101" t="s">
        <v>7454</v>
      </c>
      <c r="E3189" s="79"/>
    </row>
    <row r="3190" spans="1:5" ht="14.85" customHeight="1" x14ac:dyDescent="0.25">
      <c r="A3190" s="101" t="s">
        <v>961</v>
      </c>
      <c r="B3190" s="102" t="s">
        <v>114</v>
      </c>
      <c r="C3190" s="101" t="s">
        <v>7464</v>
      </c>
      <c r="D3190" s="101" t="s">
        <v>7454</v>
      </c>
      <c r="E3190" s="79"/>
    </row>
    <row r="3191" spans="1:5" ht="14.85" customHeight="1" x14ac:dyDescent="0.25">
      <c r="A3191" s="101" t="s">
        <v>961</v>
      </c>
      <c r="B3191" s="102" t="s">
        <v>1476</v>
      </c>
      <c r="C3191" s="101" t="s">
        <v>7465</v>
      </c>
      <c r="D3191" s="101" t="s">
        <v>7466</v>
      </c>
      <c r="E3191" s="79"/>
    </row>
    <row r="3192" spans="1:5" ht="14.85" customHeight="1" x14ac:dyDescent="0.25">
      <c r="A3192" s="101" t="s">
        <v>961</v>
      </c>
      <c r="B3192" s="102" t="s">
        <v>1470</v>
      </c>
      <c r="C3192" s="101" t="s">
        <v>7467</v>
      </c>
      <c r="D3192" s="101" t="s">
        <v>7454</v>
      </c>
      <c r="E3192" s="79"/>
    </row>
    <row r="3193" spans="1:5" ht="14.85" customHeight="1" x14ac:dyDescent="0.25">
      <c r="A3193" s="101" t="s">
        <v>1226</v>
      </c>
      <c r="B3193" s="102" t="s">
        <v>7468</v>
      </c>
      <c r="C3193" s="101" t="s">
        <v>7469</v>
      </c>
      <c r="D3193" s="101"/>
      <c r="E3193" s="79"/>
    </row>
    <row r="3194" spans="1:5" ht="14.85" customHeight="1" x14ac:dyDescent="0.25">
      <c r="A3194" s="101" t="s">
        <v>1226</v>
      </c>
      <c r="B3194" s="102" t="s">
        <v>7470</v>
      </c>
      <c r="C3194" s="101" t="s">
        <v>7471</v>
      </c>
      <c r="D3194" s="101"/>
      <c r="E3194" s="79"/>
    </row>
    <row r="3195" spans="1:5" ht="14.85" customHeight="1" x14ac:dyDescent="0.25">
      <c r="A3195" s="101" t="s">
        <v>1226</v>
      </c>
      <c r="B3195" s="102" t="s">
        <v>7472</v>
      </c>
      <c r="C3195" s="101" t="s">
        <v>7473</v>
      </c>
      <c r="D3195" s="101"/>
      <c r="E3195" s="79"/>
    </row>
    <row r="3196" spans="1:5" ht="14.85" customHeight="1" x14ac:dyDescent="0.25">
      <c r="A3196" s="101" t="s">
        <v>1226</v>
      </c>
      <c r="B3196" s="102" t="s">
        <v>7474</v>
      </c>
      <c r="C3196" s="101" t="s">
        <v>7475</v>
      </c>
      <c r="D3196" s="101"/>
      <c r="E3196" s="79"/>
    </row>
    <row r="3197" spans="1:5" ht="14.85" customHeight="1" x14ac:dyDescent="0.25">
      <c r="A3197" s="101" t="s">
        <v>1226</v>
      </c>
      <c r="B3197" s="102" t="s">
        <v>7476</v>
      </c>
      <c r="C3197" s="101" t="s">
        <v>7477</v>
      </c>
      <c r="D3197" s="101"/>
      <c r="E3197" s="79"/>
    </row>
    <row r="3198" spans="1:5" ht="14.85" customHeight="1" x14ac:dyDescent="0.25">
      <c r="A3198" s="101" t="s">
        <v>1226</v>
      </c>
      <c r="B3198" s="102" t="s">
        <v>7478</v>
      </c>
      <c r="C3198" s="101" t="s">
        <v>7479</v>
      </c>
      <c r="D3198" s="101"/>
      <c r="E3198" s="79"/>
    </row>
    <row r="3199" spans="1:5" ht="14.85" customHeight="1" x14ac:dyDescent="0.25">
      <c r="A3199" s="101" t="s">
        <v>1226</v>
      </c>
      <c r="B3199" s="102" t="s">
        <v>7480</v>
      </c>
      <c r="C3199" s="101" t="s">
        <v>7481</v>
      </c>
      <c r="D3199" s="101"/>
      <c r="E3199" s="79"/>
    </row>
    <row r="3200" spans="1:5" ht="14.85" customHeight="1" x14ac:dyDescent="0.25">
      <c r="A3200" s="101" t="s">
        <v>1226</v>
      </c>
      <c r="B3200" s="102" t="s">
        <v>7482</v>
      </c>
      <c r="C3200" s="101" t="s">
        <v>7483</v>
      </c>
      <c r="D3200" s="101"/>
      <c r="E3200" s="79"/>
    </row>
    <row r="3201" spans="1:5" ht="14.85" customHeight="1" x14ac:dyDescent="0.25">
      <c r="A3201" s="101" t="s">
        <v>1226</v>
      </c>
      <c r="B3201" s="102" t="s">
        <v>7484</v>
      </c>
      <c r="C3201" s="101" t="s">
        <v>7485</v>
      </c>
      <c r="D3201" s="101"/>
      <c r="E3201" s="79"/>
    </row>
    <row r="3202" spans="1:5" ht="14.85" customHeight="1" x14ac:dyDescent="0.25">
      <c r="A3202" s="101" t="s">
        <v>1226</v>
      </c>
      <c r="B3202" s="102" t="s">
        <v>7486</v>
      </c>
      <c r="C3202" s="101" t="s">
        <v>7487</v>
      </c>
      <c r="D3202" s="101"/>
      <c r="E3202" s="79"/>
    </row>
    <row r="3203" spans="1:5" ht="14.85" customHeight="1" x14ac:dyDescent="0.25">
      <c r="A3203" s="101" t="s">
        <v>1226</v>
      </c>
      <c r="B3203" s="102" t="s">
        <v>7488</v>
      </c>
      <c r="C3203" s="101" t="s">
        <v>7489</v>
      </c>
      <c r="D3203" s="101"/>
      <c r="E3203" s="79"/>
    </row>
    <row r="3204" spans="1:5" ht="14.85" customHeight="1" x14ac:dyDescent="0.25">
      <c r="A3204" s="101" t="s">
        <v>1226</v>
      </c>
      <c r="B3204" s="102" t="s">
        <v>7490</v>
      </c>
      <c r="C3204" s="101" t="s">
        <v>7491</v>
      </c>
      <c r="D3204" s="101"/>
      <c r="E3204" s="79"/>
    </row>
    <row r="3205" spans="1:5" ht="14.85" customHeight="1" x14ac:dyDescent="0.25">
      <c r="A3205" s="101" t="s">
        <v>1226</v>
      </c>
      <c r="B3205" s="102" t="s">
        <v>7492</v>
      </c>
      <c r="C3205" s="101" t="s">
        <v>7493</v>
      </c>
      <c r="D3205" s="101"/>
      <c r="E3205" s="79"/>
    </row>
    <row r="3206" spans="1:5" ht="14.85" customHeight="1" x14ac:dyDescent="0.25">
      <c r="A3206" s="101" t="s">
        <v>1226</v>
      </c>
      <c r="B3206" s="102" t="s">
        <v>7494</v>
      </c>
      <c r="C3206" s="101" t="s">
        <v>7495</v>
      </c>
      <c r="D3206" s="101"/>
      <c r="E3206" s="79"/>
    </row>
    <row r="3207" spans="1:5" ht="14.85" customHeight="1" x14ac:dyDescent="0.25">
      <c r="A3207" s="101" t="s">
        <v>1226</v>
      </c>
      <c r="B3207" s="102" t="s">
        <v>7496</v>
      </c>
      <c r="C3207" s="101" t="s">
        <v>7497</v>
      </c>
      <c r="D3207" s="101"/>
      <c r="E3207" s="79"/>
    </row>
    <row r="3208" spans="1:5" ht="14.85" customHeight="1" x14ac:dyDescent="0.25">
      <c r="A3208" s="101" t="s">
        <v>1226</v>
      </c>
      <c r="B3208" s="102" t="s">
        <v>7498</v>
      </c>
      <c r="C3208" s="101" t="s">
        <v>7499</v>
      </c>
      <c r="D3208" s="101"/>
      <c r="E3208" s="79"/>
    </row>
    <row r="3209" spans="1:5" ht="14.85" customHeight="1" x14ac:dyDescent="0.25">
      <c r="A3209" s="101" t="s">
        <v>1226</v>
      </c>
      <c r="B3209" s="102" t="s">
        <v>7500</v>
      </c>
      <c r="C3209" s="101" t="s">
        <v>7501</v>
      </c>
      <c r="D3209" s="101"/>
      <c r="E3209" s="79"/>
    </row>
    <row r="3210" spans="1:5" ht="14.85" customHeight="1" x14ac:dyDescent="0.3">
      <c r="A3210" s="101" t="s">
        <v>1226</v>
      </c>
      <c r="B3210" s="102" t="s">
        <v>7502</v>
      </c>
      <c r="C3210" s="210" t="s">
        <v>7503</v>
      </c>
      <c r="D3210" s="101"/>
      <c r="E3210" s="79"/>
    </row>
    <row r="3211" spans="1:5" ht="14.85" customHeight="1" x14ac:dyDescent="0.25">
      <c r="A3211" s="101" t="s">
        <v>1226</v>
      </c>
      <c r="B3211" s="102" t="s">
        <v>7504</v>
      </c>
      <c r="C3211" s="101" t="s">
        <v>7505</v>
      </c>
      <c r="D3211" s="101"/>
      <c r="E3211" s="79"/>
    </row>
    <row r="3212" spans="1:5" ht="14.85" customHeight="1" x14ac:dyDescent="0.25">
      <c r="A3212" s="101" t="s">
        <v>1226</v>
      </c>
      <c r="B3212" s="102" t="s">
        <v>7506</v>
      </c>
      <c r="C3212" s="101" t="s">
        <v>7507</v>
      </c>
      <c r="D3212" s="101"/>
      <c r="E3212" s="79"/>
    </row>
    <row r="3213" spans="1:5" ht="14.85" customHeight="1" x14ac:dyDescent="0.25">
      <c r="A3213" s="101" t="s">
        <v>1226</v>
      </c>
      <c r="B3213" s="102" t="s">
        <v>7508</v>
      </c>
      <c r="C3213" s="101" t="s">
        <v>7509</v>
      </c>
      <c r="D3213" s="101"/>
      <c r="E3213" s="79"/>
    </row>
    <row r="3214" spans="1:5" ht="14.85" customHeight="1" x14ac:dyDescent="0.25">
      <c r="A3214" s="101" t="s">
        <v>1226</v>
      </c>
      <c r="B3214" s="102" t="s">
        <v>7510</v>
      </c>
      <c r="C3214" s="101" t="s">
        <v>7511</v>
      </c>
      <c r="D3214" s="101"/>
      <c r="E3214" s="79"/>
    </row>
    <row r="3215" spans="1:5" ht="14.85" customHeight="1" x14ac:dyDescent="0.25">
      <c r="A3215" s="101" t="s">
        <v>1226</v>
      </c>
      <c r="B3215" s="102" t="s">
        <v>7512</v>
      </c>
      <c r="C3215" s="101" t="s">
        <v>7513</v>
      </c>
      <c r="D3215" s="101"/>
      <c r="E3215" s="79"/>
    </row>
    <row r="3216" spans="1:5" ht="14.85" customHeight="1" x14ac:dyDescent="0.25">
      <c r="A3216" s="101" t="s">
        <v>1226</v>
      </c>
      <c r="B3216" s="102" t="s">
        <v>7514</v>
      </c>
      <c r="C3216" s="101" t="s">
        <v>7515</v>
      </c>
      <c r="D3216" s="101"/>
      <c r="E3216" s="79"/>
    </row>
    <row r="3217" spans="1:5" ht="14.85" customHeight="1" x14ac:dyDescent="0.25">
      <c r="A3217" s="101" t="s">
        <v>1226</v>
      </c>
      <c r="B3217" s="102" t="s">
        <v>7516</v>
      </c>
      <c r="C3217" s="101" t="s">
        <v>7517</v>
      </c>
      <c r="D3217" s="101"/>
      <c r="E3217" s="79"/>
    </row>
    <row r="3218" spans="1:5" ht="14.85" customHeight="1" x14ac:dyDescent="0.25">
      <c r="A3218" s="304" t="s">
        <v>1226</v>
      </c>
      <c r="B3218" s="305" t="s">
        <v>7518</v>
      </c>
      <c r="C3218" s="306" t="s">
        <v>7519</v>
      </c>
      <c r="D3218" s="101"/>
      <c r="E3218" s="79"/>
    </row>
    <row r="3219" spans="1:5" ht="14.85" customHeight="1" x14ac:dyDescent="0.25">
      <c r="A3219" s="101" t="s">
        <v>1226</v>
      </c>
      <c r="B3219" s="102" t="s">
        <v>7520</v>
      </c>
      <c r="C3219" s="101" t="s">
        <v>7521</v>
      </c>
      <c r="D3219" s="101"/>
      <c r="E3219" s="79"/>
    </row>
    <row r="3220" spans="1:5" ht="14.85" customHeight="1" x14ac:dyDescent="0.25">
      <c r="A3220" s="101" t="s">
        <v>1226</v>
      </c>
      <c r="B3220" s="102" t="s">
        <v>7522</v>
      </c>
      <c r="C3220" s="101" t="s">
        <v>7523</v>
      </c>
      <c r="D3220" s="101"/>
      <c r="E3220" s="79"/>
    </row>
    <row r="3221" spans="1:5" ht="14.85" customHeight="1" x14ac:dyDescent="0.25">
      <c r="A3221" s="101" t="s">
        <v>1226</v>
      </c>
      <c r="B3221" s="102" t="s">
        <v>7524</v>
      </c>
      <c r="C3221" s="101" t="s">
        <v>7525</v>
      </c>
      <c r="D3221" s="101"/>
      <c r="E3221" s="79"/>
    </row>
    <row r="3222" spans="1:5" ht="14.85" customHeight="1" x14ac:dyDescent="0.25">
      <c r="A3222" s="101" t="s">
        <v>1226</v>
      </c>
      <c r="B3222" s="102" t="s">
        <v>7526</v>
      </c>
      <c r="C3222" s="101" t="s">
        <v>7527</v>
      </c>
      <c r="D3222" s="101"/>
      <c r="E3222" s="79"/>
    </row>
    <row r="3223" spans="1:5" ht="14.85" customHeight="1" x14ac:dyDescent="0.25">
      <c r="A3223" s="101" t="s">
        <v>1226</v>
      </c>
      <c r="B3223" s="102" t="s">
        <v>7528</v>
      </c>
      <c r="C3223" s="101" t="s">
        <v>7529</v>
      </c>
      <c r="D3223" s="101"/>
      <c r="E3223" s="79"/>
    </row>
    <row r="3224" spans="1:5" ht="14.85" customHeight="1" x14ac:dyDescent="0.25">
      <c r="A3224" s="101" t="s">
        <v>1226</v>
      </c>
      <c r="B3224" s="102" t="s">
        <v>7530</v>
      </c>
      <c r="C3224" s="101" t="s">
        <v>7531</v>
      </c>
      <c r="D3224" s="101"/>
      <c r="E3224" s="79"/>
    </row>
    <row r="3225" spans="1:5" ht="14.85" customHeight="1" x14ac:dyDescent="0.25">
      <c r="A3225" s="101" t="s">
        <v>1226</v>
      </c>
      <c r="B3225" s="102" t="s">
        <v>7532</v>
      </c>
      <c r="C3225" s="101" t="s">
        <v>7533</v>
      </c>
      <c r="D3225" s="101"/>
      <c r="E3225" s="79"/>
    </row>
    <row r="3226" spans="1:5" ht="14.85" customHeight="1" x14ac:dyDescent="0.25">
      <c r="A3226" s="101" t="s">
        <v>1226</v>
      </c>
      <c r="B3226" s="102" t="s">
        <v>7534</v>
      </c>
      <c r="C3226" s="101" t="s">
        <v>7535</v>
      </c>
      <c r="D3226" s="101"/>
      <c r="E3226" s="79"/>
    </row>
    <row r="3227" spans="1:5" ht="14.85" customHeight="1" x14ac:dyDescent="0.25">
      <c r="A3227" s="101" t="s">
        <v>1226</v>
      </c>
      <c r="B3227" s="102" t="s">
        <v>7536</v>
      </c>
      <c r="C3227" s="101" t="s">
        <v>7537</v>
      </c>
      <c r="D3227" s="101"/>
      <c r="E3227" s="79"/>
    </row>
    <row r="3228" spans="1:5" ht="14.85" customHeight="1" x14ac:dyDescent="0.25">
      <c r="A3228" s="101" t="s">
        <v>1226</v>
      </c>
      <c r="B3228" s="102" t="s">
        <v>7538</v>
      </c>
      <c r="C3228" s="101" t="s">
        <v>7539</v>
      </c>
      <c r="D3228" s="101"/>
      <c r="E3228" s="79"/>
    </row>
    <row r="3229" spans="1:5" ht="14.85" customHeight="1" x14ac:dyDescent="0.25">
      <c r="A3229" s="101" t="s">
        <v>1226</v>
      </c>
      <c r="B3229" s="102">
        <v>740</v>
      </c>
      <c r="C3229" s="101" t="s">
        <v>13343</v>
      </c>
      <c r="D3229" s="101"/>
      <c r="E3229" s="79"/>
    </row>
    <row r="3230" spans="1:5" ht="14.85" customHeight="1" x14ac:dyDescent="0.25">
      <c r="A3230" s="101" t="s">
        <v>1226</v>
      </c>
      <c r="B3230" s="102" t="s">
        <v>7540</v>
      </c>
      <c r="C3230" s="101" t="s">
        <v>7541</v>
      </c>
      <c r="D3230" s="101"/>
      <c r="E3230" s="79"/>
    </row>
    <row r="3231" spans="1:5" ht="14.85" customHeight="1" x14ac:dyDescent="0.25">
      <c r="A3231" s="304" t="s">
        <v>1226</v>
      </c>
      <c r="B3231" s="305" t="s">
        <v>7542</v>
      </c>
      <c r="C3231" s="306" t="s">
        <v>7543</v>
      </c>
      <c r="D3231" s="101"/>
      <c r="E3231" s="79"/>
    </row>
    <row r="3232" spans="1:5" ht="14.85" customHeight="1" x14ac:dyDescent="0.25">
      <c r="A3232" s="101" t="s">
        <v>1226</v>
      </c>
      <c r="B3232" s="102" t="s">
        <v>7544</v>
      </c>
      <c r="C3232" s="101" t="s">
        <v>7545</v>
      </c>
      <c r="D3232" s="101"/>
      <c r="E3232" s="79"/>
    </row>
    <row r="3233" spans="1:5" ht="14.85" customHeight="1" x14ac:dyDescent="0.25">
      <c r="A3233" s="101" t="s">
        <v>1226</v>
      </c>
      <c r="B3233" s="102" t="s">
        <v>7546</v>
      </c>
      <c r="C3233" s="101" t="s">
        <v>7547</v>
      </c>
      <c r="D3233" s="101"/>
      <c r="E3233" s="79"/>
    </row>
    <row r="3234" spans="1:5" ht="14.85" customHeight="1" x14ac:dyDescent="0.25">
      <c r="A3234" s="101" t="s">
        <v>1226</v>
      </c>
      <c r="B3234" s="102" t="s">
        <v>7548</v>
      </c>
      <c r="C3234" s="101" t="s">
        <v>7549</v>
      </c>
      <c r="D3234" s="101"/>
      <c r="E3234" s="79"/>
    </row>
    <row r="3235" spans="1:5" ht="14.85" customHeight="1" x14ac:dyDescent="0.25">
      <c r="A3235" s="101" t="s">
        <v>1226</v>
      </c>
      <c r="B3235" s="102" t="s">
        <v>7550</v>
      </c>
      <c r="C3235" s="101" t="s">
        <v>7551</v>
      </c>
      <c r="D3235" s="101"/>
      <c r="E3235" s="79"/>
    </row>
    <row r="3236" spans="1:5" ht="14.85" customHeight="1" x14ac:dyDescent="0.25">
      <c r="A3236" s="101" t="s">
        <v>1221</v>
      </c>
      <c r="B3236" s="102" t="s">
        <v>933</v>
      </c>
      <c r="C3236" s="101" t="s">
        <v>7552</v>
      </c>
      <c r="D3236" s="101"/>
      <c r="E3236" s="79"/>
    </row>
    <row r="3237" spans="1:5" ht="14.85" customHeight="1" x14ac:dyDescent="0.25">
      <c r="A3237" s="101" t="s">
        <v>1221</v>
      </c>
      <c r="B3237" s="102" t="s">
        <v>7553</v>
      </c>
      <c r="C3237" s="101" t="s">
        <v>7554</v>
      </c>
      <c r="D3237" s="101"/>
      <c r="E3237" s="79"/>
    </row>
    <row r="3238" spans="1:5" ht="14.85" customHeight="1" x14ac:dyDescent="0.25">
      <c r="A3238" s="101" t="s">
        <v>1221</v>
      </c>
      <c r="B3238" s="102" t="s">
        <v>7555</v>
      </c>
      <c r="C3238" s="101" t="s">
        <v>7556</v>
      </c>
      <c r="D3238" s="101"/>
      <c r="E3238" s="79"/>
    </row>
    <row r="3239" spans="1:5" ht="14.85" customHeight="1" x14ac:dyDescent="0.25">
      <c r="A3239" s="101" t="s">
        <v>1221</v>
      </c>
      <c r="B3239" s="102" t="s">
        <v>7557</v>
      </c>
      <c r="C3239" s="101" t="s">
        <v>7556</v>
      </c>
      <c r="D3239" s="101"/>
      <c r="E3239" s="79"/>
    </row>
    <row r="3240" spans="1:5" ht="14.85" customHeight="1" x14ac:dyDescent="0.25">
      <c r="A3240" s="101" t="s">
        <v>1221</v>
      </c>
      <c r="B3240" s="102" t="s">
        <v>7558</v>
      </c>
      <c r="C3240" s="101" t="s">
        <v>7556</v>
      </c>
      <c r="D3240" s="101"/>
      <c r="E3240" s="79"/>
    </row>
    <row r="3241" spans="1:5" ht="14.85" customHeight="1" x14ac:dyDescent="0.25">
      <c r="A3241" s="101" t="s">
        <v>1221</v>
      </c>
      <c r="B3241" s="102" t="s">
        <v>7559</v>
      </c>
      <c r="C3241" s="101" t="s">
        <v>7556</v>
      </c>
      <c r="D3241" s="101"/>
      <c r="E3241" s="79"/>
    </row>
    <row r="3242" spans="1:5" ht="14.85" customHeight="1" x14ac:dyDescent="0.25">
      <c r="A3242" s="101" t="s">
        <v>1221</v>
      </c>
      <c r="B3242" s="102" t="s">
        <v>7560</v>
      </c>
      <c r="C3242" s="101" t="s">
        <v>7556</v>
      </c>
      <c r="D3242" s="101"/>
      <c r="E3242" s="79"/>
    </row>
    <row r="3243" spans="1:5" ht="14.85" customHeight="1" x14ac:dyDescent="0.25">
      <c r="A3243" s="101" t="s">
        <v>1221</v>
      </c>
      <c r="B3243" s="102" t="s">
        <v>7561</v>
      </c>
      <c r="C3243" s="101" t="s">
        <v>7556</v>
      </c>
      <c r="D3243" s="101"/>
      <c r="E3243" s="79"/>
    </row>
    <row r="3244" spans="1:5" ht="14.85" customHeight="1" x14ac:dyDescent="0.25">
      <c r="A3244" s="101" t="s">
        <v>1221</v>
      </c>
      <c r="B3244" s="102" t="s">
        <v>7562</v>
      </c>
      <c r="C3244" s="101" t="s">
        <v>7556</v>
      </c>
      <c r="D3244" s="101"/>
      <c r="E3244" s="79"/>
    </row>
    <row r="3245" spans="1:5" ht="14.85" customHeight="1" x14ac:dyDescent="0.25">
      <c r="A3245" s="101" t="s">
        <v>1221</v>
      </c>
      <c r="B3245" s="102" t="s">
        <v>7563</v>
      </c>
      <c r="C3245" s="101" t="s">
        <v>7556</v>
      </c>
      <c r="D3245" s="101"/>
      <c r="E3245" s="79"/>
    </row>
    <row r="3246" spans="1:5" ht="14.85" customHeight="1" x14ac:dyDescent="0.25">
      <c r="A3246" s="101" t="s">
        <v>1221</v>
      </c>
      <c r="B3246" s="102" t="s">
        <v>7564</v>
      </c>
      <c r="C3246" s="101" t="s">
        <v>7556</v>
      </c>
      <c r="D3246" s="101"/>
      <c r="E3246" s="79"/>
    </row>
    <row r="3247" spans="1:5" ht="14.85" customHeight="1" x14ac:dyDescent="0.25">
      <c r="A3247" s="101" t="s">
        <v>1221</v>
      </c>
      <c r="B3247" s="102" t="s">
        <v>7565</v>
      </c>
      <c r="C3247" s="101" t="s">
        <v>7556</v>
      </c>
      <c r="D3247" s="101"/>
      <c r="E3247" s="79"/>
    </row>
    <row r="3248" spans="1:5" ht="14.85" customHeight="1" x14ac:dyDescent="0.25">
      <c r="A3248" s="304" t="s">
        <v>1221</v>
      </c>
      <c r="B3248" s="305" t="s">
        <v>7566</v>
      </c>
      <c r="C3248" s="306" t="s">
        <v>7567</v>
      </c>
      <c r="D3248" s="101"/>
      <c r="E3248" s="79"/>
    </row>
    <row r="3249" spans="1:5" ht="14.85" customHeight="1" x14ac:dyDescent="0.25">
      <c r="A3249" s="101" t="s">
        <v>1221</v>
      </c>
      <c r="B3249" s="102" t="s">
        <v>7568</v>
      </c>
      <c r="C3249" s="101" t="s">
        <v>7569</v>
      </c>
      <c r="D3249" s="101"/>
      <c r="E3249" s="79"/>
    </row>
    <row r="3250" spans="1:5" ht="14.85" customHeight="1" x14ac:dyDescent="0.25">
      <c r="A3250" s="101" t="s">
        <v>1221</v>
      </c>
      <c r="B3250" s="102" t="s">
        <v>7570</v>
      </c>
      <c r="C3250" s="101" t="s">
        <v>7571</v>
      </c>
      <c r="D3250" s="101"/>
      <c r="E3250" s="79"/>
    </row>
    <row r="3251" spans="1:5" ht="14.85" customHeight="1" x14ac:dyDescent="0.25">
      <c r="A3251" s="101" t="s">
        <v>1221</v>
      </c>
      <c r="B3251" s="102" t="s">
        <v>7572</v>
      </c>
      <c r="C3251" s="101" t="s">
        <v>7573</v>
      </c>
      <c r="D3251" s="101"/>
      <c r="E3251" s="79"/>
    </row>
    <row r="3252" spans="1:5" ht="14.85" customHeight="1" x14ac:dyDescent="0.25">
      <c r="A3252" s="101" t="s">
        <v>1221</v>
      </c>
      <c r="B3252" s="102" t="s">
        <v>7574</v>
      </c>
      <c r="C3252" s="101" t="s">
        <v>7571</v>
      </c>
      <c r="D3252" s="101"/>
      <c r="E3252" s="79"/>
    </row>
    <row r="3253" spans="1:5" ht="14.85" customHeight="1" x14ac:dyDescent="0.25">
      <c r="A3253" s="101" t="s">
        <v>1221</v>
      </c>
      <c r="B3253" s="102" t="s">
        <v>7575</v>
      </c>
      <c r="C3253" s="101" t="s">
        <v>7576</v>
      </c>
      <c r="D3253" s="101"/>
      <c r="E3253" s="79"/>
    </row>
    <row r="3254" spans="1:5" ht="14.85" customHeight="1" x14ac:dyDescent="0.25">
      <c r="A3254" s="101" t="s">
        <v>1221</v>
      </c>
      <c r="B3254" s="102" t="s">
        <v>7577</v>
      </c>
      <c r="C3254" s="101" t="s">
        <v>7578</v>
      </c>
      <c r="D3254" s="101"/>
      <c r="E3254" s="79"/>
    </row>
    <row r="3255" spans="1:5" ht="14.85" customHeight="1" x14ac:dyDescent="0.25">
      <c r="A3255" s="101" t="s">
        <v>1221</v>
      </c>
      <c r="B3255" s="102" t="s">
        <v>7579</v>
      </c>
      <c r="C3255" s="101" t="s">
        <v>7571</v>
      </c>
      <c r="D3255" s="101"/>
      <c r="E3255" s="79"/>
    </row>
    <row r="3256" spans="1:5" ht="14.85" customHeight="1" x14ac:dyDescent="0.25">
      <c r="A3256" s="101" t="s">
        <v>1221</v>
      </c>
      <c r="B3256" s="102" t="s">
        <v>7580</v>
      </c>
      <c r="C3256" s="101" t="s">
        <v>7571</v>
      </c>
      <c r="D3256" s="101"/>
      <c r="E3256" s="79"/>
    </row>
    <row r="3257" spans="1:5" ht="14.85" customHeight="1" x14ac:dyDescent="0.25">
      <c r="A3257" s="101" t="s">
        <v>1221</v>
      </c>
      <c r="B3257" s="102" t="s">
        <v>7581</v>
      </c>
      <c r="C3257" s="101" t="s">
        <v>7571</v>
      </c>
      <c r="D3257" s="101"/>
      <c r="E3257" s="79"/>
    </row>
    <row r="3258" spans="1:5" ht="14.85" customHeight="1" x14ac:dyDescent="0.25">
      <c r="A3258" s="101" t="s">
        <v>1221</v>
      </c>
      <c r="B3258" s="102" t="s">
        <v>7582</v>
      </c>
      <c r="C3258" s="101" t="s">
        <v>7583</v>
      </c>
      <c r="D3258" s="101"/>
      <c r="E3258" s="79"/>
    </row>
    <row r="3259" spans="1:5" ht="14.85" customHeight="1" x14ac:dyDescent="0.25">
      <c r="A3259" s="101" t="s">
        <v>1221</v>
      </c>
      <c r="B3259" s="102" t="s">
        <v>7584</v>
      </c>
      <c r="C3259" s="101" t="s">
        <v>7585</v>
      </c>
      <c r="D3259" s="101"/>
      <c r="E3259" s="79"/>
    </row>
    <row r="3260" spans="1:5" ht="14.85" customHeight="1" x14ac:dyDescent="0.25">
      <c r="A3260" s="101" t="s">
        <v>1221</v>
      </c>
      <c r="B3260" s="102" t="s">
        <v>7586</v>
      </c>
      <c r="C3260" s="101" t="s">
        <v>7587</v>
      </c>
      <c r="D3260" s="101"/>
      <c r="E3260" s="79"/>
    </row>
    <row r="3261" spans="1:5" ht="14.85" customHeight="1" x14ac:dyDescent="0.25">
      <c r="A3261" s="101" t="s">
        <v>1221</v>
      </c>
      <c r="B3261" s="102" t="s">
        <v>7588</v>
      </c>
      <c r="C3261" s="101" t="s">
        <v>7589</v>
      </c>
      <c r="D3261" s="101"/>
      <c r="E3261" s="79"/>
    </row>
    <row r="3262" spans="1:5" ht="14.85" customHeight="1" x14ac:dyDescent="0.25">
      <c r="A3262" s="101" t="s">
        <v>1221</v>
      </c>
      <c r="B3262" s="102" t="s">
        <v>7590</v>
      </c>
      <c r="C3262" s="101" t="s">
        <v>7591</v>
      </c>
      <c r="D3262" s="101"/>
      <c r="E3262" s="79"/>
    </row>
    <row r="3263" spans="1:5" ht="14.85" customHeight="1" x14ac:dyDescent="0.25">
      <c r="A3263" s="101" t="s">
        <v>1221</v>
      </c>
      <c r="B3263" s="102" t="s">
        <v>7592</v>
      </c>
      <c r="C3263" s="101" t="s">
        <v>7593</v>
      </c>
      <c r="D3263" s="101"/>
      <c r="E3263" s="79"/>
    </row>
    <row r="3264" spans="1:5" ht="14.85" customHeight="1" x14ac:dyDescent="0.25">
      <c r="A3264" s="304" t="s">
        <v>1221</v>
      </c>
      <c r="B3264" s="305" t="s">
        <v>7594</v>
      </c>
      <c r="C3264" s="306" t="s">
        <v>7595</v>
      </c>
      <c r="D3264" s="101"/>
      <c r="E3264" s="79"/>
    </row>
    <row r="3265" spans="1:5" ht="14.85" customHeight="1" x14ac:dyDescent="0.25">
      <c r="A3265" s="101" t="s">
        <v>1221</v>
      </c>
      <c r="B3265" s="102" t="s">
        <v>7596</v>
      </c>
      <c r="C3265" s="101" t="s">
        <v>7597</v>
      </c>
      <c r="D3265" s="101"/>
      <c r="E3265" s="79"/>
    </row>
    <row r="3266" spans="1:5" ht="14.85" customHeight="1" x14ac:dyDescent="0.25">
      <c r="A3266" s="101" t="s">
        <v>1221</v>
      </c>
      <c r="B3266" s="102" t="s">
        <v>7598</v>
      </c>
      <c r="C3266" s="101" t="s">
        <v>7599</v>
      </c>
      <c r="D3266" s="101"/>
      <c r="E3266" s="79"/>
    </row>
    <row r="3267" spans="1:5" ht="14.85" customHeight="1" x14ac:dyDescent="0.25">
      <c r="A3267" s="101" t="s">
        <v>1221</v>
      </c>
      <c r="B3267" s="102" t="s">
        <v>7600</v>
      </c>
      <c r="C3267" s="101" t="s">
        <v>7601</v>
      </c>
      <c r="D3267" s="101"/>
      <c r="E3267" s="79"/>
    </row>
    <row r="3268" spans="1:5" ht="14.85" customHeight="1" x14ac:dyDescent="0.25">
      <c r="A3268" s="101" t="s">
        <v>1221</v>
      </c>
      <c r="B3268" s="102" t="s">
        <v>7602</v>
      </c>
      <c r="C3268" s="101" t="s">
        <v>7603</v>
      </c>
      <c r="D3268" s="101"/>
      <c r="E3268" s="79"/>
    </row>
    <row r="3269" spans="1:5" ht="14.85" customHeight="1" x14ac:dyDescent="0.25">
      <c r="A3269" s="101" t="s">
        <v>1221</v>
      </c>
      <c r="B3269" s="102" t="s">
        <v>824</v>
      </c>
      <c r="C3269" s="101" t="s">
        <v>7604</v>
      </c>
      <c r="D3269" s="101"/>
      <c r="E3269" s="79"/>
    </row>
    <row r="3270" spans="1:5" ht="14.85" customHeight="1" x14ac:dyDescent="0.25">
      <c r="A3270" s="101" t="s">
        <v>1221</v>
      </c>
      <c r="B3270" s="102" t="s">
        <v>7605</v>
      </c>
      <c r="C3270" s="101" t="s">
        <v>7606</v>
      </c>
      <c r="D3270" s="101"/>
      <c r="E3270" s="79"/>
    </row>
    <row r="3271" spans="1:5" ht="14.55" customHeight="1" x14ac:dyDescent="0.25">
      <c r="A3271" s="101" t="s">
        <v>1221</v>
      </c>
      <c r="B3271" s="102" t="s">
        <v>7607</v>
      </c>
      <c r="C3271" s="101" t="s">
        <v>7608</v>
      </c>
      <c r="D3271" s="101"/>
      <c r="E3271" s="79"/>
    </row>
    <row r="3272" spans="1:5" ht="14.55" customHeight="1" x14ac:dyDescent="0.25">
      <c r="A3272" s="101" t="s">
        <v>1221</v>
      </c>
      <c r="B3272" s="102" t="s">
        <v>7609</v>
      </c>
      <c r="C3272" s="101" t="s">
        <v>7610</v>
      </c>
      <c r="D3272" s="101"/>
      <c r="E3272" s="79"/>
    </row>
    <row r="3273" spans="1:5" ht="14.55" customHeight="1" x14ac:dyDescent="0.25">
      <c r="A3273" s="101" t="s">
        <v>1221</v>
      </c>
      <c r="B3273" s="102" t="s">
        <v>7611</v>
      </c>
      <c r="C3273" s="101" t="s">
        <v>7612</v>
      </c>
      <c r="D3273" s="101"/>
      <c r="E3273" s="79"/>
    </row>
    <row r="3274" spans="1:5" ht="14.85" customHeight="1" x14ac:dyDescent="0.25">
      <c r="A3274" s="101" t="s">
        <v>1221</v>
      </c>
      <c r="B3274" s="102" t="s">
        <v>7613</v>
      </c>
      <c r="C3274" s="101" t="s">
        <v>7614</v>
      </c>
      <c r="D3274" s="101"/>
      <c r="E3274" s="79"/>
    </row>
    <row r="3275" spans="1:5" ht="14.85" customHeight="1" x14ac:dyDescent="0.25">
      <c r="A3275" s="101" t="s">
        <v>1221</v>
      </c>
      <c r="B3275" s="102" t="s">
        <v>7615</v>
      </c>
      <c r="C3275" s="101" t="s">
        <v>7616</v>
      </c>
      <c r="D3275" s="101"/>
      <c r="E3275" s="79"/>
    </row>
    <row r="3276" spans="1:5" ht="14.85" customHeight="1" x14ac:dyDescent="0.25">
      <c r="A3276" s="101" t="s">
        <v>1221</v>
      </c>
      <c r="B3276" s="102" t="s">
        <v>7617</v>
      </c>
      <c r="C3276" s="101" t="s">
        <v>7618</v>
      </c>
      <c r="D3276" s="101"/>
      <c r="E3276" s="79"/>
    </row>
    <row r="3277" spans="1:5" ht="14.85" customHeight="1" x14ac:dyDescent="0.25">
      <c r="A3277" s="101" t="s">
        <v>1221</v>
      </c>
      <c r="B3277" s="102" t="s">
        <v>7619</v>
      </c>
      <c r="C3277" s="101" t="s">
        <v>7620</v>
      </c>
      <c r="D3277" s="101"/>
      <c r="E3277" s="79"/>
    </row>
    <row r="3278" spans="1:5" ht="14.85" customHeight="1" x14ac:dyDescent="0.25">
      <c r="A3278" s="101" t="s">
        <v>1221</v>
      </c>
      <c r="B3278" s="102" t="s">
        <v>7621</v>
      </c>
      <c r="C3278" s="101" t="s">
        <v>7622</v>
      </c>
      <c r="D3278" s="101"/>
      <c r="E3278" s="79"/>
    </row>
    <row r="3279" spans="1:5" ht="14.85" customHeight="1" x14ac:dyDescent="0.25">
      <c r="A3279" s="101" t="s">
        <v>1221</v>
      </c>
      <c r="B3279" s="102" t="s">
        <v>7623</v>
      </c>
      <c r="C3279" s="101" t="s">
        <v>7620</v>
      </c>
      <c r="D3279" s="101"/>
      <c r="E3279" s="79"/>
    </row>
    <row r="3280" spans="1:5" ht="14.85" customHeight="1" x14ac:dyDescent="0.25">
      <c r="A3280" s="101" t="s">
        <v>1221</v>
      </c>
      <c r="B3280" s="102" t="s">
        <v>7624</v>
      </c>
      <c r="C3280" s="101" t="s">
        <v>7620</v>
      </c>
      <c r="D3280" s="101"/>
      <c r="E3280" s="79"/>
    </row>
    <row r="3281" spans="1:5" ht="14.85" customHeight="1" x14ac:dyDescent="0.25">
      <c r="A3281" s="101" t="s">
        <v>1221</v>
      </c>
      <c r="B3281" s="102" t="s">
        <v>7625</v>
      </c>
      <c r="C3281" s="101" t="s">
        <v>7620</v>
      </c>
      <c r="D3281" s="101"/>
      <c r="E3281" s="79"/>
    </row>
    <row r="3282" spans="1:5" ht="14.85" customHeight="1" x14ac:dyDescent="0.25">
      <c r="A3282" s="101" t="s">
        <v>1221</v>
      </c>
      <c r="B3282" s="102" t="s">
        <v>7626</v>
      </c>
      <c r="C3282" s="101" t="s">
        <v>7620</v>
      </c>
      <c r="D3282" s="101"/>
      <c r="E3282" s="79"/>
    </row>
    <row r="3283" spans="1:5" ht="14.85" customHeight="1" x14ac:dyDescent="0.25">
      <c r="A3283" s="101" t="s">
        <v>1221</v>
      </c>
      <c r="B3283" s="102" t="s">
        <v>7627</v>
      </c>
      <c r="C3283" s="101" t="s">
        <v>7620</v>
      </c>
      <c r="D3283" s="101"/>
      <c r="E3283" s="79"/>
    </row>
    <row r="3284" spans="1:5" ht="14.85" customHeight="1" x14ac:dyDescent="0.25">
      <c r="A3284" s="101" t="s">
        <v>1221</v>
      </c>
      <c r="B3284" s="102" t="s">
        <v>7628</v>
      </c>
      <c r="C3284" s="101" t="s">
        <v>7620</v>
      </c>
      <c r="D3284" s="101"/>
      <c r="E3284" s="79"/>
    </row>
    <row r="3285" spans="1:5" ht="14.85" customHeight="1" x14ac:dyDescent="0.25">
      <c r="A3285" s="101" t="s">
        <v>1221</v>
      </c>
      <c r="B3285" s="102" t="s">
        <v>7629</v>
      </c>
      <c r="C3285" s="101" t="s">
        <v>7620</v>
      </c>
      <c r="D3285" s="101"/>
      <c r="E3285" s="79"/>
    </row>
    <row r="3286" spans="1:5" ht="14.85" customHeight="1" x14ac:dyDescent="0.25">
      <c r="A3286" s="101" t="s">
        <v>1221</v>
      </c>
      <c r="B3286" s="102" t="s">
        <v>7630</v>
      </c>
      <c r="C3286" s="101" t="s">
        <v>7620</v>
      </c>
      <c r="D3286" s="101"/>
      <c r="E3286" s="79"/>
    </row>
    <row r="3287" spans="1:5" ht="14.85" customHeight="1" x14ac:dyDescent="0.25">
      <c r="A3287" s="304" t="s">
        <v>1221</v>
      </c>
      <c r="B3287" s="305" t="s">
        <v>7631</v>
      </c>
      <c r="C3287" s="306" t="s">
        <v>7632</v>
      </c>
      <c r="D3287" s="101"/>
      <c r="E3287" s="79"/>
    </row>
    <row r="3288" spans="1:5" ht="14.85" customHeight="1" x14ac:dyDescent="0.25">
      <c r="A3288" s="101" t="s">
        <v>1221</v>
      </c>
      <c r="B3288" s="102" t="s">
        <v>7633</v>
      </c>
      <c r="C3288" s="101" t="s">
        <v>7620</v>
      </c>
      <c r="D3288" s="101"/>
      <c r="E3288" s="79"/>
    </row>
    <row r="3289" spans="1:5" ht="14.85" customHeight="1" x14ac:dyDescent="0.25">
      <c r="A3289" s="101" t="s">
        <v>1221</v>
      </c>
      <c r="B3289" s="102" t="s">
        <v>7634</v>
      </c>
      <c r="C3289" s="101" t="s">
        <v>7620</v>
      </c>
      <c r="D3289" s="101"/>
      <c r="E3289" s="79"/>
    </row>
    <row r="3290" spans="1:5" ht="14.85" customHeight="1" x14ac:dyDescent="0.25">
      <c r="A3290" s="101" t="s">
        <v>1221</v>
      </c>
      <c r="B3290" s="102" t="s">
        <v>7635</v>
      </c>
      <c r="C3290" s="101" t="s">
        <v>7620</v>
      </c>
      <c r="D3290" s="101"/>
      <c r="E3290" s="79"/>
    </row>
    <row r="3291" spans="1:5" ht="14.85" customHeight="1" x14ac:dyDescent="0.25">
      <c r="A3291" s="101" t="s">
        <v>1221</v>
      </c>
      <c r="B3291" s="102" t="s">
        <v>7636</v>
      </c>
      <c r="C3291" s="101" t="s">
        <v>7620</v>
      </c>
      <c r="D3291" s="101"/>
      <c r="E3291" s="79"/>
    </row>
    <row r="3292" spans="1:5" ht="14.85" customHeight="1" x14ac:dyDescent="0.25">
      <c r="A3292" s="101" t="s">
        <v>1221</v>
      </c>
      <c r="B3292" s="102" t="s">
        <v>7637</v>
      </c>
      <c r="C3292" s="101" t="s">
        <v>7620</v>
      </c>
      <c r="D3292" s="101"/>
      <c r="E3292" s="79"/>
    </row>
    <row r="3293" spans="1:5" ht="14.85" customHeight="1" x14ac:dyDescent="0.25">
      <c r="A3293" s="101" t="s">
        <v>1221</v>
      </c>
      <c r="B3293" s="102" t="s">
        <v>7638</v>
      </c>
      <c r="C3293" s="101" t="s">
        <v>7620</v>
      </c>
      <c r="D3293" s="101"/>
      <c r="E3293" s="79"/>
    </row>
    <row r="3294" spans="1:5" ht="14.85" customHeight="1" x14ac:dyDescent="0.25">
      <c r="A3294" s="101" t="s">
        <v>1221</v>
      </c>
      <c r="B3294" s="102" t="s">
        <v>7639</v>
      </c>
      <c r="C3294" s="101" t="s">
        <v>7620</v>
      </c>
      <c r="D3294" s="101"/>
      <c r="E3294" s="79"/>
    </row>
    <row r="3295" spans="1:5" ht="14.85" customHeight="1" x14ac:dyDescent="0.25">
      <c r="A3295" s="101" t="s">
        <v>1221</v>
      </c>
      <c r="B3295" s="102" t="s">
        <v>7640</v>
      </c>
      <c r="C3295" s="101" t="s">
        <v>7641</v>
      </c>
      <c r="D3295" s="101"/>
      <c r="E3295" s="79"/>
    </row>
    <row r="3296" spans="1:5" ht="14.85" customHeight="1" x14ac:dyDescent="0.25">
      <c r="A3296" s="101" t="s">
        <v>1221</v>
      </c>
      <c r="B3296" s="102" t="s">
        <v>7642</v>
      </c>
      <c r="C3296" s="101" t="s">
        <v>7643</v>
      </c>
      <c r="D3296" s="101"/>
      <c r="E3296" s="79"/>
    </row>
    <row r="3297" spans="1:5" ht="14.85" customHeight="1" x14ac:dyDescent="0.25">
      <c r="A3297" s="101" t="s">
        <v>1221</v>
      </c>
      <c r="B3297" s="102" t="s">
        <v>7644</v>
      </c>
      <c r="C3297" s="101" t="s">
        <v>7645</v>
      </c>
      <c r="D3297" s="101"/>
      <c r="E3297" s="79"/>
    </row>
    <row r="3298" spans="1:5" ht="14.85" customHeight="1" x14ac:dyDescent="0.25">
      <c r="A3298" s="101" t="s">
        <v>1221</v>
      </c>
      <c r="B3298" s="102" t="s">
        <v>7646</v>
      </c>
      <c r="C3298" s="101" t="s">
        <v>7647</v>
      </c>
      <c r="D3298" s="101"/>
      <c r="E3298" s="79"/>
    </row>
    <row r="3299" spans="1:5" ht="14.85" customHeight="1" x14ac:dyDescent="0.25">
      <c r="A3299" s="101" t="s">
        <v>1221</v>
      </c>
      <c r="B3299" s="102" t="s">
        <v>7648</v>
      </c>
      <c r="C3299" s="101" t="s">
        <v>7649</v>
      </c>
      <c r="D3299" s="101"/>
      <c r="E3299" s="79"/>
    </row>
    <row r="3300" spans="1:5" ht="14.85" customHeight="1" x14ac:dyDescent="0.25">
      <c r="A3300" s="101" t="s">
        <v>1221</v>
      </c>
      <c r="B3300" s="102" t="s">
        <v>7650</v>
      </c>
      <c r="C3300" s="101" t="s">
        <v>7651</v>
      </c>
      <c r="D3300" s="101"/>
      <c r="E3300" s="79"/>
    </row>
    <row r="3301" spans="1:5" ht="14.85" customHeight="1" x14ac:dyDescent="0.25">
      <c r="A3301" s="101" t="s">
        <v>1221</v>
      </c>
      <c r="B3301" s="102" t="s">
        <v>7652</v>
      </c>
      <c r="C3301" s="101" t="s">
        <v>7653</v>
      </c>
      <c r="D3301" s="101"/>
      <c r="E3301" s="79"/>
    </row>
    <row r="3302" spans="1:5" ht="14.85" customHeight="1" x14ac:dyDescent="0.25">
      <c r="A3302" s="101" t="s">
        <v>1221</v>
      </c>
      <c r="B3302" s="102" t="s">
        <v>7654</v>
      </c>
      <c r="C3302" s="101" t="s">
        <v>7655</v>
      </c>
      <c r="D3302" s="102"/>
      <c r="E3302" s="79"/>
    </row>
    <row r="3303" spans="1:5" ht="14.85" customHeight="1" x14ac:dyDescent="0.25">
      <c r="A3303" s="101" t="s">
        <v>1221</v>
      </c>
      <c r="B3303" s="102" t="s">
        <v>7656</v>
      </c>
      <c r="C3303" s="101" t="s">
        <v>7657</v>
      </c>
      <c r="D3303" s="102"/>
      <c r="E3303" s="79"/>
    </row>
    <row r="3304" spans="1:5" ht="14.85" customHeight="1" x14ac:dyDescent="0.25">
      <c r="A3304" s="304" t="s">
        <v>1221</v>
      </c>
      <c r="B3304" s="305" t="s">
        <v>7658</v>
      </c>
      <c r="C3304" s="306" t="s">
        <v>7659</v>
      </c>
      <c r="D3304" s="102"/>
      <c r="E3304" s="79"/>
    </row>
    <row r="3305" spans="1:5" ht="14.55" customHeight="1" x14ac:dyDescent="0.25">
      <c r="A3305" s="101" t="s">
        <v>1221</v>
      </c>
      <c r="B3305" s="102" t="s">
        <v>7660</v>
      </c>
      <c r="C3305" s="101" t="s">
        <v>7661</v>
      </c>
      <c r="D3305" s="101"/>
      <c r="E3305" s="79"/>
    </row>
    <row r="3306" spans="1:5" ht="14.55" customHeight="1" x14ac:dyDescent="0.25">
      <c r="A3306" s="101" t="s">
        <v>1221</v>
      </c>
      <c r="B3306" s="102" t="s">
        <v>7662</v>
      </c>
      <c r="C3306" s="101" t="s">
        <v>7663</v>
      </c>
      <c r="D3306" s="101"/>
      <c r="E3306" s="79"/>
    </row>
    <row r="3307" spans="1:5" ht="14.85" customHeight="1" x14ac:dyDescent="0.25">
      <c r="A3307" s="101" t="s">
        <v>1221</v>
      </c>
      <c r="B3307" s="102" t="s">
        <v>7664</v>
      </c>
      <c r="C3307" s="101" t="s">
        <v>7665</v>
      </c>
      <c r="D3307" s="102"/>
      <c r="E3307" s="79"/>
    </row>
    <row r="3308" spans="1:5" ht="14.85" customHeight="1" x14ac:dyDescent="0.25">
      <c r="A3308" s="101" t="s">
        <v>1221</v>
      </c>
      <c r="B3308" s="102" t="s">
        <v>7666</v>
      </c>
      <c r="C3308" s="101" t="s">
        <v>7667</v>
      </c>
      <c r="D3308" s="102"/>
      <c r="E3308" s="79"/>
    </row>
    <row r="3309" spans="1:5" ht="14.85" customHeight="1" x14ac:dyDescent="0.25">
      <c r="A3309" s="101" t="s">
        <v>1221</v>
      </c>
      <c r="B3309" s="102" t="s">
        <v>7668</v>
      </c>
      <c r="C3309" s="101" t="s">
        <v>7669</v>
      </c>
      <c r="D3309" s="101"/>
      <c r="E3309" s="79"/>
    </row>
    <row r="3310" spans="1:5" ht="14.85" customHeight="1" x14ac:dyDescent="0.25">
      <c r="A3310" s="101" t="s">
        <v>1221</v>
      </c>
      <c r="B3310" s="102" t="s">
        <v>7670</v>
      </c>
      <c r="C3310" s="101" t="s">
        <v>7671</v>
      </c>
      <c r="D3310" s="101"/>
      <c r="E3310" s="79"/>
    </row>
    <row r="3311" spans="1:5" ht="14.85" customHeight="1" x14ac:dyDescent="0.25">
      <c r="A3311" s="101" t="s">
        <v>1221</v>
      </c>
      <c r="B3311" s="102" t="s">
        <v>7672</v>
      </c>
      <c r="C3311" s="101" t="s">
        <v>7673</v>
      </c>
      <c r="D3311" s="101"/>
      <c r="E3311" s="79"/>
    </row>
    <row r="3312" spans="1:5" ht="14.85" customHeight="1" x14ac:dyDescent="0.25">
      <c r="A3312" s="101" t="s">
        <v>1221</v>
      </c>
      <c r="B3312" s="102" t="s">
        <v>7674</v>
      </c>
      <c r="C3312" s="101" t="s">
        <v>7675</v>
      </c>
      <c r="D3312" s="101"/>
      <c r="E3312" s="79"/>
    </row>
    <row r="3313" spans="1:5" ht="14.85" customHeight="1" x14ac:dyDescent="0.25">
      <c r="A3313" s="101" t="s">
        <v>1221</v>
      </c>
      <c r="B3313" s="102" t="s">
        <v>7534</v>
      </c>
      <c r="C3313" s="101" t="s">
        <v>7676</v>
      </c>
      <c r="D3313" s="101"/>
      <c r="E3313" s="79"/>
    </row>
    <row r="3314" spans="1:5" ht="14.85" customHeight="1" x14ac:dyDescent="0.25">
      <c r="A3314" s="101" t="s">
        <v>1221</v>
      </c>
      <c r="B3314" s="102" t="s">
        <v>7677</v>
      </c>
      <c r="C3314" s="101" t="s">
        <v>7676</v>
      </c>
      <c r="D3314" s="101"/>
      <c r="E3314" s="79"/>
    </row>
    <row r="3315" spans="1:5" ht="14.85" customHeight="1" x14ac:dyDescent="0.25">
      <c r="A3315" s="101" t="s">
        <v>1221</v>
      </c>
      <c r="B3315" s="102" t="s">
        <v>7678</v>
      </c>
      <c r="C3315" s="101" t="s">
        <v>7676</v>
      </c>
      <c r="D3315" s="101"/>
      <c r="E3315" s="79"/>
    </row>
    <row r="3316" spans="1:5" ht="14.85" customHeight="1" x14ac:dyDescent="0.25">
      <c r="A3316" s="101" t="s">
        <v>1221</v>
      </c>
      <c r="B3316" s="102" t="s">
        <v>7679</v>
      </c>
      <c r="C3316" s="101" t="s">
        <v>7676</v>
      </c>
      <c r="D3316" s="101"/>
      <c r="E3316" s="79"/>
    </row>
    <row r="3317" spans="1:5" ht="14.85" customHeight="1" x14ac:dyDescent="0.25">
      <c r="A3317" s="101" t="s">
        <v>1221</v>
      </c>
      <c r="B3317" s="102" t="s">
        <v>7680</v>
      </c>
      <c r="C3317" s="101" t="s">
        <v>7676</v>
      </c>
      <c r="D3317" s="101"/>
      <c r="E3317" s="79"/>
    </row>
    <row r="3318" spans="1:5" ht="14.85" customHeight="1" x14ac:dyDescent="0.25">
      <c r="A3318" s="101" t="s">
        <v>1221</v>
      </c>
      <c r="B3318" s="102" t="s">
        <v>7681</v>
      </c>
      <c r="C3318" s="101" t="s">
        <v>7676</v>
      </c>
      <c r="D3318" s="101"/>
      <c r="E3318" s="79"/>
    </row>
    <row r="3319" spans="1:5" ht="14.85" customHeight="1" x14ac:dyDescent="0.25">
      <c r="A3319" s="101" t="s">
        <v>1221</v>
      </c>
      <c r="B3319" s="102" t="s">
        <v>7682</v>
      </c>
      <c r="C3319" s="101" t="s">
        <v>7676</v>
      </c>
      <c r="D3319" s="101"/>
      <c r="E3319" s="79"/>
    </row>
    <row r="3320" spans="1:5" ht="14.85" customHeight="1" x14ac:dyDescent="0.25">
      <c r="A3320" s="101" t="s">
        <v>1221</v>
      </c>
      <c r="B3320" s="102" t="s">
        <v>7683</v>
      </c>
      <c r="C3320" s="101" t="s">
        <v>7676</v>
      </c>
      <c r="D3320" s="101"/>
      <c r="E3320" s="79"/>
    </row>
    <row r="3321" spans="1:5" ht="14.85" customHeight="1" x14ac:dyDescent="0.25">
      <c r="A3321" s="101" t="s">
        <v>1221</v>
      </c>
      <c r="B3321" s="102" t="s">
        <v>7684</v>
      </c>
      <c r="C3321" s="101" t="s">
        <v>7676</v>
      </c>
      <c r="D3321" s="101"/>
      <c r="E3321" s="79"/>
    </row>
    <row r="3322" spans="1:5" ht="14.85" customHeight="1" x14ac:dyDescent="0.25">
      <c r="A3322" s="101" t="s">
        <v>1221</v>
      </c>
      <c r="B3322" s="102" t="s">
        <v>7685</v>
      </c>
      <c r="C3322" s="101" t="s">
        <v>7676</v>
      </c>
      <c r="D3322" s="101"/>
      <c r="E3322" s="79"/>
    </row>
    <row r="3323" spans="1:5" ht="14.85" customHeight="1" x14ac:dyDescent="0.25">
      <c r="A3323" s="101" t="s">
        <v>1221</v>
      </c>
      <c r="B3323" s="102" t="s">
        <v>7536</v>
      </c>
      <c r="C3323" s="101" t="s">
        <v>7686</v>
      </c>
      <c r="D3323" s="101"/>
      <c r="E3323" s="79"/>
    </row>
    <row r="3324" spans="1:5" ht="14.85" customHeight="1" x14ac:dyDescent="0.25">
      <c r="A3324" s="101" t="s">
        <v>1221</v>
      </c>
      <c r="B3324" s="102" t="s">
        <v>7687</v>
      </c>
      <c r="C3324" s="101" t="s">
        <v>7686</v>
      </c>
      <c r="D3324" s="101"/>
      <c r="E3324" s="79"/>
    </row>
    <row r="3325" spans="1:5" ht="14.85" customHeight="1" x14ac:dyDescent="0.25">
      <c r="A3325" s="101" t="s">
        <v>1221</v>
      </c>
      <c r="B3325" s="102" t="s">
        <v>7688</v>
      </c>
      <c r="C3325" s="101" t="s">
        <v>7686</v>
      </c>
      <c r="D3325" s="101"/>
      <c r="E3325" s="79"/>
    </row>
    <row r="3326" spans="1:5" ht="14.85" customHeight="1" x14ac:dyDescent="0.25">
      <c r="A3326" s="101" t="s">
        <v>1221</v>
      </c>
      <c r="B3326" s="102" t="s">
        <v>7689</v>
      </c>
      <c r="C3326" s="101" t="s">
        <v>7686</v>
      </c>
      <c r="D3326" s="101"/>
      <c r="E3326" s="79"/>
    </row>
    <row r="3327" spans="1:5" ht="14.85" customHeight="1" x14ac:dyDescent="0.25">
      <c r="A3327" s="101" t="s">
        <v>1221</v>
      </c>
      <c r="B3327" s="102" t="s">
        <v>7690</v>
      </c>
      <c r="C3327" s="101" t="s">
        <v>7686</v>
      </c>
      <c r="D3327" s="101"/>
      <c r="E3327" s="79"/>
    </row>
    <row r="3328" spans="1:5" ht="14.85" customHeight="1" x14ac:dyDescent="0.25">
      <c r="A3328" s="101" t="s">
        <v>1221</v>
      </c>
      <c r="B3328" s="102" t="s">
        <v>7691</v>
      </c>
      <c r="C3328" s="101" t="s">
        <v>7686</v>
      </c>
      <c r="D3328" s="101"/>
      <c r="E3328" s="79"/>
    </row>
    <row r="3329" spans="1:5" ht="14.85" customHeight="1" x14ac:dyDescent="0.25">
      <c r="A3329" s="101" t="s">
        <v>1221</v>
      </c>
      <c r="B3329" s="102" t="s">
        <v>7692</v>
      </c>
      <c r="C3329" s="101" t="s">
        <v>7686</v>
      </c>
      <c r="D3329" s="101"/>
      <c r="E3329" s="79"/>
    </row>
    <row r="3330" spans="1:5" ht="14.85" customHeight="1" x14ac:dyDescent="0.25">
      <c r="A3330" s="101" t="s">
        <v>1221</v>
      </c>
      <c r="B3330" s="102" t="s">
        <v>7693</v>
      </c>
      <c r="C3330" s="101" t="s">
        <v>7686</v>
      </c>
      <c r="D3330" s="101"/>
      <c r="E3330" s="79"/>
    </row>
    <row r="3331" spans="1:5" ht="14.85" customHeight="1" x14ac:dyDescent="0.25">
      <c r="A3331" s="101" t="s">
        <v>1221</v>
      </c>
      <c r="B3331" s="102" t="s">
        <v>7694</v>
      </c>
      <c r="C3331" s="101" t="s">
        <v>7686</v>
      </c>
      <c r="D3331" s="101"/>
      <c r="E3331" s="79"/>
    </row>
    <row r="3332" spans="1:5" ht="14.85" customHeight="1" x14ac:dyDescent="0.25">
      <c r="A3332" s="101" t="s">
        <v>1221</v>
      </c>
      <c r="B3332" s="102" t="s">
        <v>7695</v>
      </c>
      <c r="C3332" s="101" t="s">
        <v>7686</v>
      </c>
      <c r="D3332" s="101"/>
      <c r="E3332" s="79"/>
    </row>
    <row r="3333" spans="1:5" ht="14.85" customHeight="1" x14ac:dyDescent="0.25">
      <c r="A3333" s="304" t="s">
        <v>1221</v>
      </c>
      <c r="B3333" s="305" t="s">
        <v>7696</v>
      </c>
      <c r="C3333" s="306" t="s">
        <v>7697</v>
      </c>
      <c r="D3333" s="101"/>
      <c r="E3333" s="79"/>
    </row>
    <row r="3334" spans="1:5" ht="14.85" customHeight="1" x14ac:dyDescent="0.25">
      <c r="A3334" s="101" t="s">
        <v>1221</v>
      </c>
      <c r="B3334" s="102" t="s">
        <v>7540</v>
      </c>
      <c r="C3334" s="101" t="s">
        <v>7698</v>
      </c>
      <c r="D3334" s="101"/>
      <c r="E3334" s="79"/>
    </row>
    <row r="3335" spans="1:5" ht="14.85" customHeight="1" x14ac:dyDescent="0.25">
      <c r="A3335" s="101" t="s">
        <v>1221</v>
      </c>
      <c r="B3335" s="102" t="s">
        <v>7699</v>
      </c>
      <c r="C3335" s="101" t="s">
        <v>7700</v>
      </c>
      <c r="D3335" s="101"/>
      <c r="E3335" s="79"/>
    </row>
    <row r="3336" spans="1:5" ht="14.85" customHeight="1" x14ac:dyDescent="0.25">
      <c r="A3336" s="101" t="s">
        <v>840</v>
      </c>
      <c r="B3336" s="102" t="s">
        <v>7336</v>
      </c>
      <c r="C3336" s="101" t="s">
        <v>7701</v>
      </c>
      <c r="D3336" s="101" t="s">
        <v>7702</v>
      </c>
      <c r="E3336" s="79"/>
    </row>
    <row r="3337" spans="1:5" ht="14.85" customHeight="1" x14ac:dyDescent="0.25">
      <c r="A3337" s="101" t="s">
        <v>840</v>
      </c>
      <c r="B3337" s="102" t="s">
        <v>7339</v>
      </c>
      <c r="C3337" s="101" t="s">
        <v>7703</v>
      </c>
      <c r="D3337" s="101" t="s">
        <v>7704</v>
      </c>
      <c r="E3337" s="79"/>
    </row>
    <row r="3338" spans="1:5" ht="14.85" customHeight="1" x14ac:dyDescent="0.25">
      <c r="A3338" s="101" t="s">
        <v>840</v>
      </c>
      <c r="B3338" s="102" t="s">
        <v>7705</v>
      </c>
      <c r="C3338" s="101" t="s">
        <v>7706</v>
      </c>
      <c r="D3338" s="101" t="s">
        <v>7707</v>
      </c>
      <c r="E3338" s="79"/>
    </row>
    <row r="3339" spans="1:5" ht="14.85" customHeight="1" x14ac:dyDescent="0.25">
      <c r="A3339" s="101" t="s">
        <v>840</v>
      </c>
      <c r="B3339" s="102" t="s">
        <v>7342</v>
      </c>
      <c r="C3339" s="101" t="s">
        <v>7708</v>
      </c>
      <c r="D3339" s="101"/>
      <c r="E3339" s="79"/>
    </row>
    <row r="3340" spans="1:5" ht="14.85" customHeight="1" x14ac:dyDescent="0.25">
      <c r="A3340" s="101" t="s">
        <v>840</v>
      </c>
      <c r="B3340" s="102" t="s">
        <v>7345</v>
      </c>
      <c r="C3340" s="101" t="s">
        <v>7709</v>
      </c>
      <c r="D3340" s="101"/>
      <c r="E3340" s="79"/>
    </row>
    <row r="3341" spans="1:5" ht="14.85" customHeight="1" x14ac:dyDescent="0.25">
      <c r="A3341" s="101" t="s">
        <v>840</v>
      </c>
      <c r="B3341" s="102" t="s">
        <v>7348</v>
      </c>
      <c r="C3341" s="101" t="s">
        <v>7710</v>
      </c>
      <c r="D3341" s="101"/>
      <c r="E3341" s="79"/>
    </row>
    <row r="3342" spans="1:5" ht="14.85" customHeight="1" x14ac:dyDescent="0.25">
      <c r="A3342" s="101" t="s">
        <v>840</v>
      </c>
      <c r="B3342" s="102" t="s">
        <v>7351</v>
      </c>
      <c r="C3342" s="101" t="s">
        <v>7711</v>
      </c>
      <c r="D3342" s="101"/>
      <c r="E3342" s="79"/>
    </row>
    <row r="3343" spans="1:5" ht="14.85" customHeight="1" x14ac:dyDescent="0.25">
      <c r="A3343" s="101" t="s">
        <v>840</v>
      </c>
      <c r="B3343" s="102" t="s">
        <v>7354</v>
      </c>
      <c r="C3343" s="101" t="s">
        <v>7712</v>
      </c>
      <c r="D3343" s="101"/>
      <c r="E3343" s="79"/>
    </row>
    <row r="3344" spans="1:5" ht="14.85" customHeight="1" x14ac:dyDescent="0.25">
      <c r="A3344" s="101" t="s">
        <v>840</v>
      </c>
      <c r="B3344" s="102" t="s">
        <v>7713</v>
      </c>
      <c r="C3344" s="101" t="s">
        <v>7714</v>
      </c>
      <c r="D3344" s="101"/>
      <c r="E3344" s="79"/>
    </row>
    <row r="3345" spans="1:5" ht="14.85" customHeight="1" x14ac:dyDescent="0.25">
      <c r="A3345" s="101" t="s">
        <v>840</v>
      </c>
      <c r="B3345" s="102" t="s">
        <v>136</v>
      </c>
      <c r="C3345" s="101" t="s">
        <v>7715</v>
      </c>
      <c r="D3345" s="101" t="s">
        <v>7716</v>
      </c>
      <c r="E3345" s="79"/>
    </row>
    <row r="3346" spans="1:5" ht="14.85" customHeight="1" x14ac:dyDescent="0.25">
      <c r="A3346" s="101" t="s">
        <v>840</v>
      </c>
      <c r="B3346" s="102" t="s">
        <v>142</v>
      </c>
      <c r="C3346" s="101" t="s">
        <v>7717</v>
      </c>
      <c r="D3346" s="101" t="s">
        <v>7718</v>
      </c>
      <c r="E3346" s="79"/>
    </row>
    <row r="3347" spans="1:5" ht="14.85" customHeight="1" x14ac:dyDescent="0.25">
      <c r="A3347" s="101" t="s">
        <v>840</v>
      </c>
      <c r="B3347" s="102" t="s">
        <v>146</v>
      </c>
      <c r="C3347" s="101" t="s">
        <v>7719</v>
      </c>
      <c r="D3347" s="101" t="s">
        <v>7720</v>
      </c>
      <c r="E3347" s="79"/>
    </row>
    <row r="3348" spans="1:5" ht="14.85" customHeight="1" x14ac:dyDescent="0.25">
      <c r="A3348" s="101" t="s">
        <v>840</v>
      </c>
      <c r="B3348" s="102" t="s">
        <v>152</v>
      </c>
      <c r="C3348" s="101" t="s">
        <v>7721</v>
      </c>
      <c r="D3348" s="101" t="s">
        <v>7722</v>
      </c>
      <c r="E3348" s="79"/>
    </row>
    <row r="3349" spans="1:5" ht="14.85" customHeight="1" x14ac:dyDescent="0.25">
      <c r="A3349" s="101" t="s">
        <v>840</v>
      </c>
      <c r="B3349" s="102" t="s">
        <v>156</v>
      </c>
      <c r="C3349" s="101" t="s">
        <v>7723</v>
      </c>
      <c r="D3349" s="101" t="s">
        <v>7724</v>
      </c>
      <c r="E3349" s="79"/>
    </row>
    <row r="3350" spans="1:5" ht="14.85" customHeight="1" x14ac:dyDescent="0.25">
      <c r="A3350" s="101" t="s">
        <v>840</v>
      </c>
      <c r="B3350" s="102" t="s">
        <v>161</v>
      </c>
      <c r="C3350" s="101" t="s">
        <v>7725</v>
      </c>
      <c r="D3350" s="101" t="s">
        <v>7726</v>
      </c>
      <c r="E3350" s="79"/>
    </row>
    <row r="3351" spans="1:5" ht="14.85" customHeight="1" x14ac:dyDescent="0.25">
      <c r="A3351" s="101" t="s">
        <v>840</v>
      </c>
      <c r="B3351" s="102" t="s">
        <v>218</v>
      </c>
      <c r="C3351" s="101" t="s">
        <v>7727</v>
      </c>
      <c r="D3351" s="101" t="s">
        <v>7728</v>
      </c>
      <c r="E3351" s="79"/>
    </row>
    <row r="3352" spans="1:5" ht="14.85" customHeight="1" x14ac:dyDescent="0.25">
      <c r="A3352" s="101" t="s">
        <v>840</v>
      </c>
      <c r="B3352" s="102" t="s">
        <v>224</v>
      </c>
      <c r="C3352" s="101" t="s">
        <v>7729</v>
      </c>
      <c r="D3352" s="101" t="s">
        <v>7730</v>
      </c>
      <c r="E3352" s="79"/>
    </row>
    <row r="3353" spans="1:5" ht="14.85" customHeight="1" x14ac:dyDescent="0.25">
      <c r="A3353" s="101" t="s">
        <v>188</v>
      </c>
      <c r="B3353" s="102" t="s">
        <v>7261</v>
      </c>
      <c r="C3353" s="101" t="s">
        <v>7731</v>
      </c>
      <c r="D3353" s="101" t="s">
        <v>7731</v>
      </c>
      <c r="E3353" s="79" t="s">
        <v>7732</v>
      </c>
    </row>
    <row r="3354" spans="1:5" ht="14.85" customHeight="1" x14ac:dyDescent="0.25">
      <c r="A3354" s="101" t="s">
        <v>188</v>
      </c>
      <c r="B3354" s="102" t="s">
        <v>1466</v>
      </c>
      <c r="C3354" s="101" t="s">
        <v>7733</v>
      </c>
      <c r="D3354" s="101" t="s">
        <v>7733</v>
      </c>
      <c r="E3354" s="79" t="s">
        <v>7734</v>
      </c>
    </row>
    <row r="3355" spans="1:5" ht="14.85" customHeight="1" x14ac:dyDescent="0.25">
      <c r="A3355" s="101" t="s">
        <v>618</v>
      </c>
      <c r="B3355" s="102" t="s">
        <v>7336</v>
      </c>
      <c r="C3355" s="101" t="s">
        <v>7735</v>
      </c>
      <c r="D3355" s="101" t="s">
        <v>7736</v>
      </c>
      <c r="E3355" s="79"/>
    </row>
    <row r="3356" spans="1:5" ht="14.85" customHeight="1" x14ac:dyDescent="0.25">
      <c r="A3356" s="101" t="s">
        <v>618</v>
      </c>
      <c r="B3356" s="102" t="s">
        <v>7339</v>
      </c>
      <c r="C3356" s="101" t="s">
        <v>7418</v>
      </c>
      <c r="D3356" s="101" t="s">
        <v>7737</v>
      </c>
      <c r="E3356" s="79"/>
    </row>
    <row r="3357" spans="1:5" ht="14.85" customHeight="1" x14ac:dyDescent="0.25">
      <c r="A3357" s="101" t="s">
        <v>618</v>
      </c>
      <c r="B3357" s="102" t="s">
        <v>7342</v>
      </c>
      <c r="C3357" s="101" t="s">
        <v>7399</v>
      </c>
      <c r="D3357" s="101" t="s">
        <v>7738</v>
      </c>
      <c r="E3357" s="79"/>
    </row>
    <row r="3358" spans="1:5" ht="14.85" customHeight="1" x14ac:dyDescent="0.25">
      <c r="A3358" s="101" t="s">
        <v>618</v>
      </c>
      <c r="B3358" s="102" t="s">
        <v>7345</v>
      </c>
      <c r="C3358" s="101" t="s">
        <v>7739</v>
      </c>
      <c r="D3358" s="101" t="s">
        <v>7740</v>
      </c>
      <c r="E3358" s="79"/>
    </row>
    <row r="3359" spans="1:5" ht="14.85" customHeight="1" x14ac:dyDescent="0.25">
      <c r="A3359" s="101" t="s">
        <v>618</v>
      </c>
      <c r="B3359" s="102" t="s">
        <v>7348</v>
      </c>
      <c r="C3359" s="101" t="s">
        <v>7741</v>
      </c>
      <c r="D3359" s="101" t="s">
        <v>7742</v>
      </c>
      <c r="E3359" s="79"/>
    </row>
    <row r="3360" spans="1:5" ht="14.85" customHeight="1" x14ac:dyDescent="0.25">
      <c r="A3360" s="101" t="s">
        <v>618</v>
      </c>
      <c r="B3360" s="102" t="s">
        <v>7351</v>
      </c>
      <c r="C3360" s="101" t="s">
        <v>7743</v>
      </c>
      <c r="D3360" s="101" t="s">
        <v>7744</v>
      </c>
      <c r="E3360" s="79"/>
    </row>
    <row r="3361" spans="1:5" ht="14.85" customHeight="1" x14ac:dyDescent="0.25">
      <c r="A3361" s="101" t="s">
        <v>618</v>
      </c>
      <c r="B3361" s="102" t="s">
        <v>7354</v>
      </c>
      <c r="C3361" s="101" t="s">
        <v>7448</v>
      </c>
      <c r="D3361" s="101" t="s">
        <v>7745</v>
      </c>
      <c r="E3361" s="79"/>
    </row>
    <row r="3362" spans="1:5" ht="14.85" customHeight="1" x14ac:dyDescent="0.25">
      <c r="A3362" s="101" t="s">
        <v>618</v>
      </c>
      <c r="B3362" s="102">
        <v>12</v>
      </c>
      <c r="C3362" s="101" t="s">
        <v>7746</v>
      </c>
      <c r="D3362" s="101" t="s">
        <v>7747</v>
      </c>
      <c r="E3362" s="79"/>
    </row>
    <row r="3363" spans="1:5" ht="14.85" customHeight="1" x14ac:dyDescent="0.25">
      <c r="A3363" s="101" t="s">
        <v>237</v>
      </c>
      <c r="B3363" s="102" t="s">
        <v>81</v>
      </c>
      <c r="C3363" s="101" t="s">
        <v>6639</v>
      </c>
      <c r="D3363" s="101"/>
      <c r="E3363" s="79"/>
    </row>
    <row r="3364" spans="1:5" ht="14.85" customHeight="1" x14ac:dyDescent="0.25">
      <c r="A3364" s="101" t="s">
        <v>237</v>
      </c>
      <c r="B3364" s="102" t="s">
        <v>90</v>
      </c>
      <c r="C3364" s="101" t="s">
        <v>6641</v>
      </c>
      <c r="D3364" s="101"/>
      <c r="E3364" s="79"/>
    </row>
    <row r="3365" spans="1:5" ht="14.85" customHeight="1" x14ac:dyDescent="0.25">
      <c r="A3365" s="101" t="s">
        <v>237</v>
      </c>
      <c r="B3365" s="102" t="s">
        <v>95</v>
      </c>
      <c r="C3365" s="101" t="s">
        <v>6643</v>
      </c>
      <c r="D3365" s="101"/>
      <c r="E3365" s="79"/>
    </row>
    <row r="3366" spans="1:5" ht="14.85" customHeight="1" x14ac:dyDescent="0.25">
      <c r="A3366" s="101" t="s">
        <v>237</v>
      </c>
      <c r="B3366" s="102" t="s">
        <v>101</v>
      </c>
      <c r="C3366" s="101" t="s">
        <v>6645</v>
      </c>
      <c r="D3366" s="101"/>
      <c r="E3366" s="79"/>
    </row>
    <row r="3367" spans="1:5" ht="14.85" customHeight="1" x14ac:dyDescent="0.25">
      <c r="A3367" s="101" t="s">
        <v>237</v>
      </c>
      <c r="B3367" s="102" t="s">
        <v>107</v>
      </c>
      <c r="C3367" s="101" t="s">
        <v>6647</v>
      </c>
      <c r="D3367" s="101"/>
      <c r="E3367" s="79"/>
    </row>
    <row r="3368" spans="1:5" ht="14.85" customHeight="1" x14ac:dyDescent="0.25">
      <c r="A3368" s="101" t="s">
        <v>237</v>
      </c>
      <c r="B3368" s="102" t="s">
        <v>116</v>
      </c>
      <c r="C3368" s="101" t="s">
        <v>6649</v>
      </c>
      <c r="D3368" s="101"/>
      <c r="E3368" s="79"/>
    </row>
    <row r="3369" spans="1:5" ht="14.85" customHeight="1" x14ac:dyDescent="0.25">
      <c r="A3369" s="101" t="s">
        <v>237</v>
      </c>
      <c r="B3369" s="102" t="s">
        <v>121</v>
      </c>
      <c r="C3369" s="101" t="s">
        <v>6651</v>
      </c>
      <c r="D3369" s="101"/>
      <c r="E3369" s="79"/>
    </row>
    <row r="3370" spans="1:5" ht="14.85" customHeight="1" x14ac:dyDescent="0.25">
      <c r="A3370" s="101" t="s">
        <v>237</v>
      </c>
      <c r="B3370" s="102" t="s">
        <v>127</v>
      </c>
      <c r="C3370" s="101" t="s">
        <v>6653</v>
      </c>
      <c r="D3370" s="101"/>
      <c r="E3370" s="79"/>
    </row>
    <row r="3371" spans="1:5" ht="14.85" customHeight="1" x14ac:dyDescent="0.25">
      <c r="A3371" s="101" t="s">
        <v>237</v>
      </c>
      <c r="B3371" s="102" t="s">
        <v>132</v>
      </c>
      <c r="C3371" s="101" t="s">
        <v>6655</v>
      </c>
      <c r="D3371" s="101"/>
      <c r="E3371" s="79"/>
    </row>
    <row r="3372" spans="1:5" ht="14.85" customHeight="1" x14ac:dyDescent="0.25">
      <c r="A3372" s="101" t="s">
        <v>237</v>
      </c>
      <c r="B3372" s="102" t="s">
        <v>136</v>
      </c>
      <c r="C3372" s="101" t="s">
        <v>6657</v>
      </c>
      <c r="D3372" s="101"/>
      <c r="E3372" s="79"/>
    </row>
    <row r="3373" spans="1:5" ht="14.85" customHeight="1" x14ac:dyDescent="0.25">
      <c r="A3373" s="101" t="s">
        <v>237</v>
      </c>
      <c r="B3373" s="102" t="s">
        <v>142</v>
      </c>
      <c r="C3373" s="101" t="s">
        <v>6659</v>
      </c>
      <c r="D3373" s="101"/>
      <c r="E3373" s="79"/>
    </row>
    <row r="3374" spans="1:5" ht="14.85" customHeight="1" x14ac:dyDescent="0.25">
      <c r="A3374" s="101" t="s">
        <v>237</v>
      </c>
      <c r="B3374" s="102" t="s">
        <v>146</v>
      </c>
      <c r="C3374" s="101" t="s">
        <v>6661</v>
      </c>
      <c r="D3374" s="101"/>
      <c r="E3374" s="79"/>
    </row>
    <row r="3375" spans="1:5" ht="14.85" customHeight="1" x14ac:dyDescent="0.25">
      <c r="A3375" s="101" t="s">
        <v>237</v>
      </c>
      <c r="B3375" s="102" t="s">
        <v>6663</v>
      </c>
      <c r="C3375" s="101" t="s">
        <v>1489</v>
      </c>
      <c r="D3375" s="101"/>
      <c r="E3375" s="79"/>
    </row>
    <row r="3376" spans="1:5" ht="14.85" customHeight="1" x14ac:dyDescent="0.25">
      <c r="A3376" s="101" t="s">
        <v>237</v>
      </c>
      <c r="B3376" s="102" t="s">
        <v>7037</v>
      </c>
      <c r="C3376" s="101" t="s">
        <v>7748</v>
      </c>
      <c r="E3376" s="101" t="s">
        <v>7749</v>
      </c>
    </row>
    <row r="3377" spans="1:5" ht="14.85" customHeight="1" x14ac:dyDescent="0.25">
      <c r="A3377" s="101" t="s">
        <v>237</v>
      </c>
      <c r="B3377" s="102" t="s">
        <v>6668</v>
      </c>
      <c r="C3377" s="101" t="s">
        <v>7750</v>
      </c>
      <c r="E3377" s="101" t="s">
        <v>7751</v>
      </c>
    </row>
    <row r="3378" spans="1:5" ht="14.85" customHeight="1" x14ac:dyDescent="0.25">
      <c r="A3378" s="101" t="s">
        <v>659</v>
      </c>
      <c r="B3378" s="102" t="s">
        <v>7752</v>
      </c>
      <c r="C3378" s="101" t="s">
        <v>7753</v>
      </c>
      <c r="D3378" s="101"/>
      <c r="E3378" s="79"/>
    </row>
    <row r="3379" spans="1:5" ht="14.85" customHeight="1" x14ac:dyDescent="0.25">
      <c r="A3379" s="101" t="s">
        <v>659</v>
      </c>
      <c r="B3379" s="102" t="s">
        <v>7754</v>
      </c>
      <c r="C3379" s="101" t="s">
        <v>7755</v>
      </c>
      <c r="D3379" s="101"/>
      <c r="E3379" s="79"/>
    </row>
    <row r="3380" spans="1:5" ht="14.85" customHeight="1" x14ac:dyDescent="0.25">
      <c r="A3380" s="101" t="s">
        <v>659</v>
      </c>
      <c r="B3380" s="102" t="s">
        <v>7756</v>
      </c>
      <c r="C3380" s="101" t="s">
        <v>7757</v>
      </c>
      <c r="D3380" s="101"/>
      <c r="E3380" s="79"/>
    </row>
    <row r="3381" spans="1:5" ht="14.85" customHeight="1" x14ac:dyDescent="0.25">
      <c r="A3381" s="101" t="s">
        <v>659</v>
      </c>
      <c r="B3381" s="102" t="s">
        <v>7758</v>
      </c>
      <c r="C3381" s="101" t="s">
        <v>7759</v>
      </c>
      <c r="D3381" s="101"/>
      <c r="E3381" s="79"/>
    </row>
    <row r="3382" spans="1:5" ht="14.85" customHeight="1" x14ac:dyDescent="0.25">
      <c r="A3382" s="101" t="s">
        <v>659</v>
      </c>
      <c r="B3382" s="102" t="s">
        <v>7760</v>
      </c>
      <c r="C3382" s="101" t="s">
        <v>7761</v>
      </c>
      <c r="D3382" s="101"/>
      <c r="E3382" s="79"/>
    </row>
    <row r="3383" spans="1:5" ht="14.85" customHeight="1" x14ac:dyDescent="0.25">
      <c r="A3383" s="101" t="s">
        <v>659</v>
      </c>
      <c r="B3383" s="102" t="s">
        <v>7762</v>
      </c>
      <c r="C3383" s="101" t="s">
        <v>7763</v>
      </c>
      <c r="D3383" s="101"/>
      <c r="E3383" s="79"/>
    </row>
    <row r="3384" spans="1:5" ht="14.85" customHeight="1" x14ac:dyDescent="0.25">
      <c r="A3384" s="101" t="s">
        <v>659</v>
      </c>
      <c r="B3384" s="102" t="s">
        <v>7764</v>
      </c>
      <c r="C3384" s="101" t="s">
        <v>7765</v>
      </c>
      <c r="D3384" s="101"/>
      <c r="E3384" s="79"/>
    </row>
    <row r="3385" spans="1:5" ht="14.85" customHeight="1" x14ac:dyDescent="0.25">
      <c r="A3385" s="101" t="s">
        <v>659</v>
      </c>
      <c r="B3385" s="102" t="s">
        <v>7766</v>
      </c>
      <c r="C3385" s="101" t="s">
        <v>7767</v>
      </c>
      <c r="D3385" s="101"/>
      <c r="E3385" s="79"/>
    </row>
    <row r="3386" spans="1:5" ht="14.85" customHeight="1" x14ac:dyDescent="0.25">
      <c r="A3386" s="101" t="s">
        <v>659</v>
      </c>
      <c r="B3386" s="102" t="s">
        <v>7768</v>
      </c>
      <c r="C3386" s="101" t="s">
        <v>7769</v>
      </c>
      <c r="D3386" s="101"/>
      <c r="E3386" s="79"/>
    </row>
    <row r="3387" spans="1:5" ht="14.85" customHeight="1" x14ac:dyDescent="0.25">
      <c r="A3387" s="101" t="s">
        <v>659</v>
      </c>
      <c r="B3387" s="102" t="s">
        <v>7770</v>
      </c>
      <c r="C3387" s="101" t="s">
        <v>7771</v>
      </c>
      <c r="D3387" s="101"/>
      <c r="E3387" s="79"/>
    </row>
    <row r="3388" spans="1:5" ht="14.85" customHeight="1" x14ac:dyDescent="0.25">
      <c r="A3388" s="101" t="s">
        <v>659</v>
      </c>
      <c r="B3388" s="102" t="s">
        <v>7772</v>
      </c>
      <c r="C3388" s="101" t="s">
        <v>7773</v>
      </c>
      <c r="D3388" s="101"/>
      <c r="E3388" s="79"/>
    </row>
    <row r="3389" spans="1:5" ht="14.85" customHeight="1" x14ac:dyDescent="0.25">
      <c r="A3389" s="101" t="s">
        <v>659</v>
      </c>
      <c r="B3389" s="102" t="s">
        <v>7774</v>
      </c>
      <c r="C3389" s="101" t="s">
        <v>7775</v>
      </c>
      <c r="D3389" s="101"/>
      <c r="E3389" s="79"/>
    </row>
    <row r="3390" spans="1:5" ht="14.85" customHeight="1" x14ac:dyDescent="0.25">
      <c r="A3390" s="101" t="s">
        <v>659</v>
      </c>
      <c r="B3390" s="102" t="s">
        <v>7776</v>
      </c>
      <c r="C3390" s="101" t="s">
        <v>7777</v>
      </c>
      <c r="D3390" s="101"/>
      <c r="E3390" s="79"/>
    </row>
    <row r="3391" spans="1:5" ht="14.85" customHeight="1" x14ac:dyDescent="0.25">
      <c r="A3391" s="101" t="s">
        <v>659</v>
      </c>
      <c r="B3391" s="102" t="s">
        <v>7778</v>
      </c>
      <c r="C3391" s="101" t="s">
        <v>7779</v>
      </c>
      <c r="D3391" s="101"/>
      <c r="E3391" s="79"/>
    </row>
    <row r="3392" spans="1:5" ht="14.85" customHeight="1" x14ac:dyDescent="0.25">
      <c r="A3392" s="101" t="s">
        <v>659</v>
      </c>
      <c r="B3392" s="102" t="s">
        <v>7780</v>
      </c>
      <c r="C3392" s="101" t="s">
        <v>7781</v>
      </c>
      <c r="D3392" s="101"/>
      <c r="E3392" s="79"/>
    </row>
    <row r="3393" spans="1:5" ht="14.85" customHeight="1" x14ac:dyDescent="0.25">
      <c r="A3393" s="101" t="s">
        <v>659</v>
      </c>
      <c r="B3393" s="102" t="s">
        <v>7782</v>
      </c>
      <c r="C3393" s="101" t="s">
        <v>7783</v>
      </c>
      <c r="D3393" s="101"/>
      <c r="E3393" s="79"/>
    </row>
    <row r="3394" spans="1:5" ht="14.85" customHeight="1" x14ac:dyDescent="0.25">
      <c r="A3394" s="101" t="s">
        <v>659</v>
      </c>
      <c r="B3394" s="102" t="s">
        <v>7784</v>
      </c>
      <c r="C3394" s="101" t="s">
        <v>7785</v>
      </c>
      <c r="D3394" s="101"/>
      <c r="E3394" s="79"/>
    </row>
    <row r="3395" spans="1:5" ht="14.85" customHeight="1" x14ac:dyDescent="0.25">
      <c r="A3395" s="101" t="s">
        <v>659</v>
      </c>
      <c r="B3395" s="102" t="s">
        <v>7786</v>
      </c>
      <c r="C3395" s="101" t="s">
        <v>7787</v>
      </c>
      <c r="D3395" s="101"/>
      <c r="E3395" s="79"/>
    </row>
    <row r="3396" spans="1:5" ht="14.85" customHeight="1" x14ac:dyDescent="0.25">
      <c r="A3396" s="101" t="s">
        <v>659</v>
      </c>
      <c r="B3396" s="102" t="s">
        <v>7788</v>
      </c>
      <c r="C3396" s="101" t="s">
        <v>7789</v>
      </c>
      <c r="D3396" s="101"/>
      <c r="E3396" s="79"/>
    </row>
    <row r="3397" spans="1:5" ht="14.85" customHeight="1" x14ac:dyDescent="0.25">
      <c r="A3397" s="101" t="s">
        <v>306</v>
      </c>
      <c r="B3397" s="102" t="s">
        <v>81</v>
      </c>
      <c r="C3397" s="101" t="s">
        <v>7790</v>
      </c>
      <c r="D3397" s="101" t="s">
        <v>7791</v>
      </c>
      <c r="E3397" s="79" t="s">
        <v>7792</v>
      </c>
    </row>
    <row r="3398" spans="1:5" ht="14.85" customHeight="1" x14ac:dyDescent="0.25">
      <c r="A3398" s="101" t="s">
        <v>306</v>
      </c>
      <c r="B3398" s="102" t="s">
        <v>90</v>
      </c>
      <c r="C3398" s="101" t="s">
        <v>7793</v>
      </c>
      <c r="D3398" s="101" t="s">
        <v>7794</v>
      </c>
      <c r="E3398" s="79" t="s">
        <v>7795</v>
      </c>
    </row>
    <row r="3399" spans="1:5" ht="14.85" customHeight="1" x14ac:dyDescent="0.25">
      <c r="A3399" s="101" t="s">
        <v>306</v>
      </c>
      <c r="B3399" s="102" t="s">
        <v>95</v>
      </c>
      <c r="C3399" s="101" t="s">
        <v>7796</v>
      </c>
      <c r="D3399" s="101" t="s">
        <v>7796</v>
      </c>
      <c r="E3399" s="79" t="s">
        <v>7797</v>
      </c>
    </row>
    <row r="3400" spans="1:5" ht="14.85" customHeight="1" x14ac:dyDescent="0.25">
      <c r="A3400" s="101" t="s">
        <v>306</v>
      </c>
      <c r="B3400" s="102" t="s">
        <v>101</v>
      </c>
      <c r="C3400" s="101" t="s">
        <v>7798</v>
      </c>
      <c r="D3400" s="101" t="s">
        <v>7798</v>
      </c>
      <c r="E3400" s="79" t="s">
        <v>7799</v>
      </c>
    </row>
    <row r="3401" spans="1:5" ht="14.85" customHeight="1" x14ac:dyDescent="0.25">
      <c r="A3401" s="101" t="s">
        <v>222</v>
      </c>
      <c r="B3401" s="102" t="s">
        <v>81</v>
      </c>
      <c r="C3401" s="101" t="s">
        <v>7800</v>
      </c>
      <c r="D3401" s="101" t="s">
        <v>7800</v>
      </c>
      <c r="E3401" s="79"/>
    </row>
    <row r="3402" spans="1:5" ht="14.85" customHeight="1" x14ac:dyDescent="0.25">
      <c r="A3402" s="101" t="s">
        <v>222</v>
      </c>
      <c r="B3402" s="102" t="s">
        <v>90</v>
      </c>
      <c r="C3402" s="101" t="s">
        <v>7801</v>
      </c>
      <c r="D3402" s="101" t="s">
        <v>7801</v>
      </c>
      <c r="E3402" s="79"/>
    </row>
    <row r="3403" spans="1:5" ht="14.85" customHeight="1" x14ac:dyDescent="0.25">
      <c r="A3403" s="101" t="s">
        <v>222</v>
      </c>
      <c r="B3403" s="102" t="s">
        <v>95</v>
      </c>
      <c r="C3403" s="101" t="s">
        <v>7802</v>
      </c>
      <c r="D3403" s="101" t="s">
        <v>7802</v>
      </c>
      <c r="E3403" s="79"/>
    </row>
    <row r="3404" spans="1:5" ht="14.85" customHeight="1" x14ac:dyDescent="0.25">
      <c r="A3404" s="101" t="s">
        <v>222</v>
      </c>
      <c r="B3404" s="102" t="s">
        <v>101</v>
      </c>
      <c r="C3404" s="101" t="s">
        <v>7803</v>
      </c>
      <c r="D3404" s="101" t="s">
        <v>7803</v>
      </c>
      <c r="E3404" s="79"/>
    </row>
    <row r="3405" spans="1:5" ht="14.85" customHeight="1" x14ac:dyDescent="0.25">
      <c r="A3405" s="101" t="s">
        <v>222</v>
      </c>
      <c r="B3405" s="102" t="s">
        <v>107</v>
      </c>
      <c r="C3405" s="101" t="s">
        <v>7804</v>
      </c>
      <c r="D3405" s="101" t="s">
        <v>7804</v>
      </c>
      <c r="E3405" s="79"/>
    </row>
    <row r="3406" spans="1:5" ht="14.85" customHeight="1" x14ac:dyDescent="0.25">
      <c r="A3406" s="101" t="s">
        <v>222</v>
      </c>
      <c r="B3406" s="102" t="s">
        <v>116</v>
      </c>
      <c r="C3406" s="101" t="s">
        <v>7805</v>
      </c>
      <c r="D3406" s="101" t="s">
        <v>7805</v>
      </c>
      <c r="E3406" s="79"/>
    </row>
    <row r="3407" spans="1:5" ht="14.85" customHeight="1" x14ac:dyDescent="0.25">
      <c r="A3407" s="101" t="s">
        <v>222</v>
      </c>
      <c r="B3407" s="102" t="s">
        <v>121</v>
      </c>
      <c r="C3407" s="101" t="s">
        <v>7806</v>
      </c>
      <c r="D3407" s="101" t="s">
        <v>7806</v>
      </c>
      <c r="E3407" s="79"/>
    </row>
    <row r="3408" spans="1:5" ht="14.85" customHeight="1" x14ac:dyDescent="0.25">
      <c r="A3408" s="101" t="s">
        <v>222</v>
      </c>
      <c r="B3408" s="102" t="s">
        <v>127</v>
      </c>
      <c r="C3408" s="101" t="s">
        <v>7807</v>
      </c>
      <c r="D3408" s="101" t="s">
        <v>7807</v>
      </c>
      <c r="E3408" s="79"/>
    </row>
    <row r="3409" spans="1:5" ht="14.85" customHeight="1" x14ac:dyDescent="0.25">
      <c r="A3409" s="101" t="s">
        <v>222</v>
      </c>
      <c r="B3409" s="102" t="s">
        <v>132</v>
      </c>
      <c r="C3409" s="101" t="s">
        <v>7808</v>
      </c>
      <c r="D3409" s="101" t="s">
        <v>7808</v>
      </c>
      <c r="E3409" s="79"/>
    </row>
    <row r="3410" spans="1:5" ht="14.85" customHeight="1" x14ac:dyDescent="0.25">
      <c r="A3410" s="101" t="s">
        <v>222</v>
      </c>
      <c r="B3410" s="102" t="s">
        <v>136</v>
      </c>
      <c r="C3410" s="101" t="s">
        <v>7809</v>
      </c>
      <c r="D3410" s="101" t="s">
        <v>7809</v>
      </c>
      <c r="E3410" s="79"/>
    </row>
    <row r="3411" spans="1:5" ht="14.85" customHeight="1" x14ac:dyDescent="0.25">
      <c r="A3411" s="101" t="s">
        <v>222</v>
      </c>
      <c r="B3411" s="102" t="s">
        <v>142</v>
      </c>
      <c r="C3411" s="101" t="s">
        <v>7810</v>
      </c>
      <c r="D3411" s="101" t="s">
        <v>7810</v>
      </c>
      <c r="E3411" s="79"/>
    </row>
    <row r="3412" spans="1:5" ht="14.85" customHeight="1" x14ac:dyDescent="0.25">
      <c r="A3412" s="101" t="s">
        <v>222</v>
      </c>
      <c r="B3412" s="102" t="s">
        <v>146</v>
      </c>
      <c r="C3412" s="101" t="s">
        <v>7811</v>
      </c>
      <c r="D3412" s="101" t="s">
        <v>7811</v>
      </c>
      <c r="E3412" s="79"/>
    </row>
    <row r="3413" spans="1:5" ht="14.85" customHeight="1" x14ac:dyDescent="0.25">
      <c r="A3413" s="101" t="s">
        <v>222</v>
      </c>
      <c r="B3413" s="102" t="s">
        <v>152</v>
      </c>
      <c r="C3413" s="101" t="s">
        <v>7812</v>
      </c>
      <c r="D3413" s="101" t="s">
        <v>7812</v>
      </c>
      <c r="E3413" s="79"/>
    </row>
    <row r="3414" spans="1:5" ht="14.85" customHeight="1" x14ac:dyDescent="0.25">
      <c r="A3414" s="101" t="s">
        <v>222</v>
      </c>
      <c r="B3414" s="102" t="s">
        <v>156</v>
      </c>
      <c r="C3414" s="101" t="s">
        <v>7813</v>
      </c>
      <c r="D3414" s="101" t="s">
        <v>7813</v>
      </c>
      <c r="E3414" s="79"/>
    </row>
    <row r="3415" spans="1:5" ht="14.85" customHeight="1" x14ac:dyDescent="0.25">
      <c r="A3415" s="101" t="s">
        <v>222</v>
      </c>
      <c r="B3415" s="102" t="s">
        <v>161</v>
      </c>
      <c r="C3415" s="101" t="s">
        <v>7814</v>
      </c>
      <c r="D3415" s="101" t="s">
        <v>7814</v>
      </c>
      <c r="E3415" s="79"/>
    </row>
    <row r="3416" spans="1:5" ht="14.85" customHeight="1" x14ac:dyDescent="0.25">
      <c r="A3416" s="101" t="s">
        <v>222</v>
      </c>
      <c r="B3416" s="102" t="s">
        <v>218</v>
      </c>
      <c r="C3416" s="101" t="s">
        <v>7815</v>
      </c>
      <c r="D3416" s="101" t="s">
        <v>7815</v>
      </c>
      <c r="E3416" s="79"/>
    </row>
    <row r="3417" spans="1:5" ht="14.85" customHeight="1" x14ac:dyDescent="0.25">
      <c r="A3417" s="101" t="s">
        <v>222</v>
      </c>
      <c r="B3417" s="102" t="s">
        <v>224</v>
      </c>
      <c r="C3417" s="101" t="s">
        <v>7816</v>
      </c>
      <c r="D3417" s="101" t="s">
        <v>7816</v>
      </c>
      <c r="E3417" s="79"/>
    </row>
    <row r="3418" spans="1:5" ht="14.85" customHeight="1" x14ac:dyDescent="0.25">
      <c r="A3418" s="101" t="s">
        <v>222</v>
      </c>
      <c r="B3418" s="102" t="s">
        <v>230</v>
      </c>
      <c r="C3418" s="101" t="s">
        <v>7817</v>
      </c>
      <c r="D3418" s="101" t="s">
        <v>7817</v>
      </c>
      <c r="E3418" s="79"/>
    </row>
    <row r="3419" spans="1:5" ht="14.85" customHeight="1" x14ac:dyDescent="0.25">
      <c r="A3419" s="101" t="s">
        <v>222</v>
      </c>
      <c r="B3419" s="102" t="s">
        <v>236</v>
      </c>
      <c r="C3419" s="101" t="s">
        <v>7818</v>
      </c>
      <c r="D3419" s="101" t="s">
        <v>7818</v>
      </c>
      <c r="E3419" s="79"/>
    </row>
    <row r="3420" spans="1:5" ht="14.85" customHeight="1" x14ac:dyDescent="0.25">
      <c r="A3420" s="101" t="s">
        <v>222</v>
      </c>
      <c r="B3420" s="102" t="s">
        <v>241</v>
      </c>
      <c r="C3420" s="101" t="s">
        <v>7819</v>
      </c>
      <c r="D3420" s="101" t="s">
        <v>7819</v>
      </c>
      <c r="E3420" s="79"/>
    </row>
    <row r="3421" spans="1:5" ht="14.85" customHeight="1" x14ac:dyDescent="0.25">
      <c r="A3421" s="101" t="s">
        <v>222</v>
      </c>
      <c r="B3421" s="102" t="s">
        <v>251</v>
      </c>
      <c r="C3421" s="101" t="s">
        <v>7820</v>
      </c>
      <c r="D3421" s="101" t="s">
        <v>7820</v>
      </c>
      <c r="E3421" s="79"/>
    </row>
    <row r="3422" spans="1:5" ht="14.85" customHeight="1" x14ac:dyDescent="0.25">
      <c r="A3422" s="101" t="s">
        <v>222</v>
      </c>
      <c r="B3422" s="102" t="s">
        <v>258</v>
      </c>
      <c r="C3422" s="101" t="s">
        <v>7821</v>
      </c>
      <c r="D3422" s="101" t="s">
        <v>7821</v>
      </c>
      <c r="E3422" s="79"/>
    </row>
    <row r="3423" spans="1:5" ht="14.85" customHeight="1" x14ac:dyDescent="0.25">
      <c r="A3423" s="101" t="s">
        <v>222</v>
      </c>
      <c r="B3423" s="102" t="s">
        <v>262</v>
      </c>
      <c r="C3423" s="101" t="s">
        <v>7822</v>
      </c>
      <c r="D3423" s="101" t="s">
        <v>7822</v>
      </c>
      <c r="E3423" s="79"/>
    </row>
    <row r="3424" spans="1:5" ht="14.85" customHeight="1" x14ac:dyDescent="0.25">
      <c r="A3424" s="101" t="s">
        <v>222</v>
      </c>
      <c r="B3424" s="102" t="s">
        <v>266</v>
      </c>
      <c r="C3424" s="101" t="s">
        <v>7823</v>
      </c>
      <c r="D3424" s="101" t="s">
        <v>7823</v>
      </c>
      <c r="E3424" s="79"/>
    </row>
    <row r="3425" spans="1:5" ht="14.85" customHeight="1" x14ac:dyDescent="0.25">
      <c r="A3425" s="101" t="s">
        <v>222</v>
      </c>
      <c r="B3425" s="102" t="s">
        <v>271</v>
      </c>
      <c r="C3425" s="101" t="s">
        <v>7824</v>
      </c>
      <c r="D3425" s="101" t="s">
        <v>7824</v>
      </c>
      <c r="E3425" s="79"/>
    </row>
    <row r="3426" spans="1:5" ht="14.85" customHeight="1" x14ac:dyDescent="0.25">
      <c r="A3426" s="101" t="s">
        <v>222</v>
      </c>
      <c r="B3426" s="102" t="s">
        <v>277</v>
      </c>
      <c r="C3426" s="101" t="s">
        <v>7825</v>
      </c>
      <c r="D3426" s="101" t="s">
        <v>7825</v>
      </c>
      <c r="E3426" s="79"/>
    </row>
    <row r="3427" spans="1:5" ht="14.85" customHeight="1" x14ac:dyDescent="0.25">
      <c r="A3427" s="101" t="s">
        <v>222</v>
      </c>
      <c r="B3427" s="102" t="s">
        <v>282</v>
      </c>
      <c r="C3427" s="101" t="s">
        <v>7826</v>
      </c>
      <c r="D3427" s="101" t="s">
        <v>7826</v>
      </c>
      <c r="E3427" s="79"/>
    </row>
    <row r="3428" spans="1:5" ht="14.85" customHeight="1" x14ac:dyDescent="0.25">
      <c r="A3428" s="101" t="s">
        <v>222</v>
      </c>
      <c r="B3428" s="102" t="s">
        <v>287</v>
      </c>
      <c r="C3428" s="101" t="s">
        <v>7827</v>
      </c>
      <c r="D3428" s="101" t="s">
        <v>7827</v>
      </c>
      <c r="E3428" s="79"/>
    </row>
    <row r="3429" spans="1:5" ht="14.85" customHeight="1" x14ac:dyDescent="0.25">
      <c r="A3429" s="101" t="s">
        <v>222</v>
      </c>
      <c r="B3429" s="102" t="s">
        <v>292</v>
      </c>
      <c r="C3429" s="101" t="s">
        <v>7828</v>
      </c>
      <c r="D3429" s="101" t="s">
        <v>7828</v>
      </c>
      <c r="E3429" s="79"/>
    </row>
    <row r="3430" spans="1:5" ht="14.85" customHeight="1" x14ac:dyDescent="0.25">
      <c r="A3430" s="101" t="s">
        <v>222</v>
      </c>
      <c r="B3430" s="102" t="s">
        <v>296</v>
      </c>
      <c r="C3430" s="101" t="s">
        <v>7829</v>
      </c>
      <c r="D3430" s="101" t="s">
        <v>7829</v>
      </c>
      <c r="E3430" s="79"/>
    </row>
    <row r="3431" spans="1:5" ht="14.85" customHeight="1" x14ac:dyDescent="0.25">
      <c r="A3431" s="101" t="s">
        <v>222</v>
      </c>
      <c r="B3431" s="102" t="s">
        <v>301</v>
      </c>
      <c r="C3431" s="101" t="s">
        <v>7830</v>
      </c>
      <c r="D3431" s="101" t="s">
        <v>7830</v>
      </c>
      <c r="E3431" s="79"/>
    </row>
    <row r="3432" spans="1:5" ht="14.85" customHeight="1" x14ac:dyDescent="0.25">
      <c r="A3432" s="101" t="s">
        <v>222</v>
      </c>
      <c r="B3432" s="102" t="s">
        <v>305</v>
      </c>
      <c r="C3432" s="101" t="s">
        <v>7831</v>
      </c>
      <c r="D3432" s="101" t="s">
        <v>7831</v>
      </c>
      <c r="E3432" s="79"/>
    </row>
    <row r="3433" spans="1:5" ht="14.85" customHeight="1" x14ac:dyDescent="0.25">
      <c r="A3433" s="101" t="s">
        <v>222</v>
      </c>
      <c r="B3433" s="102" t="s">
        <v>309</v>
      </c>
      <c r="C3433" s="101" t="s">
        <v>7832</v>
      </c>
      <c r="D3433" s="101" t="s">
        <v>7832</v>
      </c>
      <c r="E3433" s="79"/>
    </row>
    <row r="3434" spans="1:5" ht="14.85" customHeight="1" x14ac:dyDescent="0.25">
      <c r="A3434" s="101" t="s">
        <v>222</v>
      </c>
      <c r="B3434" s="102" t="s">
        <v>312</v>
      </c>
      <c r="C3434" s="101" t="s">
        <v>7833</v>
      </c>
      <c r="D3434" s="101" t="s">
        <v>7833</v>
      </c>
      <c r="E3434" s="79"/>
    </row>
    <row r="3435" spans="1:5" ht="14.85" customHeight="1" x14ac:dyDescent="0.25">
      <c r="A3435" s="101" t="s">
        <v>222</v>
      </c>
      <c r="B3435" s="102" t="s">
        <v>319</v>
      </c>
      <c r="C3435" s="101" t="s">
        <v>7834</v>
      </c>
      <c r="D3435" s="101" t="s">
        <v>7834</v>
      </c>
      <c r="E3435" s="79"/>
    </row>
    <row r="3436" spans="1:5" ht="14.85" customHeight="1" x14ac:dyDescent="0.25">
      <c r="A3436" s="101" t="s">
        <v>222</v>
      </c>
      <c r="B3436" s="102" t="s">
        <v>323</v>
      </c>
      <c r="C3436" s="101" t="s">
        <v>7835</v>
      </c>
      <c r="D3436" s="101" t="s">
        <v>7835</v>
      </c>
      <c r="E3436" s="79"/>
    </row>
    <row r="3437" spans="1:5" ht="14.85" customHeight="1" x14ac:dyDescent="0.25">
      <c r="A3437" s="101" t="s">
        <v>222</v>
      </c>
      <c r="B3437" s="102" t="s">
        <v>328</v>
      </c>
      <c r="C3437" s="101" t="s">
        <v>7836</v>
      </c>
      <c r="D3437" s="101" t="s">
        <v>7836</v>
      </c>
      <c r="E3437" s="79"/>
    </row>
    <row r="3438" spans="1:5" ht="14.85" customHeight="1" x14ac:dyDescent="0.25">
      <c r="A3438" s="101" t="s">
        <v>222</v>
      </c>
      <c r="B3438" s="102" t="s">
        <v>332</v>
      </c>
      <c r="C3438" s="101" t="s">
        <v>7837</v>
      </c>
      <c r="D3438" s="101" t="s">
        <v>7837</v>
      </c>
      <c r="E3438" s="79"/>
    </row>
    <row r="3439" spans="1:5" ht="14.85" customHeight="1" x14ac:dyDescent="0.25">
      <c r="A3439" s="101" t="s">
        <v>222</v>
      </c>
      <c r="B3439" s="102" t="s">
        <v>337</v>
      </c>
      <c r="C3439" s="101" t="s">
        <v>7838</v>
      </c>
      <c r="D3439" s="101" t="s">
        <v>7838</v>
      </c>
      <c r="E3439" s="79"/>
    </row>
    <row r="3440" spans="1:5" ht="14.85" customHeight="1" x14ac:dyDescent="0.25">
      <c r="A3440" s="101" t="s">
        <v>222</v>
      </c>
      <c r="B3440" s="102" t="s">
        <v>342</v>
      </c>
      <c r="C3440" s="101" t="s">
        <v>7839</v>
      </c>
      <c r="D3440" s="101" t="s">
        <v>7839</v>
      </c>
      <c r="E3440" s="79"/>
    </row>
    <row r="3441" spans="1:5" ht="14.85" customHeight="1" x14ac:dyDescent="0.25">
      <c r="A3441" s="101" t="s">
        <v>222</v>
      </c>
      <c r="B3441" s="102" t="s">
        <v>347</v>
      </c>
      <c r="C3441" s="101" t="s">
        <v>7840</v>
      </c>
      <c r="D3441" s="101" t="s">
        <v>7840</v>
      </c>
      <c r="E3441" s="79"/>
    </row>
    <row r="3442" spans="1:5" ht="14.85" customHeight="1" x14ac:dyDescent="0.25">
      <c r="A3442" s="101" t="s">
        <v>222</v>
      </c>
      <c r="B3442" s="102" t="s">
        <v>351</v>
      </c>
      <c r="C3442" s="101" t="s">
        <v>7841</v>
      </c>
      <c r="D3442" s="101" t="s">
        <v>7841</v>
      </c>
      <c r="E3442" s="79"/>
    </row>
    <row r="3443" spans="1:5" ht="14.85" customHeight="1" x14ac:dyDescent="0.25">
      <c r="A3443" s="101" t="s">
        <v>222</v>
      </c>
      <c r="B3443" s="102" t="s">
        <v>354</v>
      </c>
      <c r="C3443" s="101" t="s">
        <v>7842</v>
      </c>
      <c r="D3443" s="101" t="s">
        <v>7842</v>
      </c>
      <c r="E3443" s="79"/>
    </row>
    <row r="3444" spans="1:5" ht="14.85" customHeight="1" x14ac:dyDescent="0.25">
      <c r="A3444" s="101" t="s">
        <v>222</v>
      </c>
      <c r="B3444" s="102" t="s">
        <v>358</v>
      </c>
      <c r="C3444" s="101" t="s">
        <v>7843</v>
      </c>
      <c r="D3444" s="101" t="s">
        <v>7843</v>
      </c>
      <c r="E3444" s="79"/>
    </row>
    <row r="3445" spans="1:5" ht="14.85" customHeight="1" x14ac:dyDescent="0.25">
      <c r="A3445" s="101" t="s">
        <v>222</v>
      </c>
      <c r="B3445" s="102" t="s">
        <v>361</v>
      </c>
      <c r="C3445" s="101" t="s">
        <v>105</v>
      </c>
      <c r="D3445" s="101" t="s">
        <v>7844</v>
      </c>
      <c r="E3445" s="79"/>
    </row>
    <row r="3446" spans="1:5" ht="14.85" customHeight="1" x14ac:dyDescent="0.25">
      <c r="A3446" s="101" t="s">
        <v>1082</v>
      </c>
      <c r="B3446" s="102" t="s">
        <v>7845</v>
      </c>
      <c r="C3446" s="101" t="s">
        <v>7846</v>
      </c>
      <c r="D3446" s="101" t="s">
        <v>7847</v>
      </c>
      <c r="E3446" s="79"/>
    </row>
    <row r="3447" spans="1:5" ht="14.85" customHeight="1" x14ac:dyDescent="0.25">
      <c r="A3447" s="101" t="s">
        <v>1082</v>
      </c>
      <c r="B3447" s="102" t="s">
        <v>7848</v>
      </c>
      <c r="C3447" s="101" t="s">
        <v>7849</v>
      </c>
      <c r="D3447" s="101" t="s">
        <v>7850</v>
      </c>
      <c r="E3447" s="79"/>
    </row>
    <row r="3448" spans="1:5" ht="14.85" customHeight="1" x14ac:dyDescent="0.25">
      <c r="A3448" s="101" t="s">
        <v>1082</v>
      </c>
      <c r="B3448" s="102" t="s">
        <v>7851</v>
      </c>
      <c r="C3448" s="101" t="s">
        <v>7852</v>
      </c>
      <c r="D3448" s="101" t="s">
        <v>7853</v>
      </c>
      <c r="E3448" s="79"/>
    </row>
    <row r="3449" spans="1:5" ht="14.85" customHeight="1" x14ac:dyDescent="0.25">
      <c r="A3449" s="101" t="s">
        <v>1082</v>
      </c>
      <c r="B3449" s="102" t="s">
        <v>7854</v>
      </c>
      <c r="C3449" s="101" t="s">
        <v>7855</v>
      </c>
      <c r="D3449" s="101" t="s">
        <v>7856</v>
      </c>
      <c r="E3449" s="79"/>
    </row>
    <row r="3450" spans="1:5" ht="14.85" customHeight="1" x14ac:dyDescent="0.25">
      <c r="A3450" s="101" t="s">
        <v>102</v>
      </c>
      <c r="B3450" s="102" t="s">
        <v>7857</v>
      </c>
      <c r="C3450" s="101" t="s">
        <v>7858</v>
      </c>
      <c r="D3450" s="101" t="s">
        <v>7859</v>
      </c>
      <c r="E3450" s="79"/>
    </row>
    <row r="3451" spans="1:5" ht="14.85" customHeight="1" x14ac:dyDescent="0.25">
      <c r="A3451" s="101" t="s">
        <v>102</v>
      </c>
      <c r="B3451" s="102" t="s">
        <v>7860</v>
      </c>
      <c r="C3451" s="101" t="s">
        <v>7861</v>
      </c>
      <c r="D3451" s="101" t="s">
        <v>7862</v>
      </c>
      <c r="E3451" s="79"/>
    </row>
    <row r="3452" spans="1:5" ht="14.85" customHeight="1" x14ac:dyDescent="0.25">
      <c r="A3452" s="101" t="s">
        <v>102</v>
      </c>
      <c r="B3452" s="102" t="s">
        <v>7863</v>
      </c>
      <c r="C3452" s="101" t="s">
        <v>7864</v>
      </c>
      <c r="D3452" s="101" t="s">
        <v>7865</v>
      </c>
      <c r="E3452" s="79"/>
    </row>
    <row r="3453" spans="1:5" ht="14.85" customHeight="1" x14ac:dyDescent="0.25">
      <c r="A3453" s="101" t="s">
        <v>102</v>
      </c>
      <c r="B3453" s="102" t="s">
        <v>6849</v>
      </c>
      <c r="C3453" s="101" t="s">
        <v>7866</v>
      </c>
      <c r="D3453" s="101" t="s">
        <v>7867</v>
      </c>
      <c r="E3453" s="79"/>
    </row>
    <row r="3454" spans="1:5" ht="14.85" customHeight="1" x14ac:dyDescent="0.25">
      <c r="A3454" s="101" t="s">
        <v>102</v>
      </c>
      <c r="B3454" s="102" t="s">
        <v>7032</v>
      </c>
      <c r="C3454" s="101" t="s">
        <v>7868</v>
      </c>
      <c r="D3454" s="101" t="s">
        <v>7869</v>
      </c>
      <c r="E3454" s="79"/>
    </row>
    <row r="3455" spans="1:5" ht="14.85" customHeight="1" x14ac:dyDescent="0.25">
      <c r="A3455" s="101" t="s">
        <v>102</v>
      </c>
      <c r="B3455" s="102" t="s">
        <v>7870</v>
      </c>
      <c r="C3455" s="101" t="s">
        <v>7871</v>
      </c>
      <c r="D3455" s="101" t="s">
        <v>7872</v>
      </c>
      <c r="E3455" s="79"/>
    </row>
    <row r="3456" spans="1:5" ht="14.85" customHeight="1" x14ac:dyDescent="0.25">
      <c r="A3456" s="101" t="s">
        <v>102</v>
      </c>
      <c r="B3456" s="102" t="s">
        <v>7873</v>
      </c>
      <c r="C3456" s="101" t="s">
        <v>7874</v>
      </c>
      <c r="D3456" s="101" t="s">
        <v>7875</v>
      </c>
      <c r="E3456" s="79"/>
    </row>
    <row r="3457" spans="1:5" ht="14.85" customHeight="1" x14ac:dyDescent="0.25">
      <c r="A3457" s="101" t="s">
        <v>102</v>
      </c>
      <c r="B3457" s="102" t="s">
        <v>7096</v>
      </c>
      <c r="C3457" s="101" t="s">
        <v>7876</v>
      </c>
      <c r="D3457" s="101" t="s">
        <v>7877</v>
      </c>
      <c r="E3457" s="79"/>
    </row>
    <row r="3458" spans="1:5" ht="14.85" customHeight="1" x14ac:dyDescent="0.25">
      <c r="A3458" s="101" t="s">
        <v>102</v>
      </c>
      <c r="B3458" s="102" t="s">
        <v>7183</v>
      </c>
      <c r="C3458" s="101" t="s">
        <v>7878</v>
      </c>
      <c r="D3458" s="101" t="s">
        <v>7879</v>
      </c>
      <c r="E3458" s="79"/>
    </row>
    <row r="3459" spans="1:5" ht="14.85" customHeight="1" x14ac:dyDescent="0.25">
      <c r="A3459" s="101" t="s">
        <v>476</v>
      </c>
      <c r="B3459" s="102" t="s">
        <v>81</v>
      </c>
      <c r="C3459" s="101" t="s">
        <v>7880</v>
      </c>
      <c r="D3459" s="101"/>
      <c r="E3459" s="79"/>
    </row>
    <row r="3460" spans="1:5" ht="14.85" customHeight="1" x14ac:dyDescent="0.25">
      <c r="A3460" s="101" t="s">
        <v>476</v>
      </c>
      <c r="B3460" s="102" t="s">
        <v>90</v>
      </c>
      <c r="C3460" s="101" t="s">
        <v>7881</v>
      </c>
      <c r="D3460" s="101"/>
      <c r="E3460" s="79"/>
    </row>
    <row r="3461" spans="1:5" ht="14.85" customHeight="1" x14ac:dyDescent="0.25">
      <c r="A3461" s="101" t="s">
        <v>476</v>
      </c>
      <c r="B3461" s="102" t="s">
        <v>95</v>
      </c>
      <c r="C3461" s="101" t="s">
        <v>7882</v>
      </c>
      <c r="D3461" s="101"/>
      <c r="E3461" s="79"/>
    </row>
    <row r="3462" spans="1:5" ht="14.85" customHeight="1" x14ac:dyDescent="0.25">
      <c r="A3462" s="101" t="s">
        <v>476</v>
      </c>
      <c r="B3462" s="102" t="s">
        <v>101</v>
      </c>
      <c r="C3462" s="101" t="s">
        <v>7883</v>
      </c>
      <c r="D3462" s="101"/>
      <c r="E3462" s="79"/>
    </row>
    <row r="3463" spans="1:5" ht="14.85" customHeight="1" x14ac:dyDescent="0.25">
      <c r="A3463" s="101" t="s">
        <v>476</v>
      </c>
      <c r="B3463" s="102" t="s">
        <v>107</v>
      </c>
      <c r="C3463" s="101" t="s">
        <v>7884</v>
      </c>
      <c r="D3463" s="101"/>
      <c r="E3463" s="79"/>
    </row>
    <row r="3464" spans="1:5" ht="14.85" customHeight="1" x14ac:dyDescent="0.25">
      <c r="A3464" s="101" t="s">
        <v>476</v>
      </c>
      <c r="B3464" s="102" t="s">
        <v>116</v>
      </c>
      <c r="C3464" s="101" t="s">
        <v>7885</v>
      </c>
      <c r="D3464" s="101"/>
      <c r="E3464" s="79"/>
    </row>
    <row r="3465" spans="1:5" ht="14.85" customHeight="1" x14ac:dyDescent="0.25">
      <c r="A3465" s="101" t="s">
        <v>476</v>
      </c>
      <c r="B3465" s="102" t="s">
        <v>121</v>
      </c>
      <c r="C3465" s="101" t="s">
        <v>7886</v>
      </c>
      <c r="D3465" s="101"/>
      <c r="E3465" s="79"/>
    </row>
    <row r="3466" spans="1:5" ht="14.85" customHeight="1" x14ac:dyDescent="0.25">
      <c r="A3466" s="101" t="s">
        <v>476</v>
      </c>
      <c r="B3466" s="102" t="s">
        <v>127</v>
      </c>
      <c r="C3466" s="101" t="s">
        <v>7887</v>
      </c>
      <c r="D3466" s="101"/>
      <c r="E3466" s="79"/>
    </row>
    <row r="3467" spans="1:5" ht="14.85" customHeight="1" x14ac:dyDescent="0.25">
      <c r="A3467" s="101" t="s">
        <v>476</v>
      </c>
      <c r="B3467" s="102" t="s">
        <v>132</v>
      </c>
      <c r="C3467" s="101" t="s">
        <v>7888</v>
      </c>
      <c r="D3467" s="101"/>
      <c r="E3467" s="79"/>
    </row>
    <row r="3468" spans="1:5" ht="14.55" customHeight="1" outlineLevel="1" x14ac:dyDescent="0.25">
      <c r="A3468" s="212" t="s">
        <v>336</v>
      </c>
      <c r="B3468" s="213" t="s">
        <v>6716</v>
      </c>
      <c r="C3468" s="212" t="s">
        <v>6717</v>
      </c>
      <c r="D3468" s="212" t="s">
        <v>7889</v>
      </c>
      <c r="E3468" s="214"/>
    </row>
    <row r="3469" spans="1:5" ht="14.85" customHeight="1" outlineLevel="1" x14ac:dyDescent="0.25">
      <c r="A3469" s="101" t="s">
        <v>336</v>
      </c>
      <c r="B3469" s="102" t="s">
        <v>7890</v>
      </c>
      <c r="C3469" s="101" t="s">
        <v>7891</v>
      </c>
      <c r="D3469" s="101"/>
      <c r="E3469" s="79"/>
    </row>
    <row r="3470" spans="1:5" ht="14.85" customHeight="1" outlineLevel="1" x14ac:dyDescent="0.25">
      <c r="A3470" s="101" t="s">
        <v>336</v>
      </c>
      <c r="B3470" s="102" t="s">
        <v>7892</v>
      </c>
      <c r="C3470" s="101" t="s">
        <v>7893</v>
      </c>
      <c r="D3470" s="101"/>
      <c r="E3470" s="79"/>
    </row>
    <row r="3471" spans="1:5" ht="14.85" customHeight="1" outlineLevel="1" x14ac:dyDescent="0.25">
      <c r="A3471" s="101" t="s">
        <v>336</v>
      </c>
      <c r="B3471" s="102" t="s">
        <v>7894</v>
      </c>
      <c r="C3471" s="101" t="s">
        <v>7895</v>
      </c>
      <c r="D3471" s="101"/>
      <c r="E3471" s="79"/>
    </row>
    <row r="3472" spans="1:5" ht="14.85" customHeight="1" outlineLevel="1" x14ac:dyDescent="0.25">
      <c r="A3472" s="101" t="s">
        <v>336</v>
      </c>
      <c r="B3472" s="102" t="s">
        <v>7896</v>
      </c>
      <c r="C3472" s="101" t="s">
        <v>7897</v>
      </c>
      <c r="D3472" s="101"/>
      <c r="E3472" s="79"/>
    </row>
    <row r="3473" spans="1:5" ht="14.85" customHeight="1" outlineLevel="1" x14ac:dyDescent="0.25">
      <c r="A3473" s="101" t="s">
        <v>336</v>
      </c>
      <c r="B3473" s="102" t="s">
        <v>7898</v>
      </c>
      <c r="C3473" s="101" t="s">
        <v>7899</v>
      </c>
      <c r="D3473" s="101"/>
      <c r="E3473" s="79"/>
    </row>
    <row r="3474" spans="1:5" ht="14.85" customHeight="1" outlineLevel="1" x14ac:dyDescent="0.25">
      <c r="A3474" s="101" t="s">
        <v>336</v>
      </c>
      <c r="B3474" s="102" t="s">
        <v>7900</v>
      </c>
      <c r="C3474" s="101" t="s">
        <v>7901</v>
      </c>
      <c r="D3474" s="101"/>
      <c r="E3474" s="79"/>
    </row>
    <row r="3475" spans="1:5" ht="14.85" customHeight="1" outlineLevel="1" x14ac:dyDescent="0.25">
      <c r="A3475" s="101" t="s">
        <v>336</v>
      </c>
      <c r="B3475" s="102" t="s">
        <v>7902</v>
      </c>
      <c r="C3475" s="101" t="s">
        <v>7903</v>
      </c>
      <c r="D3475" s="101"/>
      <c r="E3475" s="79"/>
    </row>
    <row r="3476" spans="1:5" ht="14.85" customHeight="1" outlineLevel="1" x14ac:dyDescent="0.25">
      <c r="A3476" s="101" t="s">
        <v>336</v>
      </c>
      <c r="B3476" s="102" t="s">
        <v>7904</v>
      </c>
      <c r="C3476" s="101" t="s">
        <v>7905</v>
      </c>
      <c r="D3476" s="101"/>
      <c r="E3476" s="79"/>
    </row>
    <row r="3477" spans="1:5" ht="14.85" customHeight="1" outlineLevel="1" x14ac:dyDescent="0.25">
      <c r="A3477" s="101" t="s">
        <v>336</v>
      </c>
      <c r="B3477" s="102" t="s">
        <v>7906</v>
      </c>
      <c r="C3477" s="101" t="s">
        <v>7907</v>
      </c>
      <c r="D3477" s="101"/>
      <c r="E3477" s="79"/>
    </row>
    <row r="3478" spans="1:5" ht="14.85" customHeight="1" outlineLevel="1" x14ac:dyDescent="0.25">
      <c r="A3478" s="101" t="s">
        <v>336</v>
      </c>
      <c r="B3478" s="102" t="s">
        <v>7908</v>
      </c>
      <c r="C3478" s="101" t="s">
        <v>7909</v>
      </c>
      <c r="D3478" s="101"/>
      <c r="E3478" s="79"/>
    </row>
    <row r="3479" spans="1:5" ht="14.85" customHeight="1" outlineLevel="1" x14ac:dyDescent="0.25">
      <c r="A3479" s="101" t="s">
        <v>336</v>
      </c>
      <c r="B3479" s="102" t="s">
        <v>7910</v>
      </c>
      <c r="C3479" s="101" t="s">
        <v>7911</v>
      </c>
      <c r="D3479" s="101"/>
      <c r="E3479" s="79"/>
    </row>
    <row r="3480" spans="1:5" ht="14.85" customHeight="1" outlineLevel="1" x14ac:dyDescent="0.25">
      <c r="A3480" s="101" t="s">
        <v>336</v>
      </c>
      <c r="B3480" s="102" t="s">
        <v>7912</v>
      </c>
      <c r="C3480" s="101" t="s">
        <v>7913</v>
      </c>
      <c r="D3480" s="101"/>
      <c r="E3480" s="79"/>
    </row>
    <row r="3481" spans="1:5" ht="14.85" customHeight="1" outlineLevel="1" x14ac:dyDescent="0.25">
      <c r="A3481" s="101" t="s">
        <v>336</v>
      </c>
      <c r="B3481" s="102" t="s">
        <v>7914</v>
      </c>
      <c r="C3481" s="101" t="s">
        <v>7915</v>
      </c>
      <c r="D3481" s="101"/>
      <c r="E3481" s="79"/>
    </row>
    <row r="3482" spans="1:5" ht="14.85" customHeight="1" outlineLevel="1" x14ac:dyDescent="0.25">
      <c r="A3482" s="101" t="s">
        <v>336</v>
      </c>
      <c r="B3482" s="102" t="s">
        <v>7916</v>
      </c>
      <c r="C3482" s="101" t="s">
        <v>7917</v>
      </c>
      <c r="D3482" s="101"/>
      <c r="E3482" s="79"/>
    </row>
    <row r="3483" spans="1:5" ht="14.85" customHeight="1" outlineLevel="1" x14ac:dyDescent="0.25">
      <c r="A3483" s="101" t="s">
        <v>336</v>
      </c>
      <c r="B3483" s="102" t="s">
        <v>7918</v>
      </c>
      <c r="C3483" s="101" t="s">
        <v>7919</v>
      </c>
      <c r="D3483" s="101"/>
      <c r="E3483" s="79"/>
    </row>
    <row r="3484" spans="1:5" ht="14.85" customHeight="1" outlineLevel="1" x14ac:dyDescent="0.25">
      <c r="A3484" s="101" t="s">
        <v>336</v>
      </c>
      <c r="B3484" s="102" t="s">
        <v>7920</v>
      </c>
      <c r="C3484" s="101" t="s">
        <v>7921</v>
      </c>
      <c r="D3484" s="101"/>
      <c r="E3484" s="79"/>
    </row>
    <row r="3485" spans="1:5" ht="14.85" customHeight="1" outlineLevel="1" x14ac:dyDescent="0.25">
      <c r="A3485" s="101" t="s">
        <v>336</v>
      </c>
      <c r="B3485" s="102" t="s">
        <v>7922</v>
      </c>
      <c r="C3485" s="101" t="s">
        <v>7923</v>
      </c>
      <c r="D3485" s="101"/>
      <c r="E3485" s="79"/>
    </row>
    <row r="3486" spans="1:5" ht="14.85" customHeight="1" outlineLevel="1" x14ac:dyDescent="0.25">
      <c r="A3486" s="101" t="s">
        <v>336</v>
      </c>
      <c r="B3486" s="102" t="s">
        <v>7924</v>
      </c>
      <c r="C3486" s="101" t="s">
        <v>7925</v>
      </c>
      <c r="D3486" s="101"/>
      <c r="E3486" s="79"/>
    </row>
    <row r="3487" spans="1:5" ht="14.85" customHeight="1" outlineLevel="1" x14ac:dyDescent="0.25">
      <c r="A3487" s="101" t="s">
        <v>336</v>
      </c>
      <c r="B3487" s="102" t="s">
        <v>7926</v>
      </c>
      <c r="C3487" s="101" t="s">
        <v>7927</v>
      </c>
      <c r="D3487" s="101"/>
      <c r="E3487" s="79"/>
    </row>
    <row r="3488" spans="1:5" ht="14.85" customHeight="1" outlineLevel="1" x14ac:dyDescent="0.25">
      <c r="A3488" s="101" t="s">
        <v>336</v>
      </c>
      <c r="B3488" s="102" t="s">
        <v>7928</v>
      </c>
      <c r="C3488" s="101" t="s">
        <v>7929</v>
      </c>
      <c r="D3488" s="101"/>
      <c r="E3488" s="79"/>
    </row>
    <row r="3489" spans="1:5" ht="14.85" customHeight="1" outlineLevel="1" x14ac:dyDescent="0.25">
      <c r="A3489" s="101" t="s">
        <v>336</v>
      </c>
      <c r="B3489" s="102" t="s">
        <v>7930</v>
      </c>
      <c r="C3489" s="101" t="s">
        <v>7931</v>
      </c>
      <c r="D3489" s="101"/>
      <c r="E3489" s="79"/>
    </row>
    <row r="3490" spans="1:5" ht="14.85" customHeight="1" outlineLevel="1" x14ac:dyDescent="0.25">
      <c r="A3490" s="101" t="s">
        <v>336</v>
      </c>
      <c r="B3490" s="102" t="s">
        <v>7932</v>
      </c>
      <c r="C3490" s="101" t="s">
        <v>7933</v>
      </c>
      <c r="D3490" s="101"/>
      <c r="E3490" s="79"/>
    </row>
    <row r="3491" spans="1:5" ht="14.85" customHeight="1" outlineLevel="1" x14ac:dyDescent="0.25">
      <c r="A3491" s="101" t="s">
        <v>336</v>
      </c>
      <c r="B3491" s="102" t="s">
        <v>7934</v>
      </c>
      <c r="C3491" s="101" t="s">
        <v>7935</v>
      </c>
      <c r="D3491" s="101"/>
      <c r="E3491" s="79"/>
    </row>
    <row r="3492" spans="1:5" ht="14.85" customHeight="1" outlineLevel="1" x14ac:dyDescent="0.25">
      <c r="A3492" s="101" t="s">
        <v>336</v>
      </c>
      <c r="B3492" s="102" t="s">
        <v>7936</v>
      </c>
      <c r="C3492" s="101" t="s">
        <v>7937</v>
      </c>
      <c r="D3492" s="101"/>
      <c r="E3492" s="79"/>
    </row>
    <row r="3493" spans="1:5" ht="14.85" customHeight="1" outlineLevel="1" x14ac:dyDescent="0.25">
      <c r="A3493" s="101" t="s">
        <v>336</v>
      </c>
      <c r="B3493" s="102" t="s">
        <v>7938</v>
      </c>
      <c r="C3493" s="101" t="s">
        <v>7939</v>
      </c>
      <c r="D3493" s="101"/>
      <c r="E3493" s="79"/>
    </row>
    <row r="3494" spans="1:5" ht="14.85" customHeight="1" outlineLevel="1" x14ac:dyDescent="0.25">
      <c r="A3494" s="101" t="s">
        <v>336</v>
      </c>
      <c r="B3494" s="102" t="s">
        <v>7940</v>
      </c>
      <c r="C3494" s="101" t="s">
        <v>7941</v>
      </c>
      <c r="D3494" s="101"/>
      <c r="E3494" s="79"/>
    </row>
    <row r="3495" spans="1:5" ht="14.85" customHeight="1" outlineLevel="1" x14ac:dyDescent="0.25">
      <c r="A3495" s="101" t="s">
        <v>336</v>
      </c>
      <c r="B3495" s="102" t="s">
        <v>7942</v>
      </c>
      <c r="C3495" s="101" t="s">
        <v>7943</v>
      </c>
      <c r="D3495" s="101"/>
      <c r="E3495" s="79"/>
    </row>
    <row r="3496" spans="1:5" ht="14.85" customHeight="1" outlineLevel="1" x14ac:dyDescent="0.25">
      <c r="A3496" s="101" t="s">
        <v>336</v>
      </c>
      <c r="B3496" s="102" t="s">
        <v>7944</v>
      </c>
      <c r="C3496" s="101" t="s">
        <v>7945</v>
      </c>
      <c r="D3496" s="101"/>
      <c r="E3496" s="79"/>
    </row>
    <row r="3497" spans="1:5" ht="14.85" customHeight="1" outlineLevel="1" x14ac:dyDescent="0.25">
      <c r="A3497" s="101" t="s">
        <v>336</v>
      </c>
      <c r="B3497" s="102" t="s">
        <v>7946</v>
      </c>
      <c r="C3497" s="101" t="s">
        <v>7947</v>
      </c>
      <c r="D3497" s="101"/>
      <c r="E3497" s="79"/>
    </row>
    <row r="3498" spans="1:5" ht="14.85" customHeight="1" outlineLevel="1" x14ac:dyDescent="0.25">
      <c r="A3498" s="101" t="s">
        <v>336</v>
      </c>
      <c r="B3498" s="102" t="s">
        <v>7948</v>
      </c>
      <c r="C3498" s="101" t="s">
        <v>7949</v>
      </c>
      <c r="D3498" s="101"/>
      <c r="E3498" s="79"/>
    </row>
    <row r="3499" spans="1:5" ht="14.85" customHeight="1" outlineLevel="1" x14ac:dyDescent="0.25">
      <c r="A3499" s="101" t="s">
        <v>336</v>
      </c>
      <c r="B3499" s="102" t="s">
        <v>7950</v>
      </c>
      <c r="C3499" s="101" t="s">
        <v>7951</v>
      </c>
      <c r="D3499" s="101"/>
      <c r="E3499" s="79"/>
    </row>
    <row r="3500" spans="1:5" ht="14.85" customHeight="1" outlineLevel="1" x14ac:dyDescent="0.25">
      <c r="A3500" s="101" t="s">
        <v>336</v>
      </c>
      <c r="B3500" s="102" t="s">
        <v>7952</v>
      </c>
      <c r="C3500" s="101" t="s">
        <v>7953</v>
      </c>
      <c r="D3500" s="101"/>
      <c r="E3500" s="79"/>
    </row>
    <row r="3501" spans="1:5" ht="14.85" customHeight="1" outlineLevel="1" x14ac:dyDescent="0.25">
      <c r="A3501" s="101" t="s">
        <v>336</v>
      </c>
      <c r="B3501" s="102" t="s">
        <v>7954</v>
      </c>
      <c r="C3501" s="101" t="s">
        <v>7955</v>
      </c>
      <c r="D3501" s="101"/>
      <c r="E3501" s="79"/>
    </row>
    <row r="3502" spans="1:5" ht="14.85" customHeight="1" outlineLevel="1" x14ac:dyDescent="0.25">
      <c r="A3502" s="101" t="s">
        <v>336</v>
      </c>
      <c r="B3502" s="102" t="s">
        <v>7956</v>
      </c>
      <c r="C3502" s="101" t="s">
        <v>7957</v>
      </c>
      <c r="D3502" s="101"/>
      <c r="E3502" s="79"/>
    </row>
    <row r="3503" spans="1:5" ht="14.85" customHeight="1" outlineLevel="1" x14ac:dyDescent="0.25">
      <c r="A3503" s="101" t="s">
        <v>336</v>
      </c>
      <c r="B3503" s="102" t="s">
        <v>7958</v>
      </c>
      <c r="C3503" s="101" t="s">
        <v>7959</v>
      </c>
      <c r="D3503" s="101"/>
      <c r="E3503" s="79"/>
    </row>
    <row r="3504" spans="1:5" ht="14.85" customHeight="1" outlineLevel="1" x14ac:dyDescent="0.25">
      <c r="A3504" s="101" t="s">
        <v>336</v>
      </c>
      <c r="B3504" s="102" t="s">
        <v>7960</v>
      </c>
      <c r="C3504" s="101" t="s">
        <v>7961</v>
      </c>
      <c r="D3504" s="101"/>
      <c r="E3504" s="79"/>
    </row>
    <row r="3505" spans="1:5" ht="14.85" customHeight="1" outlineLevel="1" x14ac:dyDescent="0.25">
      <c r="A3505" s="101" t="s">
        <v>336</v>
      </c>
      <c r="B3505" s="102" t="s">
        <v>7962</v>
      </c>
      <c r="C3505" s="101" t="s">
        <v>7963</v>
      </c>
      <c r="D3505" s="101"/>
      <c r="E3505" s="79"/>
    </row>
    <row r="3506" spans="1:5" ht="14.85" customHeight="1" outlineLevel="1" x14ac:dyDescent="0.25">
      <c r="A3506" s="101" t="s">
        <v>336</v>
      </c>
      <c r="B3506" s="102" t="s">
        <v>7964</v>
      </c>
      <c r="C3506" s="101" t="s">
        <v>7965</v>
      </c>
      <c r="D3506" s="101"/>
      <c r="E3506" s="79"/>
    </row>
    <row r="3507" spans="1:5" ht="14.85" customHeight="1" outlineLevel="1" x14ac:dyDescent="0.25">
      <c r="A3507" s="101" t="s">
        <v>336</v>
      </c>
      <c r="B3507" s="102" t="s">
        <v>7966</v>
      </c>
      <c r="C3507" s="101" t="s">
        <v>7967</v>
      </c>
      <c r="D3507" s="101"/>
      <c r="E3507" s="79"/>
    </row>
    <row r="3508" spans="1:5" ht="14.85" customHeight="1" outlineLevel="1" x14ac:dyDescent="0.25">
      <c r="A3508" s="101" t="s">
        <v>336</v>
      </c>
      <c r="B3508" s="102" t="s">
        <v>7968</v>
      </c>
      <c r="C3508" s="101" t="s">
        <v>7969</v>
      </c>
      <c r="D3508" s="101"/>
      <c r="E3508" s="79"/>
    </row>
    <row r="3509" spans="1:5" ht="14.85" customHeight="1" outlineLevel="1" x14ac:dyDescent="0.25">
      <c r="A3509" s="101" t="s">
        <v>336</v>
      </c>
      <c r="B3509" s="102" t="s">
        <v>7970</v>
      </c>
      <c r="C3509" s="101" t="s">
        <v>7971</v>
      </c>
      <c r="D3509" s="101"/>
      <c r="E3509" s="79"/>
    </row>
    <row r="3510" spans="1:5" ht="14.85" customHeight="1" outlineLevel="1" x14ac:dyDescent="0.25">
      <c r="A3510" s="101" t="s">
        <v>336</v>
      </c>
      <c r="B3510" s="102" t="s">
        <v>7972</v>
      </c>
      <c r="C3510" s="101" t="s">
        <v>7973</v>
      </c>
      <c r="D3510" s="101"/>
      <c r="E3510" s="79"/>
    </row>
    <row r="3511" spans="1:5" ht="14.85" customHeight="1" outlineLevel="1" x14ac:dyDescent="0.25">
      <c r="A3511" s="101" t="s">
        <v>336</v>
      </c>
      <c r="B3511" s="102" t="s">
        <v>7974</v>
      </c>
      <c r="C3511" s="101" t="s">
        <v>7975</v>
      </c>
      <c r="D3511" s="101"/>
      <c r="E3511" s="79"/>
    </row>
    <row r="3512" spans="1:5" ht="14.85" customHeight="1" outlineLevel="1" x14ac:dyDescent="0.25">
      <c r="A3512" s="101" t="s">
        <v>336</v>
      </c>
      <c r="B3512" s="102" t="s">
        <v>7976</v>
      </c>
      <c r="C3512" s="101" t="s">
        <v>7977</v>
      </c>
      <c r="D3512" s="101"/>
      <c r="E3512" s="79"/>
    </row>
    <row r="3513" spans="1:5" ht="14.85" customHeight="1" outlineLevel="1" x14ac:dyDescent="0.25">
      <c r="A3513" s="101" t="s">
        <v>336</v>
      </c>
      <c r="B3513" s="102" t="s">
        <v>7978</v>
      </c>
      <c r="C3513" s="101" t="s">
        <v>7979</v>
      </c>
      <c r="D3513" s="101"/>
      <c r="E3513" s="79"/>
    </row>
    <row r="3514" spans="1:5" ht="14.85" customHeight="1" outlineLevel="1" x14ac:dyDescent="0.25">
      <c r="A3514" s="101" t="s">
        <v>336</v>
      </c>
      <c r="B3514" s="102" t="s">
        <v>7980</v>
      </c>
      <c r="C3514" s="101" t="s">
        <v>7981</v>
      </c>
      <c r="D3514" s="101"/>
      <c r="E3514" s="79"/>
    </row>
    <row r="3515" spans="1:5" ht="14.85" customHeight="1" outlineLevel="1" x14ac:dyDescent="0.25">
      <c r="A3515" s="101" t="s">
        <v>336</v>
      </c>
      <c r="B3515" s="102" t="s">
        <v>7982</v>
      </c>
      <c r="C3515" s="101" t="s">
        <v>7983</v>
      </c>
      <c r="D3515" s="101"/>
      <c r="E3515" s="79"/>
    </row>
    <row r="3516" spans="1:5" ht="14.85" customHeight="1" outlineLevel="1" x14ac:dyDescent="0.25">
      <c r="A3516" s="101" t="s">
        <v>336</v>
      </c>
      <c r="B3516" s="102" t="s">
        <v>7984</v>
      </c>
      <c r="C3516" s="101" t="s">
        <v>7985</v>
      </c>
      <c r="D3516" s="101"/>
      <c r="E3516" s="79"/>
    </row>
    <row r="3517" spans="1:5" ht="14.85" customHeight="1" outlineLevel="1" x14ac:dyDescent="0.25">
      <c r="A3517" s="101" t="s">
        <v>336</v>
      </c>
      <c r="B3517" s="102" t="s">
        <v>7986</v>
      </c>
      <c r="C3517" s="101" t="s">
        <v>7987</v>
      </c>
      <c r="D3517" s="101"/>
      <c r="E3517" s="79"/>
    </row>
    <row r="3518" spans="1:5" ht="14.85" customHeight="1" outlineLevel="1" x14ac:dyDescent="0.25">
      <c r="A3518" s="101" t="s">
        <v>336</v>
      </c>
      <c r="B3518" s="102" t="s">
        <v>7988</v>
      </c>
      <c r="C3518" s="101" t="s">
        <v>7989</v>
      </c>
      <c r="D3518" s="101"/>
      <c r="E3518" s="79"/>
    </row>
    <row r="3519" spans="1:5" ht="14.85" customHeight="1" outlineLevel="1" x14ac:dyDescent="0.25">
      <c r="A3519" s="101" t="s">
        <v>336</v>
      </c>
      <c r="B3519" s="102" t="s">
        <v>7990</v>
      </c>
      <c r="C3519" s="101" t="s">
        <v>7991</v>
      </c>
      <c r="D3519" s="101"/>
      <c r="E3519" s="79"/>
    </row>
    <row r="3520" spans="1:5" ht="14.85" customHeight="1" outlineLevel="1" x14ac:dyDescent="0.25">
      <c r="A3520" s="101" t="s">
        <v>336</v>
      </c>
      <c r="B3520" s="102" t="s">
        <v>7992</v>
      </c>
      <c r="C3520" s="101" t="s">
        <v>7993</v>
      </c>
      <c r="D3520" s="101"/>
      <c r="E3520" s="79"/>
    </row>
    <row r="3521" spans="1:5" ht="14.85" customHeight="1" outlineLevel="1" x14ac:dyDescent="0.25">
      <c r="A3521" s="101" t="s">
        <v>336</v>
      </c>
      <c r="B3521" s="102" t="s">
        <v>7994</v>
      </c>
      <c r="C3521" s="101" t="s">
        <v>7995</v>
      </c>
      <c r="D3521" s="101"/>
      <c r="E3521" s="79"/>
    </row>
    <row r="3522" spans="1:5" ht="14.85" customHeight="1" outlineLevel="1" x14ac:dyDescent="0.25">
      <c r="A3522" s="101" t="s">
        <v>336</v>
      </c>
      <c r="B3522" s="102" t="s">
        <v>7996</v>
      </c>
      <c r="C3522" s="101" t="s">
        <v>7997</v>
      </c>
      <c r="D3522" s="101"/>
      <c r="E3522" s="79"/>
    </row>
    <row r="3523" spans="1:5" ht="14.85" customHeight="1" outlineLevel="1" x14ac:dyDescent="0.25">
      <c r="A3523" s="101" t="s">
        <v>336</v>
      </c>
      <c r="B3523" s="102" t="s">
        <v>7998</v>
      </c>
      <c r="C3523" s="101" t="s">
        <v>7999</v>
      </c>
      <c r="D3523" s="101"/>
      <c r="E3523" s="79"/>
    </row>
    <row r="3524" spans="1:5" ht="14.85" customHeight="1" outlineLevel="1" x14ac:dyDescent="0.25">
      <c r="A3524" s="101" t="s">
        <v>336</v>
      </c>
      <c r="B3524" s="102" t="s">
        <v>8000</v>
      </c>
      <c r="C3524" s="101" t="s">
        <v>8001</v>
      </c>
      <c r="D3524" s="101"/>
      <c r="E3524" s="79"/>
    </row>
    <row r="3525" spans="1:5" ht="14.85" customHeight="1" outlineLevel="1" x14ac:dyDescent="0.25">
      <c r="A3525" s="101" t="s">
        <v>336</v>
      </c>
      <c r="B3525" s="102" t="s">
        <v>8002</v>
      </c>
      <c r="C3525" s="101" t="s">
        <v>8003</v>
      </c>
      <c r="D3525" s="101"/>
      <c r="E3525" s="79"/>
    </row>
    <row r="3526" spans="1:5" ht="14.85" customHeight="1" outlineLevel="1" x14ac:dyDescent="0.25">
      <c r="A3526" s="101" t="s">
        <v>336</v>
      </c>
      <c r="B3526" s="102" t="s">
        <v>8004</v>
      </c>
      <c r="C3526" s="101" t="s">
        <v>8005</v>
      </c>
      <c r="D3526" s="101"/>
      <c r="E3526" s="79"/>
    </row>
    <row r="3527" spans="1:5" ht="14.85" customHeight="1" outlineLevel="1" x14ac:dyDescent="0.25">
      <c r="A3527" s="101" t="s">
        <v>336</v>
      </c>
      <c r="B3527" s="102" t="s">
        <v>8006</v>
      </c>
      <c r="C3527" s="101" t="s">
        <v>8007</v>
      </c>
      <c r="D3527" s="101"/>
      <c r="E3527" s="79"/>
    </row>
    <row r="3528" spans="1:5" ht="14.85" customHeight="1" outlineLevel="1" x14ac:dyDescent="0.25">
      <c r="A3528" s="101" t="s">
        <v>336</v>
      </c>
      <c r="B3528" s="102" t="s">
        <v>8008</v>
      </c>
      <c r="C3528" s="101" t="s">
        <v>8009</v>
      </c>
      <c r="D3528" s="101"/>
      <c r="E3528" s="79"/>
    </row>
    <row r="3529" spans="1:5" ht="14.85" customHeight="1" outlineLevel="1" x14ac:dyDescent="0.25">
      <c r="A3529" s="101" t="s">
        <v>336</v>
      </c>
      <c r="B3529" s="102" t="s">
        <v>8010</v>
      </c>
      <c r="C3529" s="101" t="s">
        <v>8011</v>
      </c>
      <c r="D3529" s="101"/>
      <c r="E3529" s="79"/>
    </row>
    <row r="3530" spans="1:5" ht="14.85" customHeight="1" outlineLevel="1" x14ac:dyDescent="0.25">
      <c r="A3530" s="101" t="s">
        <v>336</v>
      </c>
      <c r="B3530" s="102" t="s">
        <v>8012</v>
      </c>
      <c r="C3530" s="101" t="s">
        <v>8013</v>
      </c>
      <c r="D3530" s="101"/>
      <c r="E3530" s="79"/>
    </row>
    <row r="3531" spans="1:5" ht="14.85" customHeight="1" outlineLevel="1" x14ac:dyDescent="0.25">
      <c r="A3531" s="101" t="s">
        <v>336</v>
      </c>
      <c r="B3531" s="102" t="s">
        <v>8014</v>
      </c>
      <c r="C3531" s="101" t="s">
        <v>8015</v>
      </c>
      <c r="D3531" s="101"/>
      <c r="E3531" s="79"/>
    </row>
    <row r="3532" spans="1:5" ht="14.85" customHeight="1" outlineLevel="1" x14ac:dyDescent="0.25">
      <c r="A3532" s="101" t="s">
        <v>336</v>
      </c>
      <c r="B3532" s="102" t="s">
        <v>8016</v>
      </c>
      <c r="C3532" s="101" t="s">
        <v>8017</v>
      </c>
      <c r="D3532" s="101"/>
      <c r="E3532" s="79"/>
    </row>
    <row r="3533" spans="1:5" ht="14.85" customHeight="1" outlineLevel="1" x14ac:dyDescent="0.25">
      <c r="A3533" s="101" t="s">
        <v>336</v>
      </c>
      <c r="B3533" s="102" t="s">
        <v>8018</v>
      </c>
      <c r="C3533" s="101" t="s">
        <v>8019</v>
      </c>
      <c r="D3533" s="101"/>
      <c r="E3533" s="79"/>
    </row>
    <row r="3534" spans="1:5" ht="14.85" customHeight="1" outlineLevel="1" x14ac:dyDescent="0.25">
      <c r="A3534" s="101" t="s">
        <v>336</v>
      </c>
      <c r="B3534" s="102" t="s">
        <v>8020</v>
      </c>
      <c r="C3534" s="101" t="s">
        <v>8021</v>
      </c>
      <c r="D3534" s="101"/>
      <c r="E3534" s="79"/>
    </row>
    <row r="3535" spans="1:5" ht="14.85" customHeight="1" outlineLevel="1" x14ac:dyDescent="0.25">
      <c r="A3535" s="101" t="s">
        <v>336</v>
      </c>
      <c r="B3535" s="102" t="s">
        <v>8022</v>
      </c>
      <c r="C3535" s="101" t="s">
        <v>8023</v>
      </c>
      <c r="D3535" s="101"/>
      <c r="E3535" s="79"/>
    </row>
    <row r="3536" spans="1:5" ht="14.85" customHeight="1" outlineLevel="1" x14ac:dyDescent="0.25">
      <c r="A3536" s="101" t="s">
        <v>336</v>
      </c>
      <c r="B3536" s="102" t="s">
        <v>8024</v>
      </c>
      <c r="C3536" s="101" t="s">
        <v>8025</v>
      </c>
      <c r="D3536" s="101"/>
      <c r="E3536" s="79"/>
    </row>
    <row r="3537" spans="1:5" ht="14.85" customHeight="1" outlineLevel="1" x14ac:dyDescent="0.25">
      <c r="A3537" s="101" t="s">
        <v>336</v>
      </c>
      <c r="B3537" s="102" t="s">
        <v>8026</v>
      </c>
      <c r="C3537" s="101" t="s">
        <v>8027</v>
      </c>
      <c r="D3537" s="101"/>
      <c r="E3537" s="79"/>
    </row>
    <row r="3538" spans="1:5" ht="14.85" customHeight="1" outlineLevel="1" x14ac:dyDescent="0.25">
      <c r="A3538" s="101" t="s">
        <v>336</v>
      </c>
      <c r="B3538" s="102" t="s">
        <v>8028</v>
      </c>
      <c r="C3538" s="101" t="s">
        <v>8029</v>
      </c>
      <c r="D3538" s="101"/>
      <c r="E3538" s="79"/>
    </row>
    <row r="3539" spans="1:5" ht="14.85" customHeight="1" outlineLevel="1" x14ac:dyDescent="0.25">
      <c r="A3539" s="101" t="s">
        <v>336</v>
      </c>
      <c r="B3539" s="102" t="s">
        <v>8030</v>
      </c>
      <c r="C3539" s="101" t="s">
        <v>8031</v>
      </c>
      <c r="D3539" s="101"/>
      <c r="E3539" s="79"/>
    </row>
    <row r="3540" spans="1:5" ht="14.85" customHeight="1" outlineLevel="1" x14ac:dyDescent="0.25">
      <c r="A3540" s="101" t="s">
        <v>336</v>
      </c>
      <c r="B3540" s="102" t="s">
        <v>8032</v>
      </c>
      <c r="C3540" s="101" t="s">
        <v>8033</v>
      </c>
      <c r="D3540" s="101"/>
      <c r="E3540" s="79"/>
    </row>
    <row r="3541" spans="1:5" ht="14.85" customHeight="1" outlineLevel="1" x14ac:dyDescent="0.25">
      <c r="A3541" s="101" t="s">
        <v>336</v>
      </c>
      <c r="B3541" s="102" t="s">
        <v>8034</v>
      </c>
      <c r="C3541" s="101" t="s">
        <v>8035</v>
      </c>
      <c r="D3541" s="101"/>
      <c r="E3541" s="79"/>
    </row>
    <row r="3542" spans="1:5" ht="14.85" customHeight="1" outlineLevel="1" x14ac:dyDescent="0.25">
      <c r="A3542" s="101" t="s">
        <v>336</v>
      </c>
      <c r="B3542" s="102" t="s">
        <v>8036</v>
      </c>
      <c r="C3542" s="101" t="s">
        <v>8037</v>
      </c>
      <c r="D3542" s="101"/>
      <c r="E3542" s="79"/>
    </row>
    <row r="3543" spans="1:5" ht="14.85" customHeight="1" outlineLevel="1" x14ac:dyDescent="0.25">
      <c r="A3543" s="101" t="s">
        <v>336</v>
      </c>
      <c r="B3543" s="102" t="s">
        <v>8038</v>
      </c>
      <c r="C3543" s="101" t="s">
        <v>8039</v>
      </c>
      <c r="D3543" s="101"/>
      <c r="E3543" s="79"/>
    </row>
    <row r="3544" spans="1:5" ht="14.85" customHeight="1" outlineLevel="1" x14ac:dyDescent="0.25">
      <c r="A3544" s="101" t="s">
        <v>336</v>
      </c>
      <c r="B3544" s="102" t="s">
        <v>8040</v>
      </c>
      <c r="C3544" s="101" t="s">
        <v>8041</v>
      </c>
      <c r="D3544" s="101"/>
      <c r="E3544" s="79"/>
    </row>
    <row r="3545" spans="1:5" ht="14.85" customHeight="1" outlineLevel="1" x14ac:dyDescent="0.25">
      <c r="A3545" s="101" t="s">
        <v>336</v>
      </c>
      <c r="B3545" s="102" t="s">
        <v>8042</v>
      </c>
      <c r="C3545" s="101" t="s">
        <v>8043</v>
      </c>
      <c r="D3545" s="101"/>
      <c r="E3545" s="79"/>
    </row>
    <row r="3546" spans="1:5" ht="14.85" customHeight="1" outlineLevel="1" x14ac:dyDescent="0.25">
      <c r="A3546" s="101" t="s">
        <v>336</v>
      </c>
      <c r="B3546" s="102" t="s">
        <v>8044</v>
      </c>
      <c r="C3546" s="101" t="s">
        <v>8045</v>
      </c>
      <c r="D3546" s="101"/>
      <c r="E3546" s="79"/>
    </row>
    <row r="3547" spans="1:5" ht="14.85" customHeight="1" outlineLevel="1" x14ac:dyDescent="0.25">
      <c r="A3547" s="101" t="s">
        <v>336</v>
      </c>
      <c r="B3547" s="102" t="s">
        <v>8046</v>
      </c>
      <c r="C3547" s="101" t="s">
        <v>8047</v>
      </c>
      <c r="D3547" s="101"/>
      <c r="E3547" s="79"/>
    </row>
    <row r="3548" spans="1:5" ht="14.85" customHeight="1" outlineLevel="1" x14ac:dyDescent="0.25">
      <c r="A3548" s="101" t="s">
        <v>336</v>
      </c>
      <c r="B3548" s="102" t="s">
        <v>8048</v>
      </c>
      <c r="C3548" s="101" t="s">
        <v>8049</v>
      </c>
      <c r="D3548" s="101"/>
      <c r="E3548" s="79"/>
    </row>
    <row r="3549" spans="1:5" ht="14.85" customHeight="1" outlineLevel="1" x14ac:dyDescent="0.25">
      <c r="A3549" s="101" t="s">
        <v>336</v>
      </c>
      <c r="B3549" s="102" t="s">
        <v>8050</v>
      </c>
      <c r="C3549" s="101" t="s">
        <v>8051</v>
      </c>
      <c r="D3549" s="101"/>
      <c r="E3549" s="79"/>
    </row>
    <row r="3550" spans="1:5" ht="14.85" customHeight="1" outlineLevel="1" x14ac:dyDescent="0.25">
      <c r="A3550" s="101" t="s">
        <v>336</v>
      </c>
      <c r="B3550" s="102" t="s">
        <v>8052</v>
      </c>
      <c r="C3550" s="101" t="s">
        <v>8053</v>
      </c>
      <c r="D3550" s="101"/>
      <c r="E3550" s="79"/>
    </row>
    <row r="3551" spans="1:5" ht="14.85" customHeight="1" outlineLevel="1" x14ac:dyDescent="0.25">
      <c r="A3551" s="101" t="s">
        <v>336</v>
      </c>
      <c r="B3551" s="102" t="s">
        <v>8054</v>
      </c>
      <c r="C3551" s="101" t="s">
        <v>8055</v>
      </c>
      <c r="D3551" s="101"/>
      <c r="E3551" s="79"/>
    </row>
    <row r="3552" spans="1:5" ht="14.85" customHeight="1" outlineLevel="1" x14ac:dyDescent="0.25">
      <c r="A3552" s="101" t="s">
        <v>336</v>
      </c>
      <c r="B3552" s="102" t="s">
        <v>8056</v>
      </c>
      <c r="C3552" s="101" t="s">
        <v>8057</v>
      </c>
      <c r="D3552" s="101"/>
      <c r="E3552" s="79"/>
    </row>
    <row r="3553" spans="1:5" ht="14.85" customHeight="1" outlineLevel="1" x14ac:dyDescent="0.25">
      <c r="A3553" s="101" t="s">
        <v>336</v>
      </c>
      <c r="B3553" s="102" t="s">
        <v>8058</v>
      </c>
      <c r="C3553" s="101" t="s">
        <v>8059</v>
      </c>
      <c r="D3553" s="101"/>
      <c r="E3553" s="79"/>
    </row>
    <row r="3554" spans="1:5" ht="14.85" customHeight="1" outlineLevel="1" x14ac:dyDescent="0.25">
      <c r="A3554" s="101" t="s">
        <v>336</v>
      </c>
      <c r="B3554" s="102" t="s">
        <v>8060</v>
      </c>
      <c r="C3554" s="101" t="s">
        <v>8061</v>
      </c>
      <c r="D3554" s="101"/>
      <c r="E3554" s="79"/>
    </row>
    <row r="3555" spans="1:5" ht="14.85" customHeight="1" outlineLevel="1" x14ac:dyDescent="0.25">
      <c r="A3555" s="101" t="s">
        <v>336</v>
      </c>
      <c r="B3555" s="102" t="s">
        <v>8062</v>
      </c>
      <c r="C3555" s="101" t="s">
        <v>8063</v>
      </c>
      <c r="D3555" s="101"/>
      <c r="E3555" s="79"/>
    </row>
    <row r="3556" spans="1:5" ht="14.85" customHeight="1" outlineLevel="1" x14ac:dyDescent="0.25">
      <c r="A3556" s="101" t="s">
        <v>336</v>
      </c>
      <c r="B3556" s="102" t="s">
        <v>8064</v>
      </c>
      <c r="C3556" s="101" t="s">
        <v>8065</v>
      </c>
      <c r="D3556" s="101"/>
      <c r="E3556" s="79"/>
    </row>
    <row r="3557" spans="1:5" ht="14.85" customHeight="1" outlineLevel="1" x14ac:dyDescent="0.25">
      <c r="A3557" s="101" t="s">
        <v>336</v>
      </c>
      <c r="B3557" s="102" t="s">
        <v>8066</v>
      </c>
      <c r="C3557" s="101" t="s">
        <v>8067</v>
      </c>
      <c r="D3557" s="101"/>
      <c r="E3557" s="79"/>
    </row>
    <row r="3558" spans="1:5" ht="14.85" customHeight="1" outlineLevel="1" x14ac:dyDescent="0.25">
      <c r="A3558" s="101" t="s">
        <v>336</v>
      </c>
      <c r="B3558" s="102" t="s">
        <v>8068</v>
      </c>
      <c r="C3558" s="101" t="s">
        <v>8069</v>
      </c>
      <c r="D3558" s="101"/>
      <c r="E3558" s="79"/>
    </row>
    <row r="3559" spans="1:5" ht="14.85" customHeight="1" outlineLevel="1" x14ac:dyDescent="0.25">
      <c r="A3559" s="101" t="s">
        <v>336</v>
      </c>
      <c r="B3559" s="102" t="s">
        <v>8070</v>
      </c>
      <c r="C3559" s="101" t="s">
        <v>8071</v>
      </c>
      <c r="D3559" s="101"/>
      <c r="E3559" s="79"/>
    </row>
    <row r="3560" spans="1:5" ht="14.85" customHeight="1" outlineLevel="1" x14ac:dyDescent="0.25">
      <c r="A3560" s="101" t="s">
        <v>336</v>
      </c>
      <c r="B3560" s="102" t="s">
        <v>8072</v>
      </c>
      <c r="C3560" s="101" t="s">
        <v>8073</v>
      </c>
      <c r="D3560" s="101"/>
      <c r="E3560" s="79"/>
    </row>
    <row r="3561" spans="1:5" ht="14.85" customHeight="1" outlineLevel="1" x14ac:dyDescent="0.25">
      <c r="A3561" s="101" t="s">
        <v>336</v>
      </c>
      <c r="B3561" s="102" t="s">
        <v>8074</v>
      </c>
      <c r="C3561" s="101" t="s">
        <v>8075</v>
      </c>
      <c r="D3561" s="101"/>
      <c r="E3561" s="79"/>
    </row>
    <row r="3562" spans="1:5" ht="14.85" customHeight="1" outlineLevel="1" x14ac:dyDescent="0.25">
      <c r="A3562" s="101" t="s">
        <v>336</v>
      </c>
      <c r="B3562" s="102" t="s">
        <v>8076</v>
      </c>
      <c r="C3562" s="101" t="s">
        <v>8077</v>
      </c>
      <c r="D3562" s="101"/>
      <c r="E3562" s="79"/>
    </row>
    <row r="3563" spans="1:5" ht="14.85" customHeight="1" outlineLevel="1" x14ac:dyDescent="0.25">
      <c r="A3563" s="101" t="s">
        <v>336</v>
      </c>
      <c r="B3563" s="102" t="s">
        <v>8078</v>
      </c>
      <c r="C3563" s="101" t="s">
        <v>8079</v>
      </c>
      <c r="D3563" s="101"/>
      <c r="E3563" s="79"/>
    </row>
    <row r="3564" spans="1:5" ht="14.85" customHeight="1" outlineLevel="1" x14ac:dyDescent="0.25">
      <c r="A3564" s="101" t="s">
        <v>336</v>
      </c>
      <c r="B3564" s="102" t="s">
        <v>8080</v>
      </c>
      <c r="C3564" s="101" t="s">
        <v>8081</v>
      </c>
      <c r="D3564" s="101"/>
      <c r="E3564" s="79"/>
    </row>
    <row r="3565" spans="1:5" ht="14.85" customHeight="1" outlineLevel="1" x14ac:dyDescent="0.25">
      <c r="A3565" s="101" t="s">
        <v>336</v>
      </c>
      <c r="B3565" s="102" t="s">
        <v>8082</v>
      </c>
      <c r="C3565" s="101" t="s">
        <v>8083</v>
      </c>
      <c r="D3565" s="101"/>
      <c r="E3565" s="79"/>
    </row>
    <row r="3566" spans="1:5" ht="14.85" customHeight="1" outlineLevel="1" x14ac:dyDescent="0.25">
      <c r="A3566" s="101" t="s">
        <v>336</v>
      </c>
      <c r="B3566" s="102" t="s">
        <v>8084</v>
      </c>
      <c r="C3566" s="101" t="s">
        <v>8085</v>
      </c>
      <c r="D3566" s="101"/>
      <c r="E3566" s="79"/>
    </row>
    <row r="3567" spans="1:5" ht="14.85" customHeight="1" outlineLevel="1" x14ac:dyDescent="0.25">
      <c r="A3567" s="101" t="s">
        <v>336</v>
      </c>
      <c r="B3567" s="102" t="s">
        <v>8086</v>
      </c>
      <c r="C3567" s="101" t="s">
        <v>8087</v>
      </c>
      <c r="D3567" s="101"/>
      <c r="E3567" s="79"/>
    </row>
    <row r="3568" spans="1:5" ht="14.85" customHeight="1" outlineLevel="1" x14ac:dyDescent="0.25">
      <c r="A3568" s="101" t="s">
        <v>336</v>
      </c>
      <c r="B3568" s="102" t="s">
        <v>8088</v>
      </c>
      <c r="C3568" s="101" t="s">
        <v>8089</v>
      </c>
      <c r="D3568" s="101"/>
      <c r="E3568" s="79"/>
    </row>
    <row r="3569" spans="1:5" ht="14.85" customHeight="1" outlineLevel="1" x14ac:dyDescent="0.25">
      <c r="A3569" s="101" t="s">
        <v>336</v>
      </c>
      <c r="B3569" s="102" t="s">
        <v>8090</v>
      </c>
      <c r="C3569" s="101" t="s">
        <v>8091</v>
      </c>
      <c r="D3569" s="101"/>
      <c r="E3569" s="79"/>
    </row>
    <row r="3570" spans="1:5" ht="14.85" customHeight="1" outlineLevel="1" x14ac:dyDescent="0.25">
      <c r="A3570" s="101" t="s">
        <v>336</v>
      </c>
      <c r="B3570" s="102" t="s">
        <v>8092</v>
      </c>
      <c r="C3570" s="101" t="s">
        <v>8093</v>
      </c>
      <c r="D3570" s="101"/>
      <c r="E3570" s="79"/>
    </row>
    <row r="3571" spans="1:5" ht="14.85" customHeight="1" outlineLevel="1" x14ac:dyDescent="0.25">
      <c r="A3571" s="101" t="s">
        <v>336</v>
      </c>
      <c r="B3571" s="102" t="s">
        <v>8094</v>
      </c>
      <c r="C3571" s="101" t="s">
        <v>8095</v>
      </c>
      <c r="D3571" s="101"/>
      <c r="E3571" s="79"/>
    </row>
    <row r="3572" spans="1:5" ht="14.85" customHeight="1" outlineLevel="1" x14ac:dyDescent="0.25">
      <c r="A3572" s="101" t="s">
        <v>336</v>
      </c>
      <c r="B3572" s="102" t="s">
        <v>8096</v>
      </c>
      <c r="C3572" s="101" t="s">
        <v>8097</v>
      </c>
      <c r="D3572" s="101"/>
      <c r="E3572" s="79"/>
    </row>
    <row r="3573" spans="1:5" ht="14.85" customHeight="1" outlineLevel="1" x14ac:dyDescent="0.25">
      <c r="A3573" s="101" t="s">
        <v>336</v>
      </c>
      <c r="B3573" s="102" t="s">
        <v>8098</v>
      </c>
      <c r="C3573" s="101" t="s">
        <v>8099</v>
      </c>
      <c r="D3573" s="101"/>
      <c r="E3573" s="79"/>
    </row>
    <row r="3574" spans="1:5" ht="14.85" customHeight="1" outlineLevel="1" x14ac:dyDescent="0.25">
      <c r="A3574" s="101" t="s">
        <v>336</v>
      </c>
      <c r="B3574" s="102" t="s">
        <v>8100</v>
      </c>
      <c r="C3574" s="101" t="s">
        <v>8101</v>
      </c>
      <c r="D3574" s="101"/>
      <c r="E3574" s="79"/>
    </row>
    <row r="3575" spans="1:5" ht="14.85" customHeight="1" outlineLevel="1" x14ac:dyDescent="0.25">
      <c r="A3575" s="101" t="s">
        <v>336</v>
      </c>
      <c r="B3575" s="102" t="s">
        <v>8102</v>
      </c>
      <c r="C3575" s="101" t="s">
        <v>8103</v>
      </c>
      <c r="D3575" s="101"/>
      <c r="E3575" s="79"/>
    </row>
    <row r="3576" spans="1:5" ht="14.85" customHeight="1" outlineLevel="1" x14ac:dyDescent="0.25">
      <c r="A3576" s="101" t="s">
        <v>336</v>
      </c>
      <c r="B3576" s="102" t="s">
        <v>8104</v>
      </c>
      <c r="C3576" s="101" t="s">
        <v>8105</v>
      </c>
      <c r="D3576" s="101"/>
      <c r="E3576" s="79"/>
    </row>
    <row r="3577" spans="1:5" ht="14.85" customHeight="1" outlineLevel="1" x14ac:dyDescent="0.25">
      <c r="A3577" s="101" t="s">
        <v>336</v>
      </c>
      <c r="B3577" s="102" t="s">
        <v>8106</v>
      </c>
      <c r="C3577" s="101" t="s">
        <v>8107</v>
      </c>
      <c r="D3577" s="101"/>
      <c r="E3577" s="79"/>
    </row>
    <row r="3578" spans="1:5" ht="14.85" customHeight="1" outlineLevel="1" x14ac:dyDescent="0.25">
      <c r="A3578" s="101" t="s">
        <v>336</v>
      </c>
      <c r="B3578" s="102" t="s">
        <v>8108</v>
      </c>
      <c r="C3578" s="101" t="s">
        <v>8109</v>
      </c>
      <c r="D3578" s="101"/>
      <c r="E3578" s="79"/>
    </row>
    <row r="3579" spans="1:5" ht="14.85" customHeight="1" outlineLevel="1" x14ac:dyDescent="0.25">
      <c r="A3579" s="101" t="s">
        <v>336</v>
      </c>
      <c r="B3579" s="102" t="s">
        <v>8110</v>
      </c>
      <c r="C3579" s="101" t="s">
        <v>8111</v>
      </c>
      <c r="D3579" s="101"/>
      <c r="E3579" s="79"/>
    </row>
    <row r="3580" spans="1:5" ht="14.85" customHeight="1" outlineLevel="1" x14ac:dyDescent="0.25">
      <c r="A3580" s="101" t="s">
        <v>336</v>
      </c>
      <c r="B3580" s="102" t="s">
        <v>8112</v>
      </c>
      <c r="C3580" s="101" t="s">
        <v>8113</v>
      </c>
      <c r="D3580" s="101"/>
      <c r="E3580" s="79"/>
    </row>
    <row r="3581" spans="1:5" ht="14.85" customHeight="1" outlineLevel="1" x14ac:dyDescent="0.25">
      <c r="A3581" s="101" t="s">
        <v>336</v>
      </c>
      <c r="B3581" s="102" t="s">
        <v>8114</v>
      </c>
      <c r="C3581" s="101" t="s">
        <v>8115</v>
      </c>
      <c r="D3581" s="101"/>
      <c r="E3581" s="79"/>
    </row>
    <row r="3582" spans="1:5" ht="14.85" customHeight="1" outlineLevel="1" x14ac:dyDescent="0.25">
      <c r="A3582" s="101" t="s">
        <v>336</v>
      </c>
      <c r="B3582" s="102" t="s">
        <v>8116</v>
      </c>
      <c r="C3582" s="101" t="s">
        <v>8117</v>
      </c>
      <c r="D3582" s="101"/>
      <c r="E3582" s="79"/>
    </row>
    <row r="3583" spans="1:5" ht="14.85" customHeight="1" outlineLevel="1" x14ac:dyDescent="0.25">
      <c r="A3583" s="101" t="s">
        <v>336</v>
      </c>
      <c r="B3583" s="102" t="s">
        <v>8118</v>
      </c>
      <c r="C3583" s="101" t="s">
        <v>8119</v>
      </c>
      <c r="D3583" s="101"/>
      <c r="E3583" s="79"/>
    </row>
    <row r="3584" spans="1:5" ht="14.85" customHeight="1" outlineLevel="1" x14ac:dyDescent="0.25">
      <c r="A3584" s="101" t="s">
        <v>336</v>
      </c>
      <c r="B3584" s="102" t="s">
        <v>8120</v>
      </c>
      <c r="C3584" s="101" t="s">
        <v>8121</v>
      </c>
      <c r="D3584" s="101"/>
      <c r="E3584" s="79"/>
    </row>
    <row r="3585" spans="1:5" ht="14.85" customHeight="1" outlineLevel="1" x14ac:dyDescent="0.25">
      <c r="A3585" s="101" t="s">
        <v>336</v>
      </c>
      <c r="B3585" s="102" t="s">
        <v>8122</v>
      </c>
      <c r="C3585" s="101" t="s">
        <v>8123</v>
      </c>
      <c r="D3585" s="101"/>
      <c r="E3585" s="79"/>
    </row>
    <row r="3586" spans="1:5" ht="14.85" customHeight="1" outlineLevel="1" x14ac:dyDescent="0.25">
      <c r="A3586" s="101" t="s">
        <v>336</v>
      </c>
      <c r="B3586" s="102" t="s">
        <v>8124</v>
      </c>
      <c r="C3586" s="101" t="s">
        <v>8125</v>
      </c>
      <c r="D3586" s="101"/>
      <c r="E3586" s="79"/>
    </row>
    <row r="3587" spans="1:5" ht="14.85" customHeight="1" outlineLevel="1" x14ac:dyDescent="0.25">
      <c r="A3587" s="101" t="s">
        <v>336</v>
      </c>
      <c r="B3587" s="102" t="s">
        <v>8126</v>
      </c>
      <c r="C3587" s="101" t="s">
        <v>8127</v>
      </c>
      <c r="D3587" s="101"/>
      <c r="E3587" s="79"/>
    </row>
    <row r="3588" spans="1:5" ht="14.85" customHeight="1" outlineLevel="1" x14ac:dyDescent="0.25">
      <c r="A3588" s="101" t="s">
        <v>336</v>
      </c>
      <c r="B3588" s="102" t="s">
        <v>8128</v>
      </c>
      <c r="C3588" s="101" t="s">
        <v>8129</v>
      </c>
      <c r="D3588" s="101"/>
      <c r="E3588" s="79"/>
    </row>
    <row r="3589" spans="1:5" ht="14.85" customHeight="1" outlineLevel="1" x14ac:dyDescent="0.25">
      <c r="A3589" s="101" t="s">
        <v>336</v>
      </c>
      <c r="B3589" s="102" t="s">
        <v>8130</v>
      </c>
      <c r="C3589" s="101" t="s">
        <v>8131</v>
      </c>
      <c r="D3589" s="101"/>
      <c r="E3589" s="79"/>
    </row>
    <row r="3590" spans="1:5" ht="14.85" customHeight="1" outlineLevel="1" x14ac:dyDescent="0.25">
      <c r="A3590" s="101" t="s">
        <v>336</v>
      </c>
      <c r="B3590" s="102" t="s">
        <v>8132</v>
      </c>
      <c r="C3590" s="101" t="s">
        <v>8133</v>
      </c>
      <c r="D3590" s="101"/>
      <c r="E3590" s="79"/>
    </row>
    <row r="3591" spans="1:5" ht="14.85" customHeight="1" outlineLevel="1" x14ac:dyDescent="0.25">
      <c r="A3591" s="101" t="s">
        <v>336</v>
      </c>
      <c r="B3591" s="102" t="s">
        <v>8134</v>
      </c>
      <c r="C3591" s="101" t="s">
        <v>8135</v>
      </c>
      <c r="D3591" s="101"/>
      <c r="E3591" s="79"/>
    </row>
    <row r="3592" spans="1:5" ht="14.85" customHeight="1" outlineLevel="1" x14ac:dyDescent="0.25">
      <c r="A3592" s="101" t="s">
        <v>336</v>
      </c>
      <c r="B3592" s="102" t="s">
        <v>8136</v>
      </c>
      <c r="C3592" s="101" t="s">
        <v>8137</v>
      </c>
      <c r="D3592" s="101"/>
      <c r="E3592" s="79"/>
    </row>
    <row r="3593" spans="1:5" ht="14.85" customHeight="1" outlineLevel="1" x14ac:dyDescent="0.25">
      <c r="A3593" s="101" t="s">
        <v>336</v>
      </c>
      <c r="B3593" s="102" t="s">
        <v>8138</v>
      </c>
      <c r="C3593" s="101" t="s">
        <v>8139</v>
      </c>
      <c r="D3593" s="101"/>
      <c r="E3593" s="79"/>
    </row>
    <row r="3594" spans="1:5" ht="14.85" customHeight="1" outlineLevel="1" x14ac:dyDescent="0.25">
      <c r="A3594" s="101" t="s">
        <v>336</v>
      </c>
      <c r="B3594" s="102" t="s">
        <v>8140</v>
      </c>
      <c r="C3594" s="101" t="s">
        <v>8141</v>
      </c>
      <c r="D3594" s="101"/>
      <c r="E3594" s="79"/>
    </row>
    <row r="3595" spans="1:5" ht="14.85" customHeight="1" outlineLevel="1" x14ac:dyDescent="0.25">
      <c r="A3595" s="101" t="s">
        <v>336</v>
      </c>
      <c r="B3595" s="102" t="s">
        <v>8142</v>
      </c>
      <c r="C3595" s="101" t="s">
        <v>8143</v>
      </c>
      <c r="D3595" s="101"/>
      <c r="E3595" s="79"/>
    </row>
    <row r="3596" spans="1:5" ht="14.85" customHeight="1" outlineLevel="1" x14ac:dyDescent="0.25">
      <c r="A3596" s="101" t="s">
        <v>336</v>
      </c>
      <c r="B3596" s="102" t="s">
        <v>8144</v>
      </c>
      <c r="C3596" s="101" t="s">
        <v>8145</v>
      </c>
      <c r="D3596" s="101"/>
      <c r="E3596" s="79"/>
    </row>
    <row r="3597" spans="1:5" ht="14.85" customHeight="1" outlineLevel="1" x14ac:dyDescent="0.25">
      <c r="A3597" s="101" t="s">
        <v>336</v>
      </c>
      <c r="B3597" s="102" t="s">
        <v>8146</v>
      </c>
      <c r="C3597" s="101" t="s">
        <v>8147</v>
      </c>
      <c r="D3597" s="101"/>
      <c r="E3597" s="79"/>
    </row>
    <row r="3598" spans="1:5" ht="14.85" customHeight="1" outlineLevel="1" x14ac:dyDescent="0.25">
      <c r="A3598" s="101" t="s">
        <v>336</v>
      </c>
      <c r="B3598" s="102" t="s">
        <v>8148</v>
      </c>
      <c r="C3598" s="101" t="s">
        <v>8149</v>
      </c>
      <c r="D3598" s="101"/>
      <c r="E3598" s="79"/>
    </row>
    <row r="3599" spans="1:5" ht="14.85" customHeight="1" outlineLevel="1" x14ac:dyDescent="0.25">
      <c r="A3599" s="101" t="s">
        <v>336</v>
      </c>
      <c r="B3599" s="102" t="s">
        <v>8150</v>
      </c>
      <c r="C3599" s="101" t="s">
        <v>8151</v>
      </c>
      <c r="D3599" s="101"/>
      <c r="E3599" s="79"/>
    </row>
    <row r="3600" spans="1:5" ht="14.85" customHeight="1" outlineLevel="1" x14ac:dyDescent="0.25">
      <c r="A3600" s="101" t="s">
        <v>336</v>
      </c>
      <c r="B3600" s="102" t="s">
        <v>8152</v>
      </c>
      <c r="C3600" s="101" t="s">
        <v>8153</v>
      </c>
      <c r="D3600" s="101"/>
      <c r="E3600" s="79"/>
    </row>
    <row r="3601" spans="1:5" ht="14.85" customHeight="1" outlineLevel="1" x14ac:dyDescent="0.25">
      <c r="A3601" s="101" t="s">
        <v>336</v>
      </c>
      <c r="B3601" s="102" t="s">
        <v>8154</v>
      </c>
      <c r="C3601" s="101" t="s">
        <v>8155</v>
      </c>
      <c r="D3601" s="101"/>
      <c r="E3601" s="79"/>
    </row>
    <row r="3602" spans="1:5" ht="14.85" customHeight="1" outlineLevel="1" x14ac:dyDescent="0.25">
      <c r="A3602" s="101" t="s">
        <v>336</v>
      </c>
      <c r="B3602" s="102" t="s">
        <v>8156</v>
      </c>
      <c r="C3602" s="101" t="s">
        <v>8157</v>
      </c>
      <c r="D3602" s="101"/>
      <c r="E3602" s="79"/>
    </row>
    <row r="3603" spans="1:5" ht="14.85" customHeight="1" outlineLevel="1" x14ac:dyDescent="0.25">
      <c r="A3603" s="101" t="s">
        <v>336</v>
      </c>
      <c r="B3603" s="102" t="s">
        <v>8158</v>
      </c>
      <c r="C3603" s="101" t="s">
        <v>8159</v>
      </c>
      <c r="D3603" s="101"/>
      <c r="E3603" s="79"/>
    </row>
    <row r="3604" spans="1:5" ht="14.85" customHeight="1" outlineLevel="1" x14ac:dyDescent="0.25">
      <c r="A3604" s="101" t="s">
        <v>336</v>
      </c>
      <c r="B3604" s="102" t="s">
        <v>8160</v>
      </c>
      <c r="C3604" s="101" t="s">
        <v>8161</v>
      </c>
      <c r="D3604" s="101"/>
      <c r="E3604" s="79"/>
    </row>
    <row r="3605" spans="1:5" ht="14.85" customHeight="1" outlineLevel="1" x14ac:dyDescent="0.25">
      <c r="A3605" s="101" t="s">
        <v>336</v>
      </c>
      <c r="B3605" s="102" t="s">
        <v>8162</v>
      </c>
      <c r="C3605" s="101" t="s">
        <v>8163</v>
      </c>
      <c r="D3605" s="101"/>
      <c r="E3605" s="79"/>
    </row>
    <row r="3606" spans="1:5" ht="14.85" customHeight="1" outlineLevel="1" x14ac:dyDescent="0.25">
      <c r="A3606" s="101" t="s">
        <v>336</v>
      </c>
      <c r="B3606" s="102" t="s">
        <v>8164</v>
      </c>
      <c r="C3606" s="101" t="s">
        <v>8165</v>
      </c>
      <c r="D3606" s="101"/>
      <c r="E3606" s="79"/>
    </row>
    <row r="3607" spans="1:5" ht="14.85" customHeight="1" outlineLevel="1" x14ac:dyDescent="0.25">
      <c r="A3607" s="101" t="s">
        <v>336</v>
      </c>
      <c r="B3607" s="102" t="s">
        <v>8166</v>
      </c>
      <c r="C3607" s="101" t="s">
        <v>8167</v>
      </c>
      <c r="D3607" s="101"/>
      <c r="E3607" s="79"/>
    </row>
    <row r="3608" spans="1:5" ht="14.85" customHeight="1" outlineLevel="1" x14ac:dyDescent="0.25">
      <c r="A3608" s="101" t="s">
        <v>336</v>
      </c>
      <c r="B3608" s="102" t="s">
        <v>8168</v>
      </c>
      <c r="C3608" s="101" t="s">
        <v>8169</v>
      </c>
      <c r="D3608" s="101"/>
      <c r="E3608" s="79"/>
    </row>
    <row r="3609" spans="1:5" ht="14.85" customHeight="1" outlineLevel="1" x14ac:dyDescent="0.25">
      <c r="A3609" s="101" t="s">
        <v>336</v>
      </c>
      <c r="B3609" s="102" t="s">
        <v>8170</v>
      </c>
      <c r="C3609" s="101" t="s">
        <v>8171</v>
      </c>
      <c r="D3609" s="101"/>
      <c r="E3609" s="79"/>
    </row>
    <row r="3610" spans="1:5" ht="14.85" customHeight="1" outlineLevel="1" x14ac:dyDescent="0.25">
      <c r="A3610" s="101" t="s">
        <v>336</v>
      </c>
      <c r="B3610" s="102" t="s">
        <v>8172</v>
      </c>
      <c r="C3610" s="101" t="s">
        <v>8173</v>
      </c>
      <c r="D3610" s="101"/>
      <c r="E3610" s="79"/>
    </row>
    <row r="3611" spans="1:5" ht="14.85" customHeight="1" outlineLevel="1" x14ac:dyDescent="0.25">
      <c r="A3611" s="101" t="s">
        <v>336</v>
      </c>
      <c r="B3611" s="102" t="s">
        <v>8174</v>
      </c>
      <c r="C3611" s="101" t="s">
        <v>8175</v>
      </c>
      <c r="D3611" s="101"/>
      <c r="E3611" s="79"/>
    </row>
    <row r="3612" spans="1:5" ht="14.85" customHeight="1" outlineLevel="1" x14ac:dyDescent="0.25">
      <c r="A3612" s="101" t="s">
        <v>336</v>
      </c>
      <c r="B3612" s="102" t="s">
        <v>8176</v>
      </c>
      <c r="C3612" s="101" t="s">
        <v>8177</v>
      </c>
      <c r="D3612" s="101"/>
      <c r="E3612" s="79"/>
    </row>
    <row r="3613" spans="1:5" ht="14.85" customHeight="1" outlineLevel="1" x14ac:dyDescent="0.25">
      <c r="A3613" s="101" t="s">
        <v>336</v>
      </c>
      <c r="B3613" s="102" t="s">
        <v>8178</v>
      </c>
      <c r="C3613" s="101" t="s">
        <v>8179</v>
      </c>
      <c r="D3613" s="101"/>
      <c r="E3613" s="79"/>
    </row>
    <row r="3614" spans="1:5" ht="14.85" customHeight="1" outlineLevel="1" x14ac:dyDescent="0.25">
      <c r="A3614" s="101" t="s">
        <v>336</v>
      </c>
      <c r="B3614" s="102" t="s">
        <v>8180</v>
      </c>
      <c r="C3614" s="101" t="s">
        <v>8181</v>
      </c>
      <c r="D3614" s="101"/>
      <c r="E3614" s="79"/>
    </row>
    <row r="3615" spans="1:5" ht="14.85" customHeight="1" outlineLevel="1" x14ac:dyDescent="0.25">
      <c r="A3615" s="101" t="s">
        <v>336</v>
      </c>
      <c r="B3615" s="102" t="s">
        <v>8182</v>
      </c>
      <c r="C3615" s="101" t="s">
        <v>8183</v>
      </c>
      <c r="D3615" s="101"/>
      <c r="E3615" s="79"/>
    </row>
    <row r="3616" spans="1:5" ht="14.85" customHeight="1" outlineLevel="1" x14ac:dyDescent="0.25">
      <c r="A3616" s="101" t="s">
        <v>336</v>
      </c>
      <c r="B3616" s="102" t="s">
        <v>8184</v>
      </c>
      <c r="C3616" s="101" t="s">
        <v>8185</v>
      </c>
      <c r="D3616" s="101"/>
      <c r="E3616" s="79"/>
    </row>
    <row r="3617" spans="1:5" ht="14.85" customHeight="1" outlineLevel="1" x14ac:dyDescent="0.25">
      <c r="A3617" s="101" t="s">
        <v>336</v>
      </c>
      <c r="B3617" s="102" t="s">
        <v>8186</v>
      </c>
      <c r="C3617" s="101" t="s">
        <v>8187</v>
      </c>
      <c r="D3617" s="101"/>
      <c r="E3617" s="79"/>
    </row>
    <row r="3618" spans="1:5" ht="14.85" customHeight="1" outlineLevel="1" x14ac:dyDescent="0.25">
      <c r="A3618" s="101" t="s">
        <v>336</v>
      </c>
      <c r="B3618" s="102" t="s">
        <v>8188</v>
      </c>
      <c r="C3618" s="101" t="s">
        <v>8189</v>
      </c>
      <c r="D3618" s="101"/>
      <c r="E3618" s="79"/>
    </row>
    <row r="3619" spans="1:5" ht="14.85" customHeight="1" outlineLevel="1" x14ac:dyDescent="0.25">
      <c r="A3619" s="101" t="s">
        <v>336</v>
      </c>
      <c r="B3619" s="102" t="s">
        <v>8190</v>
      </c>
      <c r="C3619" s="101" t="s">
        <v>8191</v>
      </c>
      <c r="D3619" s="101"/>
      <c r="E3619" s="79"/>
    </row>
    <row r="3620" spans="1:5" ht="14.85" customHeight="1" outlineLevel="1" x14ac:dyDescent="0.25">
      <c r="A3620" s="101" t="s">
        <v>336</v>
      </c>
      <c r="B3620" s="102" t="s">
        <v>8192</v>
      </c>
      <c r="C3620" s="101" t="s">
        <v>8193</v>
      </c>
      <c r="D3620" s="101"/>
      <c r="E3620" s="79"/>
    </row>
    <row r="3621" spans="1:5" ht="14.85" customHeight="1" outlineLevel="1" x14ac:dyDescent="0.25">
      <c r="A3621" s="101" t="s">
        <v>336</v>
      </c>
      <c r="B3621" s="102" t="s">
        <v>8194</v>
      </c>
      <c r="C3621" s="101" t="s">
        <v>8195</v>
      </c>
      <c r="D3621" s="101"/>
      <c r="E3621" s="79"/>
    </row>
    <row r="3622" spans="1:5" ht="14.85" customHeight="1" outlineLevel="1" x14ac:dyDescent="0.25">
      <c r="A3622" s="101" t="s">
        <v>336</v>
      </c>
      <c r="B3622" s="102" t="s">
        <v>8196</v>
      </c>
      <c r="C3622" s="101" t="s">
        <v>8197</v>
      </c>
      <c r="D3622" s="101"/>
      <c r="E3622" s="79"/>
    </row>
    <row r="3623" spans="1:5" ht="14.85" customHeight="1" outlineLevel="1" x14ac:dyDescent="0.25">
      <c r="A3623" s="101" t="s">
        <v>336</v>
      </c>
      <c r="B3623" s="102" t="s">
        <v>8198</v>
      </c>
      <c r="C3623" s="101" t="s">
        <v>8199</v>
      </c>
      <c r="D3623" s="101"/>
      <c r="E3623" s="79"/>
    </row>
    <row r="3624" spans="1:5" ht="14.85" customHeight="1" outlineLevel="1" x14ac:dyDescent="0.25">
      <c r="A3624" s="101" t="s">
        <v>336</v>
      </c>
      <c r="B3624" s="102" t="s">
        <v>8200</v>
      </c>
      <c r="C3624" s="101" t="s">
        <v>8201</v>
      </c>
      <c r="D3624" s="101"/>
      <c r="E3624" s="79"/>
    </row>
    <row r="3625" spans="1:5" ht="14.85" customHeight="1" outlineLevel="1" x14ac:dyDescent="0.25">
      <c r="A3625" s="101" t="s">
        <v>336</v>
      </c>
      <c r="B3625" s="102" t="s">
        <v>8202</v>
      </c>
      <c r="C3625" s="101" t="s">
        <v>8203</v>
      </c>
      <c r="D3625" s="101"/>
      <c r="E3625" s="79"/>
    </row>
    <row r="3626" spans="1:5" ht="14.85" customHeight="1" outlineLevel="1" x14ac:dyDescent="0.25">
      <c r="A3626" s="101" t="s">
        <v>336</v>
      </c>
      <c r="B3626" s="102" t="s">
        <v>8204</v>
      </c>
      <c r="C3626" s="101" t="s">
        <v>8205</v>
      </c>
      <c r="D3626" s="101"/>
      <c r="E3626" s="79"/>
    </row>
    <row r="3627" spans="1:5" ht="14.85" customHeight="1" outlineLevel="1" x14ac:dyDescent="0.25">
      <c r="A3627" s="101" t="s">
        <v>336</v>
      </c>
      <c r="B3627" s="102" t="s">
        <v>8206</v>
      </c>
      <c r="C3627" s="101" t="s">
        <v>8207</v>
      </c>
      <c r="D3627" s="101"/>
      <c r="E3627" s="79"/>
    </row>
    <row r="3628" spans="1:5" ht="14.85" customHeight="1" outlineLevel="1" x14ac:dyDescent="0.25">
      <c r="A3628" s="101" t="s">
        <v>336</v>
      </c>
      <c r="B3628" s="102" t="s">
        <v>8208</v>
      </c>
      <c r="C3628" s="101" t="s">
        <v>8209</v>
      </c>
      <c r="D3628" s="101"/>
      <c r="E3628" s="79"/>
    </row>
    <row r="3629" spans="1:5" ht="14.85" customHeight="1" outlineLevel="1" x14ac:dyDescent="0.25">
      <c r="A3629" s="101" t="s">
        <v>336</v>
      </c>
      <c r="B3629" s="102" t="s">
        <v>8210</v>
      </c>
      <c r="C3629" s="101" t="s">
        <v>8211</v>
      </c>
      <c r="D3629" s="101"/>
      <c r="E3629" s="79"/>
    </row>
    <row r="3630" spans="1:5" ht="14.85" customHeight="1" outlineLevel="1" x14ac:dyDescent="0.25">
      <c r="A3630" s="101" t="s">
        <v>336</v>
      </c>
      <c r="B3630" s="102" t="s">
        <v>8212</v>
      </c>
      <c r="C3630" s="101" t="s">
        <v>8213</v>
      </c>
      <c r="D3630" s="101"/>
      <c r="E3630" s="79"/>
    </row>
    <row r="3631" spans="1:5" ht="14.85" customHeight="1" outlineLevel="1" x14ac:dyDescent="0.25">
      <c r="A3631" s="101" t="s">
        <v>336</v>
      </c>
      <c r="B3631" s="102" t="s">
        <v>8214</v>
      </c>
      <c r="C3631" s="101" t="s">
        <v>8215</v>
      </c>
      <c r="D3631" s="101"/>
      <c r="E3631" s="79"/>
    </row>
    <row r="3632" spans="1:5" ht="14.85" customHeight="1" outlineLevel="1" x14ac:dyDescent="0.25">
      <c r="A3632" s="101" t="s">
        <v>336</v>
      </c>
      <c r="B3632" s="102" t="s">
        <v>8216</v>
      </c>
      <c r="C3632" s="101" t="s">
        <v>8217</v>
      </c>
      <c r="D3632" s="101"/>
      <c r="E3632" s="79"/>
    </row>
    <row r="3633" spans="1:5" ht="14.85" customHeight="1" outlineLevel="1" x14ac:dyDescent="0.25">
      <c r="A3633" s="101" t="s">
        <v>336</v>
      </c>
      <c r="B3633" s="102" t="s">
        <v>8218</v>
      </c>
      <c r="C3633" s="101" t="s">
        <v>8219</v>
      </c>
      <c r="D3633" s="101"/>
      <c r="E3633" s="79"/>
    </row>
    <row r="3634" spans="1:5" ht="14.85" customHeight="1" outlineLevel="1" x14ac:dyDescent="0.25">
      <c r="A3634" s="101" t="s">
        <v>336</v>
      </c>
      <c r="B3634" s="102" t="s">
        <v>8220</v>
      </c>
      <c r="C3634" s="101" t="s">
        <v>8221</v>
      </c>
      <c r="D3634" s="101"/>
      <c r="E3634" s="79"/>
    </row>
    <row r="3635" spans="1:5" ht="14.85" customHeight="1" outlineLevel="1" x14ac:dyDescent="0.25">
      <c r="A3635" s="101" t="s">
        <v>336</v>
      </c>
      <c r="B3635" s="102" t="s">
        <v>8222</v>
      </c>
      <c r="C3635" s="101" t="s">
        <v>8223</v>
      </c>
      <c r="D3635" s="101"/>
      <c r="E3635" s="79"/>
    </row>
    <row r="3636" spans="1:5" ht="14.85" customHeight="1" outlineLevel="1" x14ac:dyDescent="0.25">
      <c r="A3636" s="101" t="s">
        <v>336</v>
      </c>
      <c r="B3636" s="102" t="s">
        <v>8224</v>
      </c>
      <c r="C3636" s="101" t="s">
        <v>8225</v>
      </c>
      <c r="D3636" s="101"/>
      <c r="E3636" s="79"/>
    </row>
    <row r="3637" spans="1:5" ht="14.85" customHeight="1" outlineLevel="1" x14ac:dyDescent="0.25">
      <c r="A3637" s="101" t="s">
        <v>336</v>
      </c>
      <c r="B3637" s="102" t="s">
        <v>8226</v>
      </c>
      <c r="C3637" s="101" t="s">
        <v>8227</v>
      </c>
      <c r="D3637" s="101"/>
      <c r="E3637" s="79"/>
    </row>
    <row r="3638" spans="1:5" ht="14.85" customHeight="1" outlineLevel="1" x14ac:dyDescent="0.25">
      <c r="A3638" s="101" t="s">
        <v>336</v>
      </c>
      <c r="B3638" s="102" t="s">
        <v>8228</v>
      </c>
      <c r="C3638" s="101" t="s">
        <v>8229</v>
      </c>
      <c r="D3638" s="101"/>
      <c r="E3638" s="79"/>
    </row>
    <row r="3639" spans="1:5" ht="14.85" customHeight="1" outlineLevel="1" x14ac:dyDescent="0.25">
      <c r="A3639" s="101" t="s">
        <v>336</v>
      </c>
      <c r="B3639" s="102" t="s">
        <v>8230</v>
      </c>
      <c r="C3639" s="101" t="s">
        <v>8231</v>
      </c>
      <c r="D3639" s="101"/>
      <c r="E3639" s="79"/>
    </row>
    <row r="3640" spans="1:5" ht="14.85" customHeight="1" outlineLevel="1" x14ac:dyDescent="0.25">
      <c r="A3640" s="101" t="s">
        <v>336</v>
      </c>
      <c r="B3640" s="102" t="s">
        <v>8232</v>
      </c>
      <c r="C3640" s="101" t="s">
        <v>8233</v>
      </c>
      <c r="D3640" s="101"/>
      <c r="E3640" s="79"/>
    </row>
    <row r="3641" spans="1:5" ht="14.85" customHeight="1" outlineLevel="1" x14ac:dyDescent="0.25">
      <c r="A3641" s="101" t="s">
        <v>336</v>
      </c>
      <c r="B3641" s="102" t="s">
        <v>8234</v>
      </c>
      <c r="C3641" s="101" t="s">
        <v>8235</v>
      </c>
      <c r="D3641" s="101"/>
      <c r="E3641" s="79"/>
    </row>
    <row r="3642" spans="1:5" ht="14.85" customHeight="1" outlineLevel="1" x14ac:dyDescent="0.25">
      <c r="A3642" s="101" t="s">
        <v>336</v>
      </c>
      <c r="B3642" s="102" t="s">
        <v>8236</v>
      </c>
      <c r="C3642" s="101" t="s">
        <v>8237</v>
      </c>
      <c r="D3642" s="101"/>
      <c r="E3642" s="79"/>
    </row>
    <row r="3643" spans="1:5" ht="14.85" customHeight="1" outlineLevel="1" x14ac:dyDescent="0.25">
      <c r="A3643" s="101" t="s">
        <v>336</v>
      </c>
      <c r="B3643" s="102" t="s">
        <v>8238</v>
      </c>
      <c r="C3643" s="101" t="s">
        <v>8239</v>
      </c>
      <c r="D3643" s="101"/>
      <c r="E3643" s="79"/>
    </row>
    <row r="3644" spans="1:5" ht="14.85" customHeight="1" outlineLevel="1" x14ac:dyDescent="0.25">
      <c r="A3644" s="101" t="s">
        <v>336</v>
      </c>
      <c r="B3644" s="102" t="s">
        <v>8240</v>
      </c>
      <c r="C3644" s="101" t="s">
        <v>8241</v>
      </c>
      <c r="D3644" s="101"/>
      <c r="E3644" s="79"/>
    </row>
    <row r="3645" spans="1:5" ht="14.85" customHeight="1" outlineLevel="1" x14ac:dyDescent="0.25">
      <c r="A3645" s="101" t="s">
        <v>336</v>
      </c>
      <c r="B3645" s="102" t="s">
        <v>8242</v>
      </c>
      <c r="C3645" s="101" t="s">
        <v>8243</v>
      </c>
      <c r="D3645" s="101"/>
      <c r="E3645" s="79"/>
    </row>
    <row r="3646" spans="1:5" ht="14.85" customHeight="1" outlineLevel="1" x14ac:dyDescent="0.25">
      <c r="A3646" s="101" t="s">
        <v>336</v>
      </c>
      <c r="B3646" s="102" t="s">
        <v>8244</v>
      </c>
      <c r="C3646" s="101" t="s">
        <v>8245</v>
      </c>
      <c r="D3646" s="101"/>
      <c r="E3646" s="79"/>
    </row>
    <row r="3647" spans="1:5" ht="14.85" customHeight="1" outlineLevel="1" x14ac:dyDescent="0.25">
      <c r="A3647" s="101" t="s">
        <v>336</v>
      </c>
      <c r="B3647" s="102" t="s">
        <v>8246</v>
      </c>
      <c r="C3647" s="101" t="s">
        <v>8247</v>
      </c>
      <c r="D3647" s="101"/>
      <c r="E3647" s="79"/>
    </row>
    <row r="3648" spans="1:5" ht="14.85" customHeight="1" outlineLevel="1" x14ac:dyDescent="0.25">
      <c r="A3648" s="101" t="s">
        <v>336</v>
      </c>
      <c r="B3648" s="102" t="s">
        <v>8248</v>
      </c>
      <c r="C3648" s="101" t="s">
        <v>8249</v>
      </c>
      <c r="D3648" s="101"/>
      <c r="E3648" s="79"/>
    </row>
    <row r="3649" spans="1:5" ht="14.85" customHeight="1" outlineLevel="1" x14ac:dyDescent="0.25">
      <c r="A3649" s="101" t="s">
        <v>336</v>
      </c>
      <c r="B3649" s="102" t="s">
        <v>8250</v>
      </c>
      <c r="C3649" s="101" t="s">
        <v>8251</v>
      </c>
      <c r="D3649" s="101"/>
      <c r="E3649" s="79"/>
    </row>
    <row r="3650" spans="1:5" ht="14.85" customHeight="1" outlineLevel="1" x14ac:dyDescent="0.25">
      <c r="A3650" s="101" t="s">
        <v>336</v>
      </c>
      <c r="B3650" s="102" t="s">
        <v>8252</v>
      </c>
      <c r="C3650" s="101" t="s">
        <v>8253</v>
      </c>
      <c r="D3650" s="101"/>
      <c r="E3650" s="79"/>
    </row>
    <row r="3651" spans="1:5" ht="14.85" customHeight="1" outlineLevel="1" x14ac:dyDescent="0.25">
      <c r="A3651" s="101" t="s">
        <v>336</v>
      </c>
      <c r="B3651" s="102" t="s">
        <v>8254</v>
      </c>
      <c r="C3651" s="101" t="s">
        <v>8255</v>
      </c>
      <c r="D3651" s="101"/>
      <c r="E3651" s="79"/>
    </row>
    <row r="3652" spans="1:5" ht="14.85" customHeight="1" outlineLevel="1" x14ac:dyDescent="0.25">
      <c r="A3652" s="101" t="s">
        <v>336</v>
      </c>
      <c r="B3652" s="102" t="s">
        <v>8256</v>
      </c>
      <c r="C3652" s="101" t="s">
        <v>8257</v>
      </c>
      <c r="D3652" s="101"/>
      <c r="E3652" s="79"/>
    </row>
    <row r="3653" spans="1:5" ht="14.85" customHeight="1" outlineLevel="1" x14ac:dyDescent="0.25">
      <c r="A3653" s="101" t="s">
        <v>336</v>
      </c>
      <c r="B3653" s="102" t="s">
        <v>8258</v>
      </c>
      <c r="C3653" s="101" t="s">
        <v>8259</v>
      </c>
      <c r="D3653" s="101"/>
      <c r="E3653" s="79"/>
    </row>
    <row r="3654" spans="1:5" ht="14.85" customHeight="1" outlineLevel="1" x14ac:dyDescent="0.25">
      <c r="A3654" s="101" t="s">
        <v>336</v>
      </c>
      <c r="B3654" s="102" t="s">
        <v>8260</v>
      </c>
      <c r="C3654" s="101" t="s">
        <v>8261</v>
      </c>
      <c r="D3654" s="101"/>
      <c r="E3654" s="79"/>
    </row>
    <row r="3655" spans="1:5" ht="14.85" customHeight="1" outlineLevel="1" x14ac:dyDescent="0.25">
      <c r="A3655" s="101" t="s">
        <v>336</v>
      </c>
      <c r="B3655" s="102" t="s">
        <v>8262</v>
      </c>
      <c r="C3655" s="101" t="s">
        <v>8263</v>
      </c>
      <c r="D3655" s="101"/>
      <c r="E3655" s="79"/>
    </row>
    <row r="3656" spans="1:5" ht="14.85" customHeight="1" outlineLevel="1" x14ac:dyDescent="0.25">
      <c r="A3656" s="101" t="s">
        <v>336</v>
      </c>
      <c r="B3656" s="102" t="s">
        <v>8264</v>
      </c>
      <c r="C3656" s="101" t="s">
        <v>8265</v>
      </c>
      <c r="D3656" s="101"/>
      <c r="E3656" s="79"/>
    </row>
    <row r="3657" spans="1:5" ht="14.85" customHeight="1" outlineLevel="1" x14ac:dyDescent="0.25">
      <c r="A3657" s="101" t="s">
        <v>336</v>
      </c>
      <c r="B3657" s="102" t="s">
        <v>8266</v>
      </c>
      <c r="C3657" s="101" t="s">
        <v>8267</v>
      </c>
      <c r="D3657" s="101"/>
      <c r="E3657" s="79"/>
    </row>
    <row r="3658" spans="1:5" ht="14.85" customHeight="1" outlineLevel="1" x14ac:dyDescent="0.25">
      <c r="A3658" s="101" t="s">
        <v>336</v>
      </c>
      <c r="B3658" s="102" t="s">
        <v>8268</v>
      </c>
      <c r="C3658" s="101" t="s">
        <v>8269</v>
      </c>
      <c r="D3658" s="101"/>
      <c r="E3658" s="79"/>
    </row>
    <row r="3659" spans="1:5" ht="14.85" customHeight="1" outlineLevel="1" x14ac:dyDescent="0.25">
      <c r="A3659" s="101" t="s">
        <v>336</v>
      </c>
      <c r="B3659" s="102" t="s">
        <v>8270</v>
      </c>
      <c r="C3659" s="101" t="s">
        <v>8271</v>
      </c>
      <c r="D3659" s="101"/>
      <c r="E3659" s="79"/>
    </row>
    <row r="3660" spans="1:5" ht="14.85" customHeight="1" outlineLevel="1" x14ac:dyDescent="0.25">
      <c r="A3660" s="101" t="s">
        <v>336</v>
      </c>
      <c r="B3660" s="102" t="s">
        <v>8272</v>
      </c>
      <c r="C3660" s="101" t="s">
        <v>8273</v>
      </c>
      <c r="D3660" s="101"/>
      <c r="E3660" s="79"/>
    </row>
    <row r="3661" spans="1:5" ht="14.85" customHeight="1" outlineLevel="1" x14ac:dyDescent="0.25">
      <c r="A3661" s="101" t="s">
        <v>336</v>
      </c>
      <c r="B3661" s="102" t="s">
        <v>8274</v>
      </c>
      <c r="C3661" s="101" t="s">
        <v>8275</v>
      </c>
      <c r="D3661" s="101"/>
      <c r="E3661" s="79"/>
    </row>
    <row r="3662" spans="1:5" ht="14.85" customHeight="1" outlineLevel="1" x14ac:dyDescent="0.25">
      <c r="A3662" s="101" t="s">
        <v>336</v>
      </c>
      <c r="B3662" s="102" t="s">
        <v>8276</v>
      </c>
      <c r="C3662" s="101" t="s">
        <v>8277</v>
      </c>
      <c r="D3662" s="101"/>
      <c r="E3662" s="79"/>
    </row>
    <row r="3663" spans="1:5" ht="14.85" customHeight="1" outlineLevel="1" x14ac:dyDescent="0.25">
      <c r="A3663" s="101" t="s">
        <v>336</v>
      </c>
      <c r="B3663" s="102" t="s">
        <v>8278</v>
      </c>
      <c r="C3663" s="101" t="s">
        <v>8279</v>
      </c>
      <c r="D3663" s="101"/>
      <c r="E3663" s="79"/>
    </row>
    <row r="3664" spans="1:5" ht="14.85" customHeight="1" outlineLevel="1" x14ac:dyDescent="0.25">
      <c r="A3664" s="101" t="s">
        <v>336</v>
      </c>
      <c r="B3664" s="102" t="s">
        <v>8280</v>
      </c>
      <c r="C3664" s="101" t="s">
        <v>8281</v>
      </c>
      <c r="D3664" s="101"/>
      <c r="E3664" s="79"/>
    </row>
    <row r="3665" spans="1:5" ht="14.85" customHeight="1" outlineLevel="1" x14ac:dyDescent="0.25">
      <c r="A3665" s="101" t="s">
        <v>336</v>
      </c>
      <c r="B3665" s="102" t="s">
        <v>8282</v>
      </c>
      <c r="C3665" s="101" t="s">
        <v>8283</v>
      </c>
      <c r="D3665" s="101"/>
      <c r="E3665" s="79"/>
    </row>
    <row r="3666" spans="1:5" ht="14.85" customHeight="1" outlineLevel="1" x14ac:dyDescent="0.25">
      <c r="A3666" s="101" t="s">
        <v>336</v>
      </c>
      <c r="B3666" s="102" t="s">
        <v>8284</v>
      </c>
      <c r="C3666" s="101" t="s">
        <v>8285</v>
      </c>
      <c r="D3666" s="101"/>
      <c r="E3666" s="79"/>
    </row>
    <row r="3667" spans="1:5" ht="14.85" customHeight="1" outlineLevel="1" x14ac:dyDescent="0.25">
      <c r="A3667" s="101" t="s">
        <v>336</v>
      </c>
      <c r="B3667" s="102" t="s">
        <v>8286</v>
      </c>
      <c r="C3667" s="101" t="s">
        <v>8287</v>
      </c>
      <c r="D3667" s="101"/>
      <c r="E3667" s="79"/>
    </row>
    <row r="3668" spans="1:5" ht="14.85" customHeight="1" outlineLevel="1" x14ac:dyDescent="0.25">
      <c r="A3668" s="101" t="s">
        <v>336</v>
      </c>
      <c r="B3668" s="102" t="s">
        <v>8288</v>
      </c>
      <c r="C3668" s="101" t="s">
        <v>8289</v>
      </c>
      <c r="D3668" s="101"/>
      <c r="E3668" s="79"/>
    </row>
    <row r="3669" spans="1:5" ht="14.85" customHeight="1" outlineLevel="1" x14ac:dyDescent="0.25">
      <c r="A3669" s="101" t="s">
        <v>336</v>
      </c>
      <c r="B3669" s="102" t="s">
        <v>8290</v>
      </c>
      <c r="C3669" s="101" t="s">
        <v>8291</v>
      </c>
      <c r="D3669" s="101"/>
      <c r="E3669" s="79"/>
    </row>
    <row r="3670" spans="1:5" ht="14.85" customHeight="1" outlineLevel="1" x14ac:dyDescent="0.25">
      <c r="A3670" s="101" t="s">
        <v>336</v>
      </c>
      <c r="B3670" s="102" t="s">
        <v>8292</v>
      </c>
      <c r="C3670" s="101" t="s">
        <v>8293</v>
      </c>
      <c r="D3670" s="101"/>
      <c r="E3670" s="79"/>
    </row>
    <row r="3671" spans="1:5" ht="14.85" customHeight="1" outlineLevel="1" x14ac:dyDescent="0.25">
      <c r="A3671" s="101" t="s">
        <v>336</v>
      </c>
      <c r="B3671" s="102" t="s">
        <v>8294</v>
      </c>
      <c r="C3671" s="101" t="s">
        <v>8295</v>
      </c>
      <c r="D3671" s="101"/>
      <c r="E3671" s="79"/>
    </row>
    <row r="3672" spans="1:5" ht="14.85" customHeight="1" outlineLevel="1" x14ac:dyDescent="0.25">
      <c r="A3672" s="101" t="s">
        <v>336</v>
      </c>
      <c r="B3672" s="102" t="s">
        <v>8296</v>
      </c>
      <c r="C3672" s="101" t="s">
        <v>8297</v>
      </c>
      <c r="D3672" s="101"/>
      <c r="E3672" s="79"/>
    </row>
    <row r="3673" spans="1:5" ht="14.85" customHeight="1" outlineLevel="1" x14ac:dyDescent="0.25">
      <c r="A3673" s="101" t="s">
        <v>336</v>
      </c>
      <c r="B3673" s="102" t="s">
        <v>8298</v>
      </c>
      <c r="C3673" s="101" t="s">
        <v>8299</v>
      </c>
      <c r="D3673" s="101"/>
      <c r="E3673" s="79"/>
    </row>
    <row r="3674" spans="1:5" ht="14.85" customHeight="1" outlineLevel="1" x14ac:dyDescent="0.25">
      <c r="A3674" s="101" t="s">
        <v>336</v>
      </c>
      <c r="B3674" s="102" t="s">
        <v>8300</v>
      </c>
      <c r="C3674" s="101" t="s">
        <v>8301</v>
      </c>
      <c r="D3674" s="101"/>
      <c r="E3674" s="79"/>
    </row>
    <row r="3675" spans="1:5" ht="14.85" customHeight="1" outlineLevel="1" x14ac:dyDescent="0.25">
      <c r="A3675" s="101" t="s">
        <v>336</v>
      </c>
      <c r="B3675" s="102" t="s">
        <v>8302</v>
      </c>
      <c r="C3675" s="101" t="s">
        <v>8303</v>
      </c>
      <c r="D3675" s="101"/>
      <c r="E3675" s="79"/>
    </row>
    <row r="3676" spans="1:5" ht="14.85" customHeight="1" outlineLevel="1" x14ac:dyDescent="0.25">
      <c r="A3676" s="101" t="s">
        <v>336</v>
      </c>
      <c r="B3676" s="102" t="s">
        <v>8304</v>
      </c>
      <c r="C3676" s="101" t="s">
        <v>8305</v>
      </c>
      <c r="D3676" s="101"/>
      <c r="E3676" s="79"/>
    </row>
    <row r="3677" spans="1:5" ht="14.85" customHeight="1" outlineLevel="1" x14ac:dyDescent="0.25">
      <c r="A3677" s="101" t="s">
        <v>336</v>
      </c>
      <c r="B3677" s="102" t="s">
        <v>8306</v>
      </c>
      <c r="C3677" s="101" t="s">
        <v>8307</v>
      </c>
      <c r="D3677" s="101"/>
      <c r="E3677" s="79"/>
    </row>
    <row r="3678" spans="1:5" ht="14.85" customHeight="1" outlineLevel="1" x14ac:dyDescent="0.25">
      <c r="A3678" s="101" t="s">
        <v>336</v>
      </c>
      <c r="B3678" s="102" t="s">
        <v>8308</v>
      </c>
      <c r="C3678" s="101" t="s">
        <v>8309</v>
      </c>
      <c r="D3678" s="101"/>
      <c r="E3678" s="79"/>
    </row>
    <row r="3679" spans="1:5" ht="14.85" customHeight="1" outlineLevel="1" x14ac:dyDescent="0.25">
      <c r="A3679" s="101" t="s">
        <v>336</v>
      </c>
      <c r="B3679" s="102" t="s">
        <v>8310</v>
      </c>
      <c r="C3679" s="101" t="s">
        <v>8311</v>
      </c>
      <c r="D3679" s="101"/>
      <c r="E3679" s="79"/>
    </row>
    <row r="3680" spans="1:5" ht="14.85" customHeight="1" outlineLevel="1" x14ac:dyDescent="0.25">
      <c r="A3680" s="101" t="s">
        <v>336</v>
      </c>
      <c r="B3680" s="102" t="s">
        <v>8312</v>
      </c>
      <c r="C3680" s="101" t="s">
        <v>8313</v>
      </c>
      <c r="D3680" s="101"/>
      <c r="E3680" s="79"/>
    </row>
    <row r="3681" spans="1:5" ht="14.85" customHeight="1" outlineLevel="1" x14ac:dyDescent="0.25">
      <c r="A3681" s="101" t="s">
        <v>336</v>
      </c>
      <c r="B3681" s="102" t="s">
        <v>8314</v>
      </c>
      <c r="C3681" s="101" t="s">
        <v>8315</v>
      </c>
      <c r="D3681" s="101"/>
      <c r="E3681" s="79"/>
    </row>
    <row r="3682" spans="1:5" ht="14.85" customHeight="1" outlineLevel="1" x14ac:dyDescent="0.25">
      <c r="A3682" s="101" t="s">
        <v>336</v>
      </c>
      <c r="B3682" s="102" t="s">
        <v>8316</v>
      </c>
      <c r="C3682" s="101" t="s">
        <v>8317</v>
      </c>
      <c r="D3682" s="101"/>
      <c r="E3682" s="79"/>
    </row>
    <row r="3683" spans="1:5" ht="14.85" customHeight="1" outlineLevel="1" x14ac:dyDescent="0.25">
      <c r="A3683" s="101" t="s">
        <v>336</v>
      </c>
      <c r="B3683" s="102" t="s">
        <v>8318</v>
      </c>
      <c r="C3683" s="101" t="s">
        <v>8319</v>
      </c>
      <c r="D3683" s="101"/>
      <c r="E3683" s="79"/>
    </row>
    <row r="3684" spans="1:5" ht="14.85" customHeight="1" outlineLevel="1" x14ac:dyDescent="0.25">
      <c r="A3684" s="101" t="s">
        <v>336</v>
      </c>
      <c r="B3684" s="102" t="s">
        <v>8320</v>
      </c>
      <c r="C3684" s="101" t="s">
        <v>8321</v>
      </c>
      <c r="D3684" s="101"/>
      <c r="E3684" s="79"/>
    </row>
    <row r="3685" spans="1:5" ht="14.85" customHeight="1" outlineLevel="1" x14ac:dyDescent="0.25">
      <c r="A3685" s="101" t="s">
        <v>336</v>
      </c>
      <c r="B3685" s="102" t="s">
        <v>8322</v>
      </c>
      <c r="C3685" s="101" t="s">
        <v>8323</v>
      </c>
      <c r="D3685" s="101"/>
      <c r="E3685" s="79"/>
    </row>
    <row r="3686" spans="1:5" ht="14.85" customHeight="1" outlineLevel="1" x14ac:dyDescent="0.25">
      <c r="A3686" s="101" t="s">
        <v>336</v>
      </c>
      <c r="B3686" s="102" t="s">
        <v>8324</v>
      </c>
      <c r="C3686" s="101" t="s">
        <v>8325</v>
      </c>
      <c r="D3686" s="101"/>
      <c r="E3686" s="79"/>
    </row>
    <row r="3687" spans="1:5" ht="14.85" customHeight="1" outlineLevel="1" x14ac:dyDescent="0.25">
      <c r="A3687" s="101" t="s">
        <v>336</v>
      </c>
      <c r="B3687" s="102" t="s">
        <v>8326</v>
      </c>
      <c r="C3687" s="101" t="s">
        <v>8327</v>
      </c>
      <c r="D3687" s="101"/>
      <c r="E3687" s="79"/>
    </row>
    <row r="3688" spans="1:5" ht="14.85" customHeight="1" outlineLevel="1" x14ac:dyDescent="0.25">
      <c r="A3688" s="101" t="s">
        <v>336</v>
      </c>
      <c r="B3688" s="102" t="s">
        <v>8328</v>
      </c>
      <c r="C3688" s="101" t="s">
        <v>8329</v>
      </c>
      <c r="D3688" s="101"/>
      <c r="E3688" s="79"/>
    </row>
    <row r="3689" spans="1:5" ht="14.85" customHeight="1" outlineLevel="1" x14ac:dyDescent="0.25">
      <c r="A3689" s="101" t="s">
        <v>336</v>
      </c>
      <c r="B3689" s="102" t="s">
        <v>8330</v>
      </c>
      <c r="C3689" s="101" t="s">
        <v>8331</v>
      </c>
      <c r="D3689" s="101"/>
      <c r="E3689" s="79"/>
    </row>
    <row r="3690" spans="1:5" ht="14.85" customHeight="1" outlineLevel="1" x14ac:dyDescent="0.25">
      <c r="A3690" s="101" t="s">
        <v>336</v>
      </c>
      <c r="B3690" s="102" t="s">
        <v>8332</v>
      </c>
      <c r="C3690" s="101" t="s">
        <v>8333</v>
      </c>
      <c r="D3690" s="101"/>
      <c r="E3690" s="79"/>
    </row>
    <row r="3691" spans="1:5" ht="14.85" customHeight="1" outlineLevel="1" x14ac:dyDescent="0.25">
      <c r="A3691" s="101" t="s">
        <v>336</v>
      </c>
      <c r="B3691" s="102" t="s">
        <v>8334</v>
      </c>
      <c r="C3691" s="101" t="s">
        <v>8335</v>
      </c>
      <c r="D3691" s="101"/>
      <c r="E3691" s="79"/>
    </row>
    <row r="3692" spans="1:5" ht="14.85" customHeight="1" outlineLevel="1" x14ac:dyDescent="0.25">
      <c r="A3692" s="101" t="s">
        <v>336</v>
      </c>
      <c r="B3692" s="102" t="s">
        <v>8336</v>
      </c>
      <c r="C3692" s="101" t="s">
        <v>8337</v>
      </c>
      <c r="D3692" s="101"/>
      <c r="E3692" s="79"/>
    </row>
    <row r="3693" spans="1:5" ht="14.85" customHeight="1" outlineLevel="1" x14ac:dyDescent="0.25">
      <c r="A3693" s="101" t="s">
        <v>336</v>
      </c>
      <c r="B3693" s="102" t="s">
        <v>8338</v>
      </c>
      <c r="C3693" s="101" t="s">
        <v>8339</v>
      </c>
      <c r="D3693" s="101"/>
      <c r="E3693" s="79"/>
    </row>
    <row r="3694" spans="1:5" ht="14.85" customHeight="1" outlineLevel="1" x14ac:dyDescent="0.25">
      <c r="A3694" s="101" t="s">
        <v>336</v>
      </c>
      <c r="B3694" s="102" t="s">
        <v>8340</v>
      </c>
      <c r="C3694" s="101" t="s">
        <v>8341</v>
      </c>
      <c r="D3694" s="101"/>
      <c r="E3694" s="79"/>
    </row>
    <row r="3695" spans="1:5" ht="14.85" customHeight="1" outlineLevel="1" x14ac:dyDescent="0.25">
      <c r="A3695" s="101" t="s">
        <v>336</v>
      </c>
      <c r="B3695" s="102" t="s">
        <v>8342</v>
      </c>
      <c r="C3695" s="101" t="s">
        <v>8343</v>
      </c>
      <c r="D3695" s="101"/>
      <c r="E3695" s="79"/>
    </row>
    <row r="3696" spans="1:5" ht="14.85" customHeight="1" outlineLevel="1" x14ac:dyDescent="0.25">
      <c r="A3696" s="101" t="s">
        <v>336</v>
      </c>
      <c r="B3696" s="102" t="s">
        <v>8344</v>
      </c>
      <c r="C3696" s="101" t="s">
        <v>8345</v>
      </c>
      <c r="D3696" s="101"/>
      <c r="E3696" s="79"/>
    </row>
    <row r="3697" spans="1:5" ht="14.85" customHeight="1" outlineLevel="1" x14ac:dyDescent="0.25">
      <c r="A3697" s="101" t="s">
        <v>336</v>
      </c>
      <c r="B3697" s="102" t="s">
        <v>8346</v>
      </c>
      <c r="C3697" s="101" t="s">
        <v>8347</v>
      </c>
      <c r="D3697" s="101"/>
      <c r="E3697" s="79"/>
    </row>
    <row r="3698" spans="1:5" ht="14.85" customHeight="1" outlineLevel="1" x14ac:dyDescent="0.25">
      <c r="A3698" s="101" t="s">
        <v>336</v>
      </c>
      <c r="B3698" s="102" t="s">
        <v>8348</v>
      </c>
      <c r="C3698" s="101" t="s">
        <v>8349</v>
      </c>
      <c r="D3698" s="101"/>
      <c r="E3698" s="79"/>
    </row>
    <row r="3699" spans="1:5" ht="14.85" customHeight="1" outlineLevel="1" x14ac:dyDescent="0.25">
      <c r="A3699" s="101" t="s">
        <v>336</v>
      </c>
      <c r="B3699" s="102" t="s">
        <v>8350</v>
      </c>
      <c r="C3699" s="101" t="s">
        <v>8351</v>
      </c>
      <c r="D3699" s="101"/>
      <c r="E3699" s="79"/>
    </row>
    <row r="3700" spans="1:5" ht="14.85" customHeight="1" outlineLevel="1" x14ac:dyDescent="0.25">
      <c r="A3700" s="101" t="s">
        <v>336</v>
      </c>
      <c r="B3700" s="102" t="s">
        <v>8352</v>
      </c>
      <c r="C3700" s="101" t="s">
        <v>8353</v>
      </c>
      <c r="D3700" s="101"/>
      <c r="E3700" s="79"/>
    </row>
    <row r="3701" spans="1:5" ht="14.85" customHeight="1" outlineLevel="1" x14ac:dyDescent="0.25">
      <c r="A3701" s="101" t="s">
        <v>336</v>
      </c>
      <c r="B3701" s="102" t="s">
        <v>8354</v>
      </c>
      <c r="C3701" s="101" t="s">
        <v>8355</v>
      </c>
      <c r="D3701" s="101"/>
      <c r="E3701" s="79"/>
    </row>
    <row r="3702" spans="1:5" ht="14.85" customHeight="1" outlineLevel="1" x14ac:dyDescent="0.25">
      <c r="A3702" s="101" t="s">
        <v>336</v>
      </c>
      <c r="B3702" s="102" t="s">
        <v>8356</v>
      </c>
      <c r="C3702" s="101" t="s">
        <v>8357</v>
      </c>
      <c r="D3702" s="101"/>
      <c r="E3702" s="79"/>
    </row>
    <row r="3703" spans="1:5" ht="14.85" customHeight="1" outlineLevel="1" x14ac:dyDescent="0.25">
      <c r="A3703" s="101" t="s">
        <v>336</v>
      </c>
      <c r="B3703" s="102" t="s">
        <v>8358</v>
      </c>
      <c r="C3703" s="101" t="s">
        <v>8359</v>
      </c>
      <c r="D3703" s="101"/>
      <c r="E3703" s="79"/>
    </row>
    <row r="3704" spans="1:5" ht="14.85" customHeight="1" outlineLevel="1" x14ac:dyDescent="0.25">
      <c r="A3704" s="101" t="s">
        <v>336</v>
      </c>
      <c r="B3704" s="102" t="s">
        <v>8360</v>
      </c>
      <c r="C3704" s="101" t="s">
        <v>8361</v>
      </c>
      <c r="D3704" s="101"/>
      <c r="E3704" s="79"/>
    </row>
    <row r="3705" spans="1:5" ht="14.85" customHeight="1" outlineLevel="1" x14ac:dyDescent="0.25">
      <c r="A3705" s="101" t="s">
        <v>336</v>
      </c>
      <c r="B3705" s="102" t="s">
        <v>8362</v>
      </c>
      <c r="C3705" s="101" t="s">
        <v>8363</v>
      </c>
      <c r="D3705" s="101"/>
      <c r="E3705" s="79"/>
    </row>
    <row r="3706" spans="1:5" ht="14.85" customHeight="1" outlineLevel="1" x14ac:dyDescent="0.25">
      <c r="A3706" s="101" t="s">
        <v>336</v>
      </c>
      <c r="B3706" s="102" t="s">
        <v>8364</v>
      </c>
      <c r="C3706" s="101" t="s">
        <v>8365</v>
      </c>
      <c r="D3706" s="101"/>
      <c r="E3706" s="79"/>
    </row>
    <row r="3707" spans="1:5" ht="14.85" customHeight="1" outlineLevel="1" x14ac:dyDescent="0.25">
      <c r="A3707" s="101" t="s">
        <v>336</v>
      </c>
      <c r="B3707" s="102" t="s">
        <v>8366</v>
      </c>
      <c r="C3707" s="101" t="s">
        <v>8367</v>
      </c>
      <c r="D3707" s="101"/>
      <c r="E3707" s="79"/>
    </row>
    <row r="3708" spans="1:5" ht="14.85" customHeight="1" outlineLevel="1" x14ac:dyDescent="0.25">
      <c r="A3708" s="101" t="s">
        <v>336</v>
      </c>
      <c r="B3708" s="102" t="s">
        <v>8368</v>
      </c>
      <c r="C3708" s="101" t="s">
        <v>8369</v>
      </c>
      <c r="D3708" s="101"/>
      <c r="E3708" s="79"/>
    </row>
    <row r="3709" spans="1:5" ht="14.85" customHeight="1" outlineLevel="1" x14ac:dyDescent="0.25">
      <c r="A3709" s="101" t="s">
        <v>336</v>
      </c>
      <c r="B3709" s="102" t="s">
        <v>8370</v>
      </c>
      <c r="C3709" s="101" t="s">
        <v>8371</v>
      </c>
      <c r="D3709" s="101"/>
      <c r="E3709" s="79"/>
    </row>
    <row r="3710" spans="1:5" ht="14.85" customHeight="1" outlineLevel="1" x14ac:dyDescent="0.25">
      <c r="A3710" s="101" t="s">
        <v>336</v>
      </c>
      <c r="B3710" s="102" t="s">
        <v>8372</v>
      </c>
      <c r="C3710" s="101" t="s">
        <v>8373</v>
      </c>
      <c r="D3710" s="101"/>
      <c r="E3710" s="79"/>
    </row>
    <row r="3711" spans="1:5" ht="14.85" customHeight="1" outlineLevel="1" x14ac:dyDescent="0.25">
      <c r="A3711" s="101" t="s">
        <v>336</v>
      </c>
      <c r="B3711" s="102" t="s">
        <v>8374</v>
      </c>
      <c r="C3711" s="101" t="s">
        <v>8375</v>
      </c>
      <c r="D3711" s="101"/>
      <c r="E3711" s="79"/>
    </row>
    <row r="3712" spans="1:5" ht="14.85" customHeight="1" outlineLevel="1" x14ac:dyDescent="0.25">
      <c r="A3712" s="101" t="s">
        <v>336</v>
      </c>
      <c r="B3712" s="102" t="s">
        <v>8376</v>
      </c>
      <c r="C3712" s="101" t="s">
        <v>8377</v>
      </c>
      <c r="D3712" s="101"/>
      <c r="E3712" s="79"/>
    </row>
    <row r="3713" spans="1:5" ht="14.85" customHeight="1" outlineLevel="1" x14ac:dyDescent="0.25">
      <c r="A3713" s="101" t="s">
        <v>336</v>
      </c>
      <c r="B3713" s="102" t="s">
        <v>8378</v>
      </c>
      <c r="C3713" s="101" t="s">
        <v>8379</v>
      </c>
      <c r="D3713" s="101"/>
      <c r="E3713" s="79"/>
    </row>
    <row r="3714" spans="1:5" ht="14.85" customHeight="1" outlineLevel="1" x14ac:dyDescent="0.25">
      <c r="A3714" s="101" t="s">
        <v>336</v>
      </c>
      <c r="B3714" s="102" t="s">
        <v>8380</v>
      </c>
      <c r="C3714" s="101" t="s">
        <v>8381</v>
      </c>
      <c r="D3714" s="101"/>
      <c r="E3714" s="79"/>
    </row>
    <row r="3715" spans="1:5" ht="14.85" customHeight="1" outlineLevel="1" x14ac:dyDescent="0.25">
      <c r="A3715" s="101" t="s">
        <v>336</v>
      </c>
      <c r="B3715" s="102" t="s">
        <v>8382</v>
      </c>
      <c r="C3715" s="101" t="s">
        <v>8383</v>
      </c>
      <c r="D3715" s="101"/>
      <c r="E3715" s="79"/>
    </row>
    <row r="3716" spans="1:5" ht="14.85" customHeight="1" outlineLevel="1" x14ac:dyDescent="0.25">
      <c r="A3716" s="101" t="s">
        <v>336</v>
      </c>
      <c r="B3716" s="102" t="s">
        <v>8384</v>
      </c>
      <c r="C3716" s="101" t="s">
        <v>8385</v>
      </c>
      <c r="D3716" s="101"/>
      <c r="E3716" s="79"/>
    </row>
    <row r="3717" spans="1:5" ht="14.85" customHeight="1" outlineLevel="1" x14ac:dyDescent="0.25">
      <c r="A3717" s="101" t="s">
        <v>336</v>
      </c>
      <c r="B3717" s="102" t="s">
        <v>8386</v>
      </c>
      <c r="C3717" s="101" t="s">
        <v>8387</v>
      </c>
      <c r="D3717" s="101"/>
      <c r="E3717" s="79"/>
    </row>
    <row r="3718" spans="1:5" ht="14.85" customHeight="1" outlineLevel="1" x14ac:dyDescent="0.25">
      <c r="A3718" s="101" t="s">
        <v>336</v>
      </c>
      <c r="B3718" s="102" t="s">
        <v>8388</v>
      </c>
      <c r="C3718" s="101" t="s">
        <v>8389</v>
      </c>
      <c r="D3718" s="101"/>
      <c r="E3718" s="79"/>
    </row>
    <row r="3719" spans="1:5" ht="14.85" customHeight="1" outlineLevel="1" x14ac:dyDescent="0.25">
      <c r="A3719" s="101" t="s">
        <v>336</v>
      </c>
      <c r="B3719" s="102" t="s">
        <v>8390</v>
      </c>
      <c r="C3719" s="101" t="s">
        <v>8391</v>
      </c>
      <c r="D3719" s="101"/>
      <c r="E3719" s="79"/>
    </row>
    <row r="3720" spans="1:5" ht="14.85" customHeight="1" outlineLevel="1" x14ac:dyDescent="0.25">
      <c r="A3720" s="101" t="s">
        <v>336</v>
      </c>
      <c r="B3720" s="102" t="s">
        <v>8392</v>
      </c>
      <c r="C3720" s="101" t="s">
        <v>8393</v>
      </c>
      <c r="D3720" s="101"/>
      <c r="E3720" s="79"/>
    </row>
    <row r="3721" spans="1:5" ht="14.85" customHeight="1" outlineLevel="1" x14ac:dyDescent="0.25">
      <c r="A3721" s="101" t="s">
        <v>336</v>
      </c>
      <c r="B3721" s="102" t="s">
        <v>8394</v>
      </c>
      <c r="C3721" s="101" t="s">
        <v>8395</v>
      </c>
      <c r="D3721" s="101"/>
      <c r="E3721" s="79"/>
    </row>
    <row r="3722" spans="1:5" ht="14.85" customHeight="1" outlineLevel="1" x14ac:dyDescent="0.25">
      <c r="A3722" s="101" t="s">
        <v>336</v>
      </c>
      <c r="B3722" s="102" t="s">
        <v>8396</v>
      </c>
      <c r="C3722" s="101" t="s">
        <v>8397</v>
      </c>
      <c r="D3722" s="101"/>
      <c r="E3722" s="79"/>
    </row>
    <row r="3723" spans="1:5" ht="14.85" customHeight="1" outlineLevel="1" x14ac:dyDescent="0.25">
      <c r="A3723" s="101" t="s">
        <v>336</v>
      </c>
      <c r="B3723" s="102" t="s">
        <v>8398</v>
      </c>
      <c r="C3723" s="101" t="s">
        <v>8399</v>
      </c>
      <c r="D3723" s="101"/>
      <c r="E3723" s="79"/>
    </row>
    <row r="3724" spans="1:5" ht="14.85" customHeight="1" outlineLevel="1" x14ac:dyDescent="0.25">
      <c r="A3724" s="101" t="s">
        <v>336</v>
      </c>
      <c r="B3724" s="102" t="s">
        <v>8400</v>
      </c>
      <c r="C3724" s="101" t="s">
        <v>8401</v>
      </c>
      <c r="D3724" s="101"/>
      <c r="E3724" s="79"/>
    </row>
    <row r="3725" spans="1:5" ht="14.85" customHeight="1" outlineLevel="1" x14ac:dyDescent="0.25">
      <c r="A3725" s="101" t="s">
        <v>336</v>
      </c>
      <c r="B3725" s="102" t="s">
        <v>8402</v>
      </c>
      <c r="C3725" s="101" t="s">
        <v>8403</v>
      </c>
      <c r="D3725" s="101"/>
      <c r="E3725" s="79"/>
    </row>
    <row r="3726" spans="1:5" ht="14.85" customHeight="1" outlineLevel="1" x14ac:dyDescent="0.25">
      <c r="A3726" s="101" t="s">
        <v>336</v>
      </c>
      <c r="B3726" s="102" t="s">
        <v>8404</v>
      </c>
      <c r="C3726" s="101" t="s">
        <v>8405</v>
      </c>
      <c r="D3726" s="101"/>
      <c r="E3726" s="79"/>
    </row>
    <row r="3727" spans="1:5" ht="14.85" customHeight="1" outlineLevel="1" x14ac:dyDescent="0.25">
      <c r="A3727" s="101" t="s">
        <v>336</v>
      </c>
      <c r="B3727" s="102" t="s">
        <v>8406</v>
      </c>
      <c r="C3727" s="101" t="s">
        <v>8407</v>
      </c>
      <c r="D3727" s="101"/>
      <c r="E3727" s="79"/>
    </row>
    <row r="3728" spans="1:5" ht="14.85" customHeight="1" outlineLevel="1" x14ac:dyDescent="0.25">
      <c r="A3728" s="101" t="s">
        <v>336</v>
      </c>
      <c r="B3728" s="102" t="s">
        <v>8408</v>
      </c>
      <c r="C3728" s="101" t="s">
        <v>8409</v>
      </c>
      <c r="D3728" s="101"/>
      <c r="E3728" s="79"/>
    </row>
    <row r="3729" spans="1:5" ht="14.85" customHeight="1" outlineLevel="1" x14ac:dyDescent="0.25">
      <c r="A3729" s="101" t="s">
        <v>336</v>
      </c>
      <c r="B3729" s="102" t="s">
        <v>8410</v>
      </c>
      <c r="C3729" s="101" t="s">
        <v>8411</v>
      </c>
      <c r="D3729" s="101"/>
      <c r="E3729" s="79"/>
    </row>
    <row r="3730" spans="1:5" ht="14.85" customHeight="1" outlineLevel="1" x14ac:dyDescent="0.25">
      <c r="A3730" s="101" t="s">
        <v>336</v>
      </c>
      <c r="B3730" s="102" t="s">
        <v>8412</v>
      </c>
      <c r="C3730" s="101" t="s">
        <v>8413</v>
      </c>
      <c r="D3730" s="101"/>
      <c r="E3730" s="79"/>
    </row>
    <row r="3731" spans="1:5" ht="14.85" customHeight="1" outlineLevel="1" x14ac:dyDescent="0.25">
      <c r="A3731" s="101" t="s">
        <v>336</v>
      </c>
      <c r="B3731" s="102" t="s">
        <v>8414</v>
      </c>
      <c r="C3731" s="101" t="s">
        <v>8415</v>
      </c>
      <c r="D3731" s="101"/>
      <c r="E3731" s="79"/>
    </row>
    <row r="3732" spans="1:5" ht="14.85" customHeight="1" outlineLevel="1" x14ac:dyDescent="0.25">
      <c r="A3732" s="101" t="s">
        <v>336</v>
      </c>
      <c r="B3732" s="102" t="s">
        <v>8416</v>
      </c>
      <c r="C3732" s="101" t="s">
        <v>8417</v>
      </c>
      <c r="D3732" s="101"/>
      <c r="E3732" s="79"/>
    </row>
    <row r="3733" spans="1:5" ht="14.85" customHeight="1" outlineLevel="1" x14ac:dyDescent="0.25">
      <c r="A3733" s="101" t="s">
        <v>336</v>
      </c>
      <c r="B3733" s="102" t="s">
        <v>8418</v>
      </c>
      <c r="C3733" s="101" t="s">
        <v>8419</v>
      </c>
      <c r="D3733" s="101"/>
      <c r="E3733" s="79"/>
    </row>
    <row r="3734" spans="1:5" ht="14.85" customHeight="1" outlineLevel="1" x14ac:dyDescent="0.25">
      <c r="A3734" s="101" t="s">
        <v>336</v>
      </c>
      <c r="B3734" s="102" t="s">
        <v>8420</v>
      </c>
      <c r="C3734" s="101" t="s">
        <v>8421</v>
      </c>
      <c r="D3734" s="101"/>
      <c r="E3734" s="79"/>
    </row>
    <row r="3735" spans="1:5" ht="14.85" customHeight="1" outlineLevel="1" x14ac:dyDescent="0.25">
      <c r="A3735" s="101" t="s">
        <v>336</v>
      </c>
      <c r="B3735" s="102" t="s">
        <v>8422</v>
      </c>
      <c r="C3735" s="101" t="s">
        <v>8423</v>
      </c>
      <c r="D3735" s="101"/>
      <c r="E3735" s="79"/>
    </row>
    <row r="3736" spans="1:5" ht="14.85" customHeight="1" outlineLevel="1" x14ac:dyDescent="0.25">
      <c r="A3736" s="101" t="s">
        <v>336</v>
      </c>
      <c r="B3736" s="102" t="s">
        <v>8424</v>
      </c>
      <c r="C3736" s="101" t="s">
        <v>8425</v>
      </c>
      <c r="D3736" s="101"/>
      <c r="E3736" s="79"/>
    </row>
    <row r="3737" spans="1:5" ht="14.85" customHeight="1" outlineLevel="1" x14ac:dyDescent="0.25">
      <c r="A3737" s="101" t="s">
        <v>336</v>
      </c>
      <c r="B3737" s="102" t="s">
        <v>8426</v>
      </c>
      <c r="C3737" s="101" t="s">
        <v>8427</v>
      </c>
      <c r="D3737" s="101"/>
      <c r="E3737" s="79"/>
    </row>
    <row r="3738" spans="1:5" ht="14.85" customHeight="1" outlineLevel="1" x14ac:dyDescent="0.25">
      <c r="A3738" s="101" t="s">
        <v>336</v>
      </c>
      <c r="B3738" s="102" t="s">
        <v>8428</v>
      </c>
      <c r="C3738" s="101" t="s">
        <v>8429</v>
      </c>
      <c r="D3738" s="101"/>
      <c r="E3738" s="79"/>
    </row>
    <row r="3739" spans="1:5" ht="14.85" customHeight="1" outlineLevel="1" x14ac:dyDescent="0.25">
      <c r="A3739" s="101" t="s">
        <v>336</v>
      </c>
      <c r="B3739" s="102" t="s">
        <v>8430</v>
      </c>
      <c r="C3739" s="101" t="s">
        <v>8431</v>
      </c>
      <c r="D3739" s="101"/>
      <c r="E3739" s="79"/>
    </row>
    <row r="3740" spans="1:5" ht="14.85" customHeight="1" outlineLevel="1" x14ac:dyDescent="0.25">
      <c r="A3740" s="101" t="s">
        <v>336</v>
      </c>
      <c r="B3740" s="102" t="s">
        <v>8432</v>
      </c>
      <c r="C3740" s="101" t="s">
        <v>8433</v>
      </c>
      <c r="D3740" s="101"/>
      <c r="E3740" s="79"/>
    </row>
    <row r="3741" spans="1:5" ht="14.85" customHeight="1" outlineLevel="1" x14ac:dyDescent="0.25">
      <c r="A3741" s="101" t="s">
        <v>336</v>
      </c>
      <c r="B3741" s="102" t="s">
        <v>8434</v>
      </c>
      <c r="C3741" s="101" t="s">
        <v>8435</v>
      </c>
      <c r="D3741" s="101"/>
      <c r="E3741" s="79"/>
    </row>
    <row r="3742" spans="1:5" ht="14.85" customHeight="1" outlineLevel="1" x14ac:dyDescent="0.25">
      <c r="A3742" s="101" t="s">
        <v>336</v>
      </c>
      <c r="B3742" s="102" t="s">
        <v>8436</v>
      </c>
      <c r="C3742" s="101" t="s">
        <v>8437</v>
      </c>
      <c r="D3742" s="101"/>
      <c r="E3742" s="79"/>
    </row>
    <row r="3743" spans="1:5" ht="14.85" customHeight="1" outlineLevel="1" x14ac:dyDescent="0.25">
      <c r="A3743" s="101" t="s">
        <v>336</v>
      </c>
      <c r="B3743" s="102" t="s">
        <v>8438</v>
      </c>
      <c r="C3743" s="101" t="s">
        <v>8439</v>
      </c>
      <c r="D3743" s="101"/>
      <c r="E3743" s="79"/>
    </row>
    <row r="3744" spans="1:5" ht="14.85" customHeight="1" outlineLevel="1" x14ac:dyDescent="0.25">
      <c r="A3744" s="101" t="s">
        <v>336</v>
      </c>
      <c r="B3744" s="102" t="s">
        <v>8440</v>
      </c>
      <c r="C3744" s="101" t="s">
        <v>8441</v>
      </c>
      <c r="D3744" s="101"/>
      <c r="E3744" s="79"/>
    </row>
    <row r="3745" spans="1:5" ht="14.85" customHeight="1" outlineLevel="1" x14ac:dyDescent="0.25">
      <c r="A3745" s="101" t="s">
        <v>336</v>
      </c>
      <c r="B3745" s="102" t="s">
        <v>8442</v>
      </c>
      <c r="C3745" s="101" t="s">
        <v>8443</v>
      </c>
      <c r="D3745" s="101"/>
      <c r="E3745" s="79"/>
    </row>
    <row r="3746" spans="1:5" ht="14.85" customHeight="1" outlineLevel="1" x14ac:dyDescent="0.25">
      <c r="A3746" s="101" t="s">
        <v>336</v>
      </c>
      <c r="B3746" s="102" t="s">
        <v>8444</v>
      </c>
      <c r="C3746" s="101" t="s">
        <v>8445</v>
      </c>
      <c r="D3746" s="101"/>
      <c r="E3746" s="79"/>
    </row>
    <row r="3747" spans="1:5" ht="14.85" customHeight="1" outlineLevel="1" x14ac:dyDescent="0.25">
      <c r="A3747" s="101" t="s">
        <v>336</v>
      </c>
      <c r="B3747" s="102" t="s">
        <v>8446</v>
      </c>
      <c r="C3747" s="101" t="s">
        <v>8447</v>
      </c>
      <c r="D3747" s="101"/>
      <c r="E3747" s="79"/>
    </row>
    <row r="3748" spans="1:5" ht="14.85" customHeight="1" outlineLevel="1" x14ac:dyDescent="0.25">
      <c r="A3748" s="101" t="s">
        <v>336</v>
      </c>
      <c r="B3748" s="102" t="s">
        <v>8448</v>
      </c>
      <c r="C3748" s="101" t="s">
        <v>8449</v>
      </c>
      <c r="D3748" s="101"/>
      <c r="E3748" s="79"/>
    </row>
    <row r="3749" spans="1:5" ht="14.85" customHeight="1" outlineLevel="1" x14ac:dyDescent="0.25">
      <c r="A3749" s="101" t="s">
        <v>336</v>
      </c>
      <c r="B3749" s="102" t="s">
        <v>8450</v>
      </c>
      <c r="C3749" s="101" t="s">
        <v>8451</v>
      </c>
      <c r="D3749" s="101"/>
      <c r="E3749" s="79"/>
    </row>
    <row r="3750" spans="1:5" ht="14.85" customHeight="1" outlineLevel="1" x14ac:dyDescent="0.25">
      <c r="A3750" s="101" t="s">
        <v>336</v>
      </c>
      <c r="B3750" s="102" t="s">
        <v>8452</v>
      </c>
      <c r="C3750" s="101" t="s">
        <v>8453</v>
      </c>
      <c r="D3750" s="101"/>
      <c r="E3750" s="79"/>
    </row>
    <row r="3751" spans="1:5" ht="14.85" customHeight="1" outlineLevel="1" x14ac:dyDescent="0.25">
      <c r="A3751" s="101" t="s">
        <v>336</v>
      </c>
      <c r="B3751" s="102" t="s">
        <v>8454</v>
      </c>
      <c r="C3751" s="101" t="s">
        <v>8455</v>
      </c>
      <c r="D3751" s="101"/>
      <c r="E3751" s="79"/>
    </row>
    <row r="3752" spans="1:5" ht="14.85" customHeight="1" outlineLevel="1" x14ac:dyDescent="0.25">
      <c r="A3752" s="101" t="s">
        <v>336</v>
      </c>
      <c r="B3752" s="102" t="s">
        <v>8456</v>
      </c>
      <c r="C3752" s="101" t="s">
        <v>8457</v>
      </c>
      <c r="D3752" s="101"/>
      <c r="E3752" s="79"/>
    </row>
    <row r="3753" spans="1:5" ht="14.85" customHeight="1" outlineLevel="1" x14ac:dyDescent="0.25">
      <c r="A3753" s="101" t="s">
        <v>336</v>
      </c>
      <c r="B3753" s="102" t="s">
        <v>8458</v>
      </c>
      <c r="C3753" s="101" t="s">
        <v>8459</v>
      </c>
      <c r="D3753" s="101"/>
      <c r="E3753" s="79"/>
    </row>
    <row r="3754" spans="1:5" ht="14.85" customHeight="1" outlineLevel="1" x14ac:dyDescent="0.25">
      <c r="A3754" s="101" t="s">
        <v>336</v>
      </c>
      <c r="B3754" s="102" t="s">
        <v>8460</v>
      </c>
      <c r="C3754" s="101" t="s">
        <v>8461</v>
      </c>
      <c r="D3754" s="101"/>
      <c r="E3754" s="79"/>
    </row>
    <row r="3755" spans="1:5" ht="14.85" customHeight="1" outlineLevel="1" x14ac:dyDescent="0.25">
      <c r="A3755" s="101" t="s">
        <v>336</v>
      </c>
      <c r="B3755" s="102" t="s">
        <v>8462</v>
      </c>
      <c r="C3755" s="101" t="s">
        <v>8463</v>
      </c>
      <c r="D3755" s="101"/>
      <c r="E3755" s="79"/>
    </row>
    <row r="3756" spans="1:5" ht="14.85" customHeight="1" outlineLevel="1" x14ac:dyDescent="0.25">
      <c r="A3756" s="101" t="s">
        <v>336</v>
      </c>
      <c r="B3756" s="102" t="s">
        <v>8464</v>
      </c>
      <c r="C3756" s="101" t="s">
        <v>8465</v>
      </c>
      <c r="D3756" s="101"/>
      <c r="E3756" s="79"/>
    </row>
    <row r="3757" spans="1:5" ht="14.85" customHeight="1" outlineLevel="1" x14ac:dyDescent="0.25">
      <c r="A3757" s="101" t="s">
        <v>336</v>
      </c>
      <c r="B3757" s="102" t="s">
        <v>8466</v>
      </c>
      <c r="C3757" s="101" t="s">
        <v>8467</v>
      </c>
      <c r="D3757" s="101"/>
      <c r="E3757" s="79"/>
    </row>
    <row r="3758" spans="1:5" ht="14.85" customHeight="1" outlineLevel="1" x14ac:dyDescent="0.25">
      <c r="A3758" s="101" t="s">
        <v>336</v>
      </c>
      <c r="B3758" s="102" t="s">
        <v>8468</v>
      </c>
      <c r="C3758" s="101" t="s">
        <v>8469</v>
      </c>
      <c r="D3758" s="101"/>
      <c r="E3758" s="79"/>
    </row>
    <row r="3759" spans="1:5" ht="14.85" customHeight="1" outlineLevel="1" x14ac:dyDescent="0.25">
      <c r="A3759" s="101" t="s">
        <v>336</v>
      </c>
      <c r="B3759" s="102" t="s">
        <v>8470</v>
      </c>
      <c r="C3759" s="101" t="s">
        <v>8471</v>
      </c>
      <c r="D3759" s="101"/>
      <c r="E3759" s="79"/>
    </row>
    <row r="3760" spans="1:5" ht="14.85" customHeight="1" outlineLevel="1" x14ac:dyDescent="0.25">
      <c r="A3760" s="101" t="s">
        <v>336</v>
      </c>
      <c r="B3760" s="102" t="s">
        <v>8472</v>
      </c>
      <c r="C3760" s="101" t="s">
        <v>8473</v>
      </c>
      <c r="D3760" s="101"/>
      <c r="E3760" s="79"/>
    </row>
    <row r="3761" spans="1:5" ht="14.85" customHeight="1" outlineLevel="1" x14ac:dyDescent="0.25">
      <c r="A3761" s="101" t="s">
        <v>336</v>
      </c>
      <c r="B3761" s="102" t="s">
        <v>8474</v>
      </c>
      <c r="C3761" s="101" t="s">
        <v>8475</v>
      </c>
      <c r="D3761" s="101"/>
      <c r="E3761" s="79"/>
    </row>
    <row r="3762" spans="1:5" ht="14.85" customHeight="1" outlineLevel="1" x14ac:dyDescent="0.25">
      <c r="A3762" s="101" t="s">
        <v>336</v>
      </c>
      <c r="B3762" s="102" t="s">
        <v>8476</v>
      </c>
      <c r="C3762" s="101" t="s">
        <v>8477</v>
      </c>
      <c r="D3762" s="101"/>
      <c r="E3762" s="79"/>
    </row>
    <row r="3763" spans="1:5" ht="14.85" customHeight="1" outlineLevel="1" x14ac:dyDescent="0.25">
      <c r="A3763" s="101" t="s">
        <v>336</v>
      </c>
      <c r="B3763" s="102" t="s">
        <v>8478</v>
      </c>
      <c r="C3763" s="101" t="s">
        <v>8479</v>
      </c>
      <c r="D3763" s="101"/>
      <c r="E3763" s="79"/>
    </row>
    <row r="3764" spans="1:5" ht="14.85" customHeight="1" outlineLevel="1" x14ac:dyDescent="0.25">
      <c r="A3764" s="101" t="s">
        <v>336</v>
      </c>
      <c r="B3764" s="102" t="s">
        <v>8480</v>
      </c>
      <c r="C3764" s="101" t="s">
        <v>8481</v>
      </c>
      <c r="D3764" s="101"/>
      <c r="E3764" s="79"/>
    </row>
    <row r="3765" spans="1:5" ht="14.85" customHeight="1" outlineLevel="1" x14ac:dyDescent="0.25">
      <c r="A3765" s="101" t="s">
        <v>336</v>
      </c>
      <c r="B3765" s="102" t="s">
        <v>8482</v>
      </c>
      <c r="C3765" s="101" t="s">
        <v>8483</v>
      </c>
      <c r="D3765" s="101"/>
      <c r="E3765" s="79"/>
    </row>
    <row r="3766" spans="1:5" ht="14.85" customHeight="1" outlineLevel="1" x14ac:dyDescent="0.25">
      <c r="A3766" s="101" t="s">
        <v>336</v>
      </c>
      <c r="B3766" s="102" t="s">
        <v>8484</v>
      </c>
      <c r="C3766" s="101" t="s">
        <v>8485</v>
      </c>
      <c r="D3766" s="101"/>
      <c r="E3766" s="79"/>
    </row>
    <row r="3767" spans="1:5" ht="14.85" customHeight="1" outlineLevel="1" x14ac:dyDescent="0.25">
      <c r="A3767" s="101" t="s">
        <v>336</v>
      </c>
      <c r="B3767" s="102" t="s">
        <v>8486</v>
      </c>
      <c r="C3767" s="101" t="s">
        <v>8487</v>
      </c>
      <c r="D3767" s="101"/>
      <c r="E3767" s="79"/>
    </row>
    <row r="3768" spans="1:5" ht="14.85" customHeight="1" outlineLevel="1" x14ac:dyDescent="0.25">
      <c r="A3768" s="101" t="s">
        <v>336</v>
      </c>
      <c r="B3768" s="102" t="s">
        <v>8488</v>
      </c>
      <c r="C3768" s="101" t="s">
        <v>8489</v>
      </c>
      <c r="D3768" s="101"/>
      <c r="E3768" s="79"/>
    </row>
    <row r="3769" spans="1:5" ht="14.85" customHeight="1" outlineLevel="1" x14ac:dyDescent="0.25">
      <c r="A3769" s="101" t="s">
        <v>336</v>
      </c>
      <c r="B3769" s="102" t="s">
        <v>8490</v>
      </c>
      <c r="C3769" s="101" t="s">
        <v>8491</v>
      </c>
      <c r="D3769" s="101"/>
      <c r="E3769" s="79"/>
    </row>
    <row r="3770" spans="1:5" ht="14.85" customHeight="1" outlineLevel="1" x14ac:dyDescent="0.25">
      <c r="A3770" s="101" t="s">
        <v>336</v>
      </c>
      <c r="B3770" s="102" t="s">
        <v>8492</v>
      </c>
      <c r="C3770" s="101" t="s">
        <v>8493</v>
      </c>
      <c r="D3770" s="101"/>
      <c r="E3770" s="79"/>
    </row>
    <row r="3771" spans="1:5" ht="14.85" customHeight="1" outlineLevel="1" x14ac:dyDescent="0.25">
      <c r="A3771" s="101" t="s">
        <v>336</v>
      </c>
      <c r="B3771" s="102" t="s">
        <v>8494</v>
      </c>
      <c r="C3771" s="101" t="s">
        <v>8495</v>
      </c>
      <c r="D3771" s="101"/>
      <c r="E3771" s="79"/>
    </row>
    <row r="3772" spans="1:5" ht="14.85" customHeight="1" outlineLevel="1" x14ac:dyDescent="0.25">
      <c r="A3772" s="101" t="s">
        <v>336</v>
      </c>
      <c r="B3772" s="102" t="s">
        <v>8496</v>
      </c>
      <c r="C3772" s="101" t="s">
        <v>8497</v>
      </c>
      <c r="D3772" s="101"/>
      <c r="E3772" s="79"/>
    </row>
    <row r="3773" spans="1:5" ht="14.85" customHeight="1" outlineLevel="1" x14ac:dyDescent="0.25">
      <c r="A3773" s="101" t="s">
        <v>336</v>
      </c>
      <c r="B3773" s="102" t="s">
        <v>8498</v>
      </c>
      <c r="C3773" s="101" t="s">
        <v>8499</v>
      </c>
      <c r="D3773" s="101"/>
      <c r="E3773" s="79"/>
    </row>
    <row r="3774" spans="1:5" ht="14.85" customHeight="1" outlineLevel="1" x14ac:dyDescent="0.25">
      <c r="A3774" s="101" t="s">
        <v>336</v>
      </c>
      <c r="B3774" s="102" t="s">
        <v>8500</v>
      </c>
      <c r="C3774" s="101" t="s">
        <v>8501</v>
      </c>
      <c r="D3774" s="101"/>
      <c r="E3774" s="79"/>
    </row>
    <row r="3775" spans="1:5" ht="14.85" customHeight="1" outlineLevel="1" x14ac:dyDescent="0.25">
      <c r="A3775" s="101" t="s">
        <v>336</v>
      </c>
      <c r="B3775" s="102" t="s">
        <v>8502</v>
      </c>
      <c r="C3775" s="101" t="s">
        <v>8503</v>
      </c>
      <c r="D3775" s="101"/>
      <c r="E3775" s="79"/>
    </row>
    <row r="3776" spans="1:5" ht="14.85" customHeight="1" outlineLevel="1" x14ac:dyDescent="0.25">
      <c r="A3776" s="101" t="s">
        <v>336</v>
      </c>
      <c r="B3776" s="102" t="s">
        <v>8504</v>
      </c>
      <c r="C3776" s="101" t="s">
        <v>8505</v>
      </c>
      <c r="D3776" s="101"/>
      <c r="E3776" s="79"/>
    </row>
    <row r="3777" spans="1:5" ht="14.85" customHeight="1" outlineLevel="1" x14ac:dyDescent="0.25">
      <c r="A3777" s="101" t="s">
        <v>336</v>
      </c>
      <c r="B3777" s="102" t="s">
        <v>8506</v>
      </c>
      <c r="C3777" s="101" t="s">
        <v>8507</v>
      </c>
      <c r="D3777" s="101"/>
      <c r="E3777" s="79"/>
    </row>
    <row r="3778" spans="1:5" ht="14.85" customHeight="1" outlineLevel="1" x14ac:dyDescent="0.25">
      <c r="A3778" s="101" t="s">
        <v>336</v>
      </c>
      <c r="B3778" s="102" t="s">
        <v>8508</v>
      </c>
      <c r="C3778" s="101" t="s">
        <v>8509</v>
      </c>
      <c r="D3778" s="101"/>
      <c r="E3778" s="79"/>
    </row>
    <row r="3779" spans="1:5" ht="14.85" customHeight="1" outlineLevel="1" x14ac:dyDescent="0.25">
      <c r="A3779" s="101" t="s">
        <v>336</v>
      </c>
      <c r="B3779" s="102" t="s">
        <v>8510</v>
      </c>
      <c r="C3779" s="101" t="s">
        <v>8511</v>
      </c>
      <c r="D3779" s="101"/>
      <c r="E3779" s="79"/>
    </row>
    <row r="3780" spans="1:5" ht="14.85" customHeight="1" outlineLevel="1" x14ac:dyDescent="0.25">
      <c r="A3780" s="101" t="s">
        <v>336</v>
      </c>
      <c r="B3780" s="102" t="s">
        <v>8512</v>
      </c>
      <c r="C3780" s="101" t="s">
        <v>8513</v>
      </c>
      <c r="D3780" s="101"/>
      <c r="E3780" s="79"/>
    </row>
    <row r="3781" spans="1:5" ht="14.85" customHeight="1" outlineLevel="1" x14ac:dyDescent="0.25">
      <c r="A3781" s="101" t="s">
        <v>336</v>
      </c>
      <c r="B3781" s="102" t="s">
        <v>8514</v>
      </c>
      <c r="C3781" s="101" t="s">
        <v>8515</v>
      </c>
      <c r="D3781" s="101"/>
      <c r="E3781" s="79"/>
    </row>
    <row r="3782" spans="1:5" ht="14.85" customHeight="1" outlineLevel="1" x14ac:dyDescent="0.25">
      <c r="A3782" s="101" t="s">
        <v>336</v>
      </c>
      <c r="B3782" s="102" t="s">
        <v>8516</v>
      </c>
      <c r="C3782" s="101" t="s">
        <v>8517</v>
      </c>
      <c r="D3782" s="101"/>
      <c r="E3782" s="79"/>
    </row>
    <row r="3783" spans="1:5" ht="14.85" customHeight="1" outlineLevel="1" x14ac:dyDescent="0.25">
      <c r="A3783" s="101" t="s">
        <v>336</v>
      </c>
      <c r="B3783" s="102" t="s">
        <v>8518</v>
      </c>
      <c r="C3783" s="101" t="s">
        <v>8519</v>
      </c>
      <c r="D3783" s="101"/>
      <c r="E3783" s="79"/>
    </row>
    <row r="3784" spans="1:5" ht="14.85" customHeight="1" outlineLevel="1" x14ac:dyDescent="0.25">
      <c r="A3784" s="101" t="s">
        <v>336</v>
      </c>
      <c r="B3784" s="102" t="s">
        <v>8520</v>
      </c>
      <c r="C3784" s="101" t="s">
        <v>8521</v>
      </c>
      <c r="D3784" s="101"/>
      <c r="E3784" s="79"/>
    </row>
    <row r="3785" spans="1:5" ht="14.85" customHeight="1" outlineLevel="1" x14ac:dyDescent="0.25">
      <c r="A3785" s="101" t="s">
        <v>336</v>
      </c>
      <c r="B3785" s="102" t="s">
        <v>8522</v>
      </c>
      <c r="C3785" s="101" t="s">
        <v>8523</v>
      </c>
      <c r="D3785" s="101"/>
      <c r="E3785" s="79"/>
    </row>
    <row r="3786" spans="1:5" ht="14.85" customHeight="1" outlineLevel="1" x14ac:dyDescent="0.25">
      <c r="A3786" s="101" t="s">
        <v>336</v>
      </c>
      <c r="B3786" s="102" t="s">
        <v>8524</v>
      </c>
      <c r="C3786" s="101" t="s">
        <v>8525</v>
      </c>
      <c r="D3786" s="101"/>
      <c r="E3786" s="79"/>
    </row>
    <row r="3787" spans="1:5" ht="14.85" customHeight="1" outlineLevel="1" x14ac:dyDescent="0.25">
      <c r="A3787" s="101" t="s">
        <v>336</v>
      </c>
      <c r="B3787" s="102" t="s">
        <v>8526</v>
      </c>
      <c r="C3787" s="101" t="s">
        <v>8527</v>
      </c>
      <c r="D3787" s="101"/>
      <c r="E3787" s="79"/>
    </row>
    <row r="3788" spans="1:5" ht="14.85" customHeight="1" outlineLevel="1" x14ac:dyDescent="0.25">
      <c r="A3788" s="101" t="s">
        <v>336</v>
      </c>
      <c r="B3788" s="102" t="s">
        <v>8528</v>
      </c>
      <c r="C3788" s="101" t="s">
        <v>8529</v>
      </c>
      <c r="D3788" s="101"/>
      <c r="E3788" s="79"/>
    </row>
    <row r="3789" spans="1:5" ht="14.85" customHeight="1" outlineLevel="1" x14ac:dyDescent="0.25">
      <c r="A3789" s="101" t="s">
        <v>336</v>
      </c>
      <c r="B3789" s="102" t="s">
        <v>8530</v>
      </c>
      <c r="C3789" s="101" t="s">
        <v>8531</v>
      </c>
      <c r="D3789" s="101"/>
      <c r="E3789" s="79"/>
    </row>
    <row r="3790" spans="1:5" ht="14.85" customHeight="1" outlineLevel="1" x14ac:dyDescent="0.25">
      <c r="A3790" s="101" t="s">
        <v>336</v>
      </c>
      <c r="B3790" s="102" t="s">
        <v>8532</v>
      </c>
      <c r="C3790" s="101" t="s">
        <v>8533</v>
      </c>
      <c r="D3790" s="101"/>
      <c r="E3790" s="79"/>
    </row>
    <row r="3791" spans="1:5" ht="14.85" customHeight="1" outlineLevel="1" x14ac:dyDescent="0.25">
      <c r="A3791" s="101" t="s">
        <v>336</v>
      </c>
      <c r="B3791" s="102" t="s">
        <v>8534</v>
      </c>
      <c r="C3791" s="101" t="s">
        <v>8535</v>
      </c>
      <c r="D3791" s="101"/>
      <c r="E3791" s="79"/>
    </row>
    <row r="3792" spans="1:5" ht="14.85" customHeight="1" outlineLevel="1" x14ac:dyDescent="0.25">
      <c r="A3792" s="101" t="s">
        <v>336</v>
      </c>
      <c r="B3792" s="102" t="s">
        <v>8536</v>
      </c>
      <c r="C3792" s="101" t="s">
        <v>8537</v>
      </c>
      <c r="D3792" s="101"/>
      <c r="E3792" s="79"/>
    </row>
    <row r="3793" spans="1:5" ht="14.85" customHeight="1" outlineLevel="1" x14ac:dyDescent="0.25">
      <c r="A3793" s="101" t="s">
        <v>336</v>
      </c>
      <c r="B3793" s="102" t="s">
        <v>8538</v>
      </c>
      <c r="C3793" s="101" t="s">
        <v>8539</v>
      </c>
      <c r="D3793" s="101"/>
      <c r="E3793" s="79"/>
    </row>
    <row r="3794" spans="1:5" ht="14.85" customHeight="1" outlineLevel="1" x14ac:dyDescent="0.25">
      <c r="A3794" s="101" t="s">
        <v>336</v>
      </c>
      <c r="B3794" s="102" t="s">
        <v>8540</v>
      </c>
      <c r="C3794" s="101" t="s">
        <v>8541</v>
      </c>
      <c r="D3794" s="101"/>
      <c r="E3794" s="79"/>
    </row>
    <row r="3795" spans="1:5" ht="14.85" customHeight="1" outlineLevel="1" x14ac:dyDescent="0.25">
      <c r="A3795" s="101" t="s">
        <v>336</v>
      </c>
      <c r="B3795" s="102" t="s">
        <v>8542</v>
      </c>
      <c r="C3795" s="101" t="s">
        <v>8543</v>
      </c>
      <c r="D3795" s="101"/>
      <c r="E3795" s="79"/>
    </row>
    <row r="3796" spans="1:5" ht="14.85" customHeight="1" outlineLevel="1" x14ac:dyDescent="0.25">
      <c r="A3796" s="101" t="s">
        <v>336</v>
      </c>
      <c r="B3796" s="102" t="s">
        <v>8544</v>
      </c>
      <c r="C3796" s="101" t="s">
        <v>8545</v>
      </c>
      <c r="D3796" s="101"/>
      <c r="E3796" s="79"/>
    </row>
    <row r="3797" spans="1:5" ht="14.85" customHeight="1" outlineLevel="1" x14ac:dyDescent="0.25">
      <c r="A3797" s="101" t="s">
        <v>336</v>
      </c>
      <c r="B3797" s="102" t="s">
        <v>8546</v>
      </c>
      <c r="C3797" s="101" t="s">
        <v>8547</v>
      </c>
      <c r="D3797" s="101"/>
      <c r="E3797" s="79"/>
    </row>
    <row r="3798" spans="1:5" ht="14.85" customHeight="1" outlineLevel="1" x14ac:dyDescent="0.25">
      <c r="A3798" s="101" t="s">
        <v>336</v>
      </c>
      <c r="B3798" s="102" t="s">
        <v>8548</v>
      </c>
      <c r="C3798" s="101" t="s">
        <v>8549</v>
      </c>
      <c r="D3798" s="101"/>
      <c r="E3798" s="79"/>
    </row>
    <row r="3799" spans="1:5" ht="14.85" customHeight="1" outlineLevel="1" x14ac:dyDescent="0.25">
      <c r="A3799" s="101" t="s">
        <v>336</v>
      </c>
      <c r="B3799" s="102" t="s">
        <v>8550</v>
      </c>
      <c r="C3799" s="101" t="s">
        <v>8551</v>
      </c>
      <c r="D3799" s="101"/>
      <c r="E3799" s="79"/>
    </row>
    <row r="3800" spans="1:5" ht="14.85" customHeight="1" outlineLevel="1" x14ac:dyDescent="0.25">
      <c r="A3800" s="101" t="s">
        <v>336</v>
      </c>
      <c r="B3800" s="102" t="s">
        <v>8552</v>
      </c>
      <c r="C3800" s="101" t="s">
        <v>8553</v>
      </c>
      <c r="D3800" s="101"/>
      <c r="E3800" s="79"/>
    </row>
    <row r="3801" spans="1:5" ht="14.85" customHeight="1" outlineLevel="1" x14ac:dyDescent="0.25">
      <c r="A3801" s="101" t="s">
        <v>336</v>
      </c>
      <c r="B3801" s="102" t="s">
        <v>8554</v>
      </c>
      <c r="C3801" s="101" t="s">
        <v>8555</v>
      </c>
      <c r="D3801" s="101"/>
      <c r="E3801" s="79"/>
    </row>
    <row r="3802" spans="1:5" ht="14.85" customHeight="1" outlineLevel="1" x14ac:dyDescent="0.25">
      <c r="A3802" s="101" t="s">
        <v>336</v>
      </c>
      <c r="B3802" s="102" t="s">
        <v>8556</v>
      </c>
      <c r="C3802" s="101" t="s">
        <v>8557</v>
      </c>
      <c r="D3802" s="101"/>
      <c r="E3802" s="79"/>
    </row>
    <row r="3803" spans="1:5" ht="14.85" customHeight="1" outlineLevel="1" x14ac:dyDescent="0.25">
      <c r="A3803" s="101" t="s">
        <v>336</v>
      </c>
      <c r="B3803" s="102" t="s">
        <v>8558</v>
      </c>
      <c r="C3803" s="101" t="s">
        <v>8559</v>
      </c>
      <c r="D3803" s="101"/>
      <c r="E3803" s="79"/>
    </row>
    <row r="3804" spans="1:5" ht="14.85" customHeight="1" outlineLevel="1" x14ac:dyDescent="0.25">
      <c r="A3804" s="101" t="s">
        <v>336</v>
      </c>
      <c r="B3804" s="102" t="s">
        <v>8560</v>
      </c>
      <c r="C3804" s="101" t="s">
        <v>8561</v>
      </c>
      <c r="D3804" s="101"/>
      <c r="E3804" s="79"/>
    </row>
    <row r="3805" spans="1:5" ht="14.85" customHeight="1" outlineLevel="1" x14ac:dyDescent="0.25">
      <c r="A3805" s="101" t="s">
        <v>336</v>
      </c>
      <c r="B3805" s="102" t="s">
        <v>8562</v>
      </c>
      <c r="C3805" s="101" t="s">
        <v>8563</v>
      </c>
      <c r="D3805" s="101"/>
      <c r="E3805" s="79"/>
    </row>
    <row r="3806" spans="1:5" ht="14.85" customHeight="1" outlineLevel="1" x14ac:dyDescent="0.25">
      <c r="A3806" s="101" t="s">
        <v>336</v>
      </c>
      <c r="B3806" s="102" t="s">
        <v>8564</v>
      </c>
      <c r="C3806" s="101" t="s">
        <v>8565</v>
      </c>
      <c r="D3806" s="101"/>
      <c r="E3806" s="79"/>
    </row>
    <row r="3807" spans="1:5" ht="14.85" customHeight="1" outlineLevel="1" x14ac:dyDescent="0.25">
      <c r="A3807" s="101" t="s">
        <v>336</v>
      </c>
      <c r="B3807" s="102" t="s">
        <v>8566</v>
      </c>
      <c r="C3807" s="101" t="s">
        <v>8567</v>
      </c>
      <c r="D3807" s="101"/>
      <c r="E3807" s="79"/>
    </row>
    <row r="3808" spans="1:5" ht="14.85" customHeight="1" outlineLevel="1" x14ac:dyDescent="0.25">
      <c r="A3808" s="101" t="s">
        <v>336</v>
      </c>
      <c r="B3808" s="102" t="s">
        <v>8568</v>
      </c>
      <c r="C3808" s="101" t="s">
        <v>8569</v>
      </c>
      <c r="D3808" s="101"/>
      <c r="E3808" s="79"/>
    </row>
    <row r="3809" spans="1:5" ht="14.85" customHeight="1" outlineLevel="1" x14ac:dyDescent="0.25">
      <c r="A3809" s="101" t="s">
        <v>336</v>
      </c>
      <c r="B3809" s="102" t="s">
        <v>8570</v>
      </c>
      <c r="C3809" s="101" t="s">
        <v>8571</v>
      </c>
      <c r="D3809" s="101"/>
      <c r="E3809" s="79"/>
    </row>
    <row r="3810" spans="1:5" ht="14.85" customHeight="1" outlineLevel="1" x14ac:dyDescent="0.25">
      <c r="A3810" s="101" t="s">
        <v>336</v>
      </c>
      <c r="B3810" s="102" t="s">
        <v>8572</v>
      </c>
      <c r="C3810" s="101" t="s">
        <v>8573</v>
      </c>
      <c r="D3810" s="101"/>
      <c r="E3810" s="79"/>
    </row>
    <row r="3811" spans="1:5" ht="14.85" customHeight="1" outlineLevel="1" x14ac:dyDescent="0.25">
      <c r="A3811" s="101" t="s">
        <v>336</v>
      </c>
      <c r="B3811" s="102" t="s">
        <v>8574</v>
      </c>
      <c r="C3811" s="101" t="s">
        <v>8575</v>
      </c>
      <c r="D3811" s="101"/>
      <c r="E3811" s="79"/>
    </row>
    <row r="3812" spans="1:5" ht="14.85" customHeight="1" outlineLevel="1" x14ac:dyDescent="0.25">
      <c r="A3812" s="101" t="s">
        <v>336</v>
      </c>
      <c r="B3812" s="102" t="s">
        <v>8576</v>
      </c>
      <c r="C3812" s="101" t="s">
        <v>8577</v>
      </c>
      <c r="D3812" s="101"/>
      <c r="E3812" s="79"/>
    </row>
    <row r="3813" spans="1:5" ht="14.85" customHeight="1" outlineLevel="1" x14ac:dyDescent="0.25">
      <c r="A3813" s="101" t="s">
        <v>336</v>
      </c>
      <c r="B3813" s="102" t="s">
        <v>8578</v>
      </c>
      <c r="C3813" s="101" t="s">
        <v>8579</v>
      </c>
      <c r="D3813" s="101"/>
      <c r="E3813" s="79"/>
    </row>
    <row r="3814" spans="1:5" ht="14.85" customHeight="1" outlineLevel="1" x14ac:dyDescent="0.25">
      <c r="A3814" s="101" t="s">
        <v>336</v>
      </c>
      <c r="B3814" s="102" t="s">
        <v>8580</v>
      </c>
      <c r="C3814" s="101" t="s">
        <v>8581</v>
      </c>
      <c r="D3814" s="101"/>
      <c r="E3814" s="79"/>
    </row>
    <row r="3815" spans="1:5" ht="14.85" customHeight="1" outlineLevel="1" x14ac:dyDescent="0.25">
      <c r="A3815" s="101" t="s">
        <v>336</v>
      </c>
      <c r="B3815" s="102" t="s">
        <v>8582</v>
      </c>
      <c r="C3815" s="101" t="s">
        <v>8583</v>
      </c>
      <c r="D3815" s="101"/>
      <c r="E3815" s="79"/>
    </row>
    <row r="3816" spans="1:5" ht="14.85" customHeight="1" outlineLevel="1" x14ac:dyDescent="0.25">
      <c r="A3816" s="101" t="s">
        <v>336</v>
      </c>
      <c r="B3816" s="102" t="s">
        <v>8584</v>
      </c>
      <c r="C3816" s="101" t="s">
        <v>8585</v>
      </c>
      <c r="D3816" s="101"/>
      <c r="E3816" s="79"/>
    </row>
    <row r="3817" spans="1:5" ht="14.85" customHeight="1" outlineLevel="1" x14ac:dyDescent="0.25">
      <c r="A3817" s="101" t="s">
        <v>336</v>
      </c>
      <c r="B3817" s="102" t="s">
        <v>8586</v>
      </c>
      <c r="C3817" s="101" t="s">
        <v>8587</v>
      </c>
      <c r="D3817" s="101"/>
      <c r="E3817" s="79"/>
    </row>
    <row r="3818" spans="1:5" ht="14.85" customHeight="1" outlineLevel="1" x14ac:dyDescent="0.25">
      <c r="A3818" s="101" t="s">
        <v>336</v>
      </c>
      <c r="B3818" s="102" t="s">
        <v>8588</v>
      </c>
      <c r="C3818" s="101" t="s">
        <v>8589</v>
      </c>
      <c r="D3818" s="101"/>
      <c r="E3818" s="79"/>
    </row>
    <row r="3819" spans="1:5" ht="14.85" customHeight="1" outlineLevel="1" x14ac:dyDescent="0.25">
      <c r="A3819" s="101" t="s">
        <v>336</v>
      </c>
      <c r="B3819" s="102" t="s">
        <v>8590</v>
      </c>
      <c r="C3819" s="101" t="s">
        <v>8591</v>
      </c>
      <c r="D3819" s="101"/>
      <c r="E3819" s="79"/>
    </row>
    <row r="3820" spans="1:5" ht="14.85" customHeight="1" outlineLevel="1" x14ac:dyDescent="0.25">
      <c r="A3820" s="101" t="s">
        <v>336</v>
      </c>
      <c r="B3820" s="102" t="s">
        <v>8592</v>
      </c>
      <c r="C3820" s="101" t="s">
        <v>8593</v>
      </c>
      <c r="D3820" s="101"/>
      <c r="E3820" s="79"/>
    </row>
    <row r="3821" spans="1:5" ht="14.85" customHeight="1" outlineLevel="1" x14ac:dyDescent="0.25">
      <c r="A3821" s="101" t="s">
        <v>336</v>
      </c>
      <c r="B3821" s="102" t="s">
        <v>8594</v>
      </c>
      <c r="C3821" s="101" t="s">
        <v>8595</v>
      </c>
      <c r="D3821" s="101"/>
      <c r="E3821" s="79"/>
    </row>
    <row r="3822" spans="1:5" ht="14.85" customHeight="1" outlineLevel="1" x14ac:dyDescent="0.25">
      <c r="A3822" s="101" t="s">
        <v>336</v>
      </c>
      <c r="B3822" s="102" t="s">
        <v>8596</v>
      </c>
      <c r="C3822" s="101" t="s">
        <v>8597</v>
      </c>
      <c r="D3822" s="101"/>
      <c r="E3822" s="79"/>
    </row>
    <row r="3823" spans="1:5" ht="14.85" customHeight="1" outlineLevel="1" x14ac:dyDescent="0.25">
      <c r="A3823" s="101" t="s">
        <v>336</v>
      </c>
      <c r="B3823" s="102" t="s">
        <v>8598</v>
      </c>
      <c r="C3823" s="101" t="s">
        <v>8599</v>
      </c>
      <c r="D3823" s="101"/>
      <c r="E3823" s="79"/>
    </row>
    <row r="3824" spans="1:5" ht="14.85" customHeight="1" outlineLevel="1" x14ac:dyDescent="0.25">
      <c r="A3824" s="101" t="s">
        <v>336</v>
      </c>
      <c r="B3824" s="102" t="s">
        <v>8600</v>
      </c>
      <c r="C3824" s="101" t="s">
        <v>8601</v>
      </c>
      <c r="D3824" s="101"/>
      <c r="E3824" s="79"/>
    </row>
    <row r="3825" spans="1:5" ht="14.85" customHeight="1" outlineLevel="1" x14ac:dyDescent="0.25">
      <c r="A3825" s="101" t="s">
        <v>336</v>
      </c>
      <c r="B3825" s="102" t="s">
        <v>8602</v>
      </c>
      <c r="C3825" s="101" t="s">
        <v>8603</v>
      </c>
      <c r="D3825" s="101"/>
      <c r="E3825" s="79"/>
    </row>
    <row r="3826" spans="1:5" ht="14.85" customHeight="1" outlineLevel="1" x14ac:dyDescent="0.25">
      <c r="A3826" s="101" t="s">
        <v>336</v>
      </c>
      <c r="B3826" s="102" t="s">
        <v>8604</v>
      </c>
      <c r="C3826" s="101" t="s">
        <v>8605</v>
      </c>
      <c r="D3826" s="101"/>
      <c r="E3826" s="79"/>
    </row>
    <row r="3827" spans="1:5" ht="14.85" customHeight="1" outlineLevel="1" x14ac:dyDescent="0.25">
      <c r="A3827" s="101" t="s">
        <v>336</v>
      </c>
      <c r="B3827" s="102" t="s">
        <v>8606</v>
      </c>
      <c r="C3827" s="101" t="s">
        <v>8607</v>
      </c>
      <c r="D3827" s="101"/>
      <c r="E3827" s="79"/>
    </row>
    <row r="3828" spans="1:5" ht="14.85" customHeight="1" outlineLevel="1" x14ac:dyDescent="0.25">
      <c r="A3828" s="101" t="s">
        <v>336</v>
      </c>
      <c r="B3828" s="102" t="s">
        <v>8608</v>
      </c>
      <c r="C3828" s="101" t="s">
        <v>8609</v>
      </c>
      <c r="D3828" s="101"/>
      <c r="E3828" s="79"/>
    </row>
    <row r="3829" spans="1:5" ht="14.85" customHeight="1" outlineLevel="1" x14ac:dyDescent="0.25">
      <c r="A3829" s="101" t="s">
        <v>336</v>
      </c>
      <c r="B3829" s="102" t="s">
        <v>8610</v>
      </c>
      <c r="C3829" s="101" t="s">
        <v>8611</v>
      </c>
      <c r="D3829" s="101"/>
      <c r="E3829" s="79"/>
    </row>
    <row r="3830" spans="1:5" ht="14.85" customHeight="1" outlineLevel="1" x14ac:dyDescent="0.25">
      <c r="A3830" s="101" t="s">
        <v>336</v>
      </c>
      <c r="B3830" s="102" t="s">
        <v>8612</v>
      </c>
      <c r="C3830" s="101" t="s">
        <v>8613</v>
      </c>
      <c r="D3830" s="101"/>
      <c r="E3830" s="79"/>
    </row>
    <row r="3831" spans="1:5" ht="14.85" customHeight="1" outlineLevel="1" x14ac:dyDescent="0.25">
      <c r="A3831" s="101" t="s">
        <v>336</v>
      </c>
      <c r="B3831" s="102" t="s">
        <v>8614</v>
      </c>
      <c r="C3831" s="101" t="s">
        <v>8615</v>
      </c>
      <c r="D3831" s="101"/>
      <c r="E3831" s="79"/>
    </row>
    <row r="3832" spans="1:5" ht="14.85" customHeight="1" outlineLevel="1" x14ac:dyDescent="0.25">
      <c r="A3832" s="101" t="s">
        <v>336</v>
      </c>
      <c r="B3832" s="102" t="s">
        <v>8616</v>
      </c>
      <c r="C3832" s="101" t="s">
        <v>8617</v>
      </c>
      <c r="D3832" s="101"/>
      <c r="E3832" s="79"/>
    </row>
    <row r="3833" spans="1:5" ht="14.85" customHeight="1" outlineLevel="1" x14ac:dyDescent="0.25">
      <c r="A3833" s="101" t="s">
        <v>336</v>
      </c>
      <c r="B3833" s="102" t="s">
        <v>8618</v>
      </c>
      <c r="C3833" s="101" t="s">
        <v>8619</v>
      </c>
      <c r="D3833" s="101"/>
      <c r="E3833" s="79"/>
    </row>
    <row r="3834" spans="1:5" ht="14.85" customHeight="1" outlineLevel="1" x14ac:dyDescent="0.25">
      <c r="A3834" s="101" t="s">
        <v>336</v>
      </c>
      <c r="B3834" s="102" t="s">
        <v>8620</v>
      </c>
      <c r="C3834" s="101" t="s">
        <v>8621</v>
      </c>
      <c r="D3834" s="101"/>
      <c r="E3834" s="79"/>
    </row>
    <row r="3835" spans="1:5" ht="14.85" customHeight="1" outlineLevel="1" x14ac:dyDescent="0.25">
      <c r="A3835" s="101" t="s">
        <v>336</v>
      </c>
      <c r="B3835" s="102" t="s">
        <v>8622</v>
      </c>
      <c r="C3835" s="101" t="s">
        <v>8623</v>
      </c>
      <c r="D3835" s="101"/>
      <c r="E3835" s="79"/>
    </row>
    <row r="3836" spans="1:5" ht="14.85" customHeight="1" outlineLevel="1" x14ac:dyDescent="0.25">
      <c r="A3836" s="101" t="s">
        <v>336</v>
      </c>
      <c r="B3836" s="102" t="s">
        <v>8624</v>
      </c>
      <c r="C3836" s="101" t="s">
        <v>8625</v>
      </c>
      <c r="D3836" s="101"/>
      <c r="E3836" s="79"/>
    </row>
    <row r="3837" spans="1:5" ht="14.85" customHeight="1" outlineLevel="1" x14ac:dyDescent="0.25">
      <c r="A3837" s="101" t="s">
        <v>336</v>
      </c>
      <c r="B3837" s="102" t="s">
        <v>8626</v>
      </c>
      <c r="C3837" s="101" t="s">
        <v>8627</v>
      </c>
      <c r="D3837" s="101"/>
      <c r="E3837" s="79"/>
    </row>
    <row r="3838" spans="1:5" ht="14.85" customHeight="1" outlineLevel="1" x14ac:dyDescent="0.25">
      <c r="A3838" s="101" t="s">
        <v>336</v>
      </c>
      <c r="B3838" s="102" t="s">
        <v>8628</v>
      </c>
      <c r="C3838" s="101" t="s">
        <v>8629</v>
      </c>
      <c r="D3838" s="101"/>
      <c r="E3838" s="79"/>
    </row>
    <row r="3839" spans="1:5" ht="14.85" customHeight="1" outlineLevel="1" x14ac:dyDescent="0.25">
      <c r="A3839" s="101" t="s">
        <v>336</v>
      </c>
      <c r="B3839" s="102" t="s">
        <v>8630</v>
      </c>
      <c r="C3839" s="101" t="s">
        <v>8631</v>
      </c>
      <c r="D3839" s="101"/>
      <c r="E3839" s="79"/>
    </row>
    <row r="3840" spans="1:5" ht="14.85" customHeight="1" outlineLevel="1" x14ac:dyDescent="0.25">
      <c r="A3840" s="101" t="s">
        <v>336</v>
      </c>
      <c r="B3840" s="102" t="s">
        <v>8632</v>
      </c>
      <c r="C3840" s="101" t="s">
        <v>8633</v>
      </c>
      <c r="D3840" s="101"/>
      <c r="E3840" s="79"/>
    </row>
    <row r="3841" spans="1:5" ht="14.85" customHeight="1" outlineLevel="1" x14ac:dyDescent="0.25">
      <c r="A3841" s="101" t="s">
        <v>336</v>
      </c>
      <c r="B3841" s="102" t="s">
        <v>8634</v>
      </c>
      <c r="C3841" s="101" t="s">
        <v>8635</v>
      </c>
      <c r="D3841" s="101"/>
      <c r="E3841" s="79"/>
    </row>
    <row r="3842" spans="1:5" ht="14.85" customHeight="1" outlineLevel="1" x14ac:dyDescent="0.25">
      <c r="A3842" s="101" t="s">
        <v>336</v>
      </c>
      <c r="B3842" s="102" t="s">
        <v>8636</v>
      </c>
      <c r="C3842" s="101" t="s">
        <v>8637</v>
      </c>
      <c r="D3842" s="101"/>
      <c r="E3842" s="79"/>
    </row>
    <row r="3843" spans="1:5" ht="14.85" customHeight="1" outlineLevel="1" x14ac:dyDescent="0.25">
      <c r="A3843" s="101" t="s">
        <v>336</v>
      </c>
      <c r="B3843" s="102" t="s">
        <v>8638</v>
      </c>
      <c r="C3843" s="101" t="s">
        <v>8639</v>
      </c>
      <c r="D3843" s="101"/>
      <c r="E3843" s="79"/>
    </row>
    <row r="3844" spans="1:5" ht="14.85" customHeight="1" outlineLevel="1" x14ac:dyDescent="0.25">
      <c r="A3844" s="101" t="s">
        <v>336</v>
      </c>
      <c r="B3844" s="102" t="s">
        <v>8640</v>
      </c>
      <c r="C3844" s="101" t="s">
        <v>8641</v>
      </c>
      <c r="D3844" s="101"/>
      <c r="E3844" s="79"/>
    </row>
    <row r="3845" spans="1:5" ht="14.85" customHeight="1" outlineLevel="1" x14ac:dyDescent="0.25">
      <c r="A3845" s="101" t="s">
        <v>336</v>
      </c>
      <c r="B3845" s="102" t="s">
        <v>8642</v>
      </c>
      <c r="C3845" s="101" t="s">
        <v>8643</v>
      </c>
      <c r="D3845" s="101"/>
      <c r="E3845" s="79"/>
    </row>
    <row r="3846" spans="1:5" ht="14.85" customHeight="1" outlineLevel="1" x14ac:dyDescent="0.25">
      <c r="A3846" s="101" t="s">
        <v>336</v>
      </c>
      <c r="B3846" s="102" t="s">
        <v>8644</v>
      </c>
      <c r="C3846" s="101" t="s">
        <v>8645</v>
      </c>
      <c r="D3846" s="101"/>
      <c r="E3846" s="79"/>
    </row>
    <row r="3847" spans="1:5" ht="14.85" customHeight="1" outlineLevel="1" x14ac:dyDescent="0.25">
      <c r="A3847" s="101" t="s">
        <v>336</v>
      </c>
      <c r="B3847" s="102" t="s">
        <v>8646</v>
      </c>
      <c r="C3847" s="101" t="s">
        <v>8647</v>
      </c>
      <c r="D3847" s="101"/>
      <c r="E3847" s="79"/>
    </row>
    <row r="3848" spans="1:5" ht="14.85" customHeight="1" outlineLevel="1" x14ac:dyDescent="0.25">
      <c r="A3848" s="101" t="s">
        <v>336</v>
      </c>
      <c r="B3848" s="102" t="s">
        <v>8648</v>
      </c>
      <c r="C3848" s="101" t="s">
        <v>8649</v>
      </c>
      <c r="D3848" s="101"/>
      <c r="E3848" s="79"/>
    </row>
    <row r="3849" spans="1:5" ht="14.85" customHeight="1" outlineLevel="1" x14ac:dyDescent="0.25">
      <c r="A3849" s="101" t="s">
        <v>336</v>
      </c>
      <c r="B3849" s="102" t="s">
        <v>8650</v>
      </c>
      <c r="C3849" s="101" t="s">
        <v>8651</v>
      </c>
      <c r="D3849" s="101"/>
      <c r="E3849" s="79"/>
    </row>
    <row r="3850" spans="1:5" ht="14.85" customHeight="1" outlineLevel="1" x14ac:dyDescent="0.25">
      <c r="A3850" s="101" t="s">
        <v>336</v>
      </c>
      <c r="B3850" s="102" t="s">
        <v>8652</v>
      </c>
      <c r="C3850" s="101" t="s">
        <v>8653</v>
      </c>
      <c r="D3850" s="101"/>
      <c r="E3850" s="79"/>
    </row>
    <row r="3851" spans="1:5" ht="14.85" customHeight="1" outlineLevel="1" x14ac:dyDescent="0.25">
      <c r="A3851" s="101" t="s">
        <v>336</v>
      </c>
      <c r="B3851" s="102" t="s">
        <v>8654</v>
      </c>
      <c r="C3851" s="101" t="s">
        <v>8655</v>
      </c>
      <c r="D3851" s="101"/>
      <c r="E3851" s="79"/>
    </row>
    <row r="3852" spans="1:5" ht="14.85" customHeight="1" outlineLevel="1" x14ac:dyDescent="0.25">
      <c r="A3852" s="101" t="s">
        <v>336</v>
      </c>
      <c r="B3852" s="102" t="s">
        <v>8656</v>
      </c>
      <c r="C3852" s="101" t="s">
        <v>8657</v>
      </c>
      <c r="D3852" s="101"/>
      <c r="E3852" s="79"/>
    </row>
    <row r="3853" spans="1:5" ht="14.85" customHeight="1" outlineLevel="1" x14ac:dyDescent="0.25">
      <c r="A3853" s="101" t="s">
        <v>336</v>
      </c>
      <c r="B3853" s="102" t="s">
        <v>8658</v>
      </c>
      <c r="C3853" s="101" t="s">
        <v>8659</v>
      </c>
      <c r="D3853" s="101"/>
      <c r="E3853" s="79"/>
    </row>
    <row r="3854" spans="1:5" ht="14.85" customHeight="1" outlineLevel="1" x14ac:dyDescent="0.25">
      <c r="A3854" s="101" t="s">
        <v>336</v>
      </c>
      <c r="B3854" s="102" t="s">
        <v>8660</v>
      </c>
      <c r="C3854" s="101" t="s">
        <v>8661</v>
      </c>
      <c r="D3854" s="101"/>
      <c r="E3854" s="79"/>
    </row>
    <row r="3855" spans="1:5" ht="14.85" customHeight="1" outlineLevel="1" x14ac:dyDescent="0.25">
      <c r="A3855" s="101" t="s">
        <v>336</v>
      </c>
      <c r="B3855" s="102" t="s">
        <v>8662</v>
      </c>
      <c r="C3855" s="101" t="s">
        <v>8663</v>
      </c>
      <c r="D3855" s="101"/>
      <c r="E3855" s="79"/>
    </row>
    <row r="3856" spans="1:5" ht="14.85" customHeight="1" outlineLevel="1" x14ac:dyDescent="0.25">
      <c r="A3856" s="101" t="s">
        <v>336</v>
      </c>
      <c r="B3856" s="102" t="s">
        <v>8664</v>
      </c>
      <c r="C3856" s="101" t="s">
        <v>8665</v>
      </c>
      <c r="D3856" s="101"/>
      <c r="E3856" s="79"/>
    </row>
    <row r="3857" spans="1:5" ht="14.85" customHeight="1" outlineLevel="1" x14ac:dyDescent="0.25">
      <c r="A3857" s="101" t="s">
        <v>336</v>
      </c>
      <c r="B3857" s="102" t="s">
        <v>8666</v>
      </c>
      <c r="C3857" s="101" t="s">
        <v>8667</v>
      </c>
      <c r="D3857" s="101"/>
      <c r="E3857" s="79"/>
    </row>
    <row r="3858" spans="1:5" ht="14.85" customHeight="1" outlineLevel="1" x14ac:dyDescent="0.25">
      <c r="A3858" s="101" t="s">
        <v>336</v>
      </c>
      <c r="B3858" s="102" t="s">
        <v>8668</v>
      </c>
      <c r="C3858" s="101" t="s">
        <v>8669</v>
      </c>
      <c r="D3858" s="101"/>
      <c r="E3858" s="79"/>
    </row>
    <row r="3859" spans="1:5" ht="14.85" customHeight="1" outlineLevel="1" x14ac:dyDescent="0.25">
      <c r="A3859" s="101" t="s">
        <v>336</v>
      </c>
      <c r="B3859" s="102" t="s">
        <v>8670</v>
      </c>
      <c r="C3859" s="101" t="s">
        <v>8671</v>
      </c>
      <c r="D3859" s="101"/>
      <c r="E3859" s="79"/>
    </row>
    <row r="3860" spans="1:5" ht="14.85" customHeight="1" outlineLevel="1" x14ac:dyDescent="0.25">
      <c r="A3860" s="101" t="s">
        <v>336</v>
      </c>
      <c r="B3860" s="102" t="s">
        <v>8672</v>
      </c>
      <c r="C3860" s="101" t="s">
        <v>8673</v>
      </c>
      <c r="D3860" s="101"/>
      <c r="E3860" s="79"/>
    </row>
    <row r="3861" spans="1:5" ht="14.85" customHeight="1" outlineLevel="1" x14ac:dyDescent="0.25">
      <c r="A3861" s="101" t="s">
        <v>336</v>
      </c>
      <c r="B3861" s="102" t="s">
        <v>8674</v>
      </c>
      <c r="C3861" s="101" t="s">
        <v>8675</v>
      </c>
      <c r="D3861" s="101"/>
      <c r="E3861" s="79"/>
    </row>
    <row r="3862" spans="1:5" ht="14.85" customHeight="1" outlineLevel="1" x14ac:dyDescent="0.25">
      <c r="A3862" s="101" t="s">
        <v>336</v>
      </c>
      <c r="B3862" s="102" t="s">
        <v>8676</v>
      </c>
      <c r="C3862" s="101" t="s">
        <v>8677</v>
      </c>
      <c r="D3862" s="101"/>
      <c r="E3862" s="79"/>
    </row>
    <row r="3863" spans="1:5" ht="14.85" customHeight="1" outlineLevel="1" x14ac:dyDescent="0.25">
      <c r="A3863" s="101" t="s">
        <v>336</v>
      </c>
      <c r="B3863" s="102" t="s">
        <v>8678</v>
      </c>
      <c r="C3863" s="101" t="s">
        <v>8679</v>
      </c>
      <c r="D3863" s="101"/>
      <c r="E3863" s="79"/>
    </row>
    <row r="3864" spans="1:5" ht="14.85" customHeight="1" outlineLevel="1" x14ac:dyDescent="0.25">
      <c r="A3864" s="101" t="s">
        <v>336</v>
      </c>
      <c r="B3864" s="102" t="s">
        <v>8680</v>
      </c>
      <c r="C3864" s="101" t="s">
        <v>8681</v>
      </c>
      <c r="D3864" s="101"/>
      <c r="E3864" s="79"/>
    </row>
    <row r="3865" spans="1:5" ht="14.85" customHeight="1" outlineLevel="1" x14ac:dyDescent="0.25">
      <c r="A3865" s="101" t="s">
        <v>336</v>
      </c>
      <c r="B3865" s="102" t="s">
        <v>8682</v>
      </c>
      <c r="C3865" s="101" t="s">
        <v>8683</v>
      </c>
      <c r="D3865" s="101"/>
      <c r="E3865" s="79"/>
    </row>
    <row r="3866" spans="1:5" ht="14.85" customHeight="1" outlineLevel="1" x14ac:dyDescent="0.25">
      <c r="A3866" s="101" t="s">
        <v>336</v>
      </c>
      <c r="B3866" s="102" t="s">
        <v>8684</v>
      </c>
      <c r="C3866" s="101" t="s">
        <v>8685</v>
      </c>
      <c r="D3866" s="101"/>
      <c r="E3866" s="79"/>
    </row>
    <row r="3867" spans="1:5" ht="14.85" customHeight="1" outlineLevel="1" x14ac:dyDescent="0.25">
      <c r="A3867" s="101" t="s">
        <v>336</v>
      </c>
      <c r="B3867" s="102" t="s">
        <v>8686</v>
      </c>
      <c r="C3867" s="101" t="s">
        <v>8687</v>
      </c>
      <c r="D3867" s="101"/>
      <c r="E3867" s="79"/>
    </row>
    <row r="3868" spans="1:5" ht="14.85" customHeight="1" outlineLevel="1" x14ac:dyDescent="0.25">
      <c r="A3868" s="101" t="s">
        <v>336</v>
      </c>
      <c r="B3868" s="102" t="s">
        <v>8688</v>
      </c>
      <c r="C3868" s="101" t="s">
        <v>8689</v>
      </c>
      <c r="D3868" s="101"/>
      <c r="E3868" s="79"/>
    </row>
    <row r="3869" spans="1:5" ht="14.85" customHeight="1" outlineLevel="1" x14ac:dyDescent="0.25">
      <c r="A3869" s="101" t="s">
        <v>336</v>
      </c>
      <c r="B3869" s="102" t="s">
        <v>8690</v>
      </c>
      <c r="C3869" s="101" t="s">
        <v>8691</v>
      </c>
      <c r="D3869" s="101"/>
      <c r="E3869" s="79"/>
    </row>
    <row r="3870" spans="1:5" ht="14.85" customHeight="1" outlineLevel="1" x14ac:dyDescent="0.25">
      <c r="A3870" s="101" t="s">
        <v>336</v>
      </c>
      <c r="B3870" s="102" t="s">
        <v>8692</v>
      </c>
      <c r="C3870" s="101" t="s">
        <v>8693</v>
      </c>
      <c r="D3870" s="101"/>
      <c r="E3870" s="79"/>
    </row>
    <row r="3871" spans="1:5" ht="14.85" customHeight="1" outlineLevel="1" x14ac:dyDescent="0.25">
      <c r="A3871" s="101" t="s">
        <v>336</v>
      </c>
      <c r="B3871" s="102" t="s">
        <v>8694</v>
      </c>
      <c r="C3871" s="101" t="s">
        <v>8695</v>
      </c>
      <c r="D3871" s="101"/>
      <c r="E3871" s="79"/>
    </row>
    <row r="3872" spans="1:5" ht="14.85" customHeight="1" outlineLevel="1" x14ac:dyDescent="0.25">
      <c r="A3872" s="101" t="s">
        <v>336</v>
      </c>
      <c r="B3872" s="102" t="s">
        <v>8696</v>
      </c>
      <c r="C3872" s="101" t="s">
        <v>8697</v>
      </c>
      <c r="D3872" s="101"/>
      <c r="E3872" s="79"/>
    </row>
    <row r="3873" spans="1:5" ht="14.85" customHeight="1" outlineLevel="1" x14ac:dyDescent="0.25">
      <c r="A3873" s="101" t="s">
        <v>336</v>
      </c>
      <c r="B3873" s="102" t="s">
        <v>8698</v>
      </c>
      <c r="C3873" s="101" t="s">
        <v>8699</v>
      </c>
      <c r="D3873" s="101"/>
      <c r="E3873" s="79"/>
    </row>
    <row r="3874" spans="1:5" ht="14.85" customHeight="1" outlineLevel="1" x14ac:dyDescent="0.25">
      <c r="A3874" s="101" t="s">
        <v>336</v>
      </c>
      <c r="B3874" s="102" t="s">
        <v>8700</v>
      </c>
      <c r="C3874" s="101" t="s">
        <v>8701</v>
      </c>
      <c r="D3874" s="101"/>
      <c r="E3874" s="79"/>
    </row>
    <row r="3875" spans="1:5" ht="14.85" customHeight="1" outlineLevel="1" x14ac:dyDescent="0.25">
      <c r="A3875" s="101" t="s">
        <v>336</v>
      </c>
      <c r="B3875" s="102" t="s">
        <v>8702</v>
      </c>
      <c r="C3875" s="101" t="s">
        <v>8703</v>
      </c>
      <c r="D3875" s="101"/>
      <c r="E3875" s="79"/>
    </row>
    <row r="3876" spans="1:5" ht="14.85" customHeight="1" outlineLevel="1" x14ac:dyDescent="0.25">
      <c r="A3876" s="101" t="s">
        <v>336</v>
      </c>
      <c r="B3876" s="102" t="s">
        <v>8704</v>
      </c>
      <c r="C3876" s="101" t="s">
        <v>8705</v>
      </c>
      <c r="D3876" s="101"/>
      <c r="E3876" s="79"/>
    </row>
    <row r="3877" spans="1:5" ht="14.85" customHeight="1" outlineLevel="1" x14ac:dyDescent="0.25">
      <c r="A3877" s="101" t="s">
        <v>336</v>
      </c>
      <c r="B3877" s="102" t="s">
        <v>8706</v>
      </c>
      <c r="C3877" s="101" t="s">
        <v>8707</v>
      </c>
      <c r="D3877" s="101"/>
      <c r="E3877" s="79"/>
    </row>
    <row r="3878" spans="1:5" ht="14.85" customHeight="1" outlineLevel="1" x14ac:dyDescent="0.25">
      <c r="A3878" s="101" t="s">
        <v>336</v>
      </c>
      <c r="B3878" s="102" t="s">
        <v>8708</v>
      </c>
      <c r="C3878" s="101" t="s">
        <v>8709</v>
      </c>
      <c r="D3878" s="101"/>
      <c r="E3878" s="79"/>
    </row>
    <row r="3879" spans="1:5" ht="14.85" customHeight="1" outlineLevel="1" x14ac:dyDescent="0.25">
      <c r="A3879" s="101" t="s">
        <v>336</v>
      </c>
      <c r="B3879" s="102" t="s">
        <v>8710</v>
      </c>
      <c r="C3879" s="101" t="s">
        <v>8711</v>
      </c>
      <c r="D3879" s="101"/>
      <c r="E3879" s="79"/>
    </row>
    <row r="3880" spans="1:5" ht="14.85" customHeight="1" outlineLevel="1" x14ac:dyDescent="0.25">
      <c r="A3880" s="101" t="s">
        <v>336</v>
      </c>
      <c r="B3880" s="102" t="s">
        <v>8712</v>
      </c>
      <c r="C3880" s="101" t="s">
        <v>8713</v>
      </c>
      <c r="D3880" s="101"/>
      <c r="E3880" s="79"/>
    </row>
    <row r="3881" spans="1:5" ht="14.85" customHeight="1" outlineLevel="1" x14ac:dyDescent="0.25">
      <c r="A3881" s="101" t="s">
        <v>336</v>
      </c>
      <c r="B3881" s="102" t="s">
        <v>8714</v>
      </c>
      <c r="C3881" s="101" t="s">
        <v>8715</v>
      </c>
      <c r="D3881" s="101"/>
      <c r="E3881" s="79"/>
    </row>
    <row r="3882" spans="1:5" ht="14.85" customHeight="1" outlineLevel="1" x14ac:dyDescent="0.25">
      <c r="A3882" s="101" t="s">
        <v>336</v>
      </c>
      <c r="B3882" s="102" t="s">
        <v>8716</v>
      </c>
      <c r="C3882" s="101" t="s">
        <v>8717</v>
      </c>
      <c r="D3882" s="101"/>
      <c r="E3882" s="79"/>
    </row>
    <row r="3883" spans="1:5" ht="14.85" customHeight="1" outlineLevel="1" x14ac:dyDescent="0.25">
      <c r="A3883" s="101" t="s">
        <v>336</v>
      </c>
      <c r="B3883" s="102" t="s">
        <v>8718</v>
      </c>
      <c r="C3883" s="101" t="s">
        <v>8719</v>
      </c>
      <c r="D3883" s="101"/>
      <c r="E3883" s="79"/>
    </row>
    <row r="3884" spans="1:5" ht="14.85" customHeight="1" outlineLevel="1" x14ac:dyDescent="0.25">
      <c r="A3884" s="101" t="s">
        <v>336</v>
      </c>
      <c r="B3884" s="102" t="s">
        <v>8720</v>
      </c>
      <c r="C3884" s="101" t="s">
        <v>8721</v>
      </c>
      <c r="D3884" s="101"/>
      <c r="E3884" s="79"/>
    </row>
    <row r="3885" spans="1:5" ht="14.85" customHeight="1" outlineLevel="1" x14ac:dyDescent="0.25">
      <c r="A3885" s="101" t="s">
        <v>336</v>
      </c>
      <c r="B3885" s="102" t="s">
        <v>8722</v>
      </c>
      <c r="C3885" s="101" t="s">
        <v>8723</v>
      </c>
      <c r="D3885" s="101"/>
      <c r="E3885" s="79"/>
    </row>
    <row r="3886" spans="1:5" ht="14.85" customHeight="1" outlineLevel="1" x14ac:dyDescent="0.25">
      <c r="A3886" s="101" t="s">
        <v>336</v>
      </c>
      <c r="B3886" s="102" t="s">
        <v>8724</v>
      </c>
      <c r="C3886" s="101" t="s">
        <v>8725</v>
      </c>
      <c r="D3886" s="101"/>
      <c r="E3886" s="79"/>
    </row>
    <row r="3887" spans="1:5" ht="14.85" customHeight="1" outlineLevel="1" x14ac:dyDescent="0.25">
      <c r="A3887" s="101" t="s">
        <v>336</v>
      </c>
      <c r="B3887" s="102" t="s">
        <v>8726</v>
      </c>
      <c r="C3887" s="101" t="s">
        <v>8727</v>
      </c>
      <c r="D3887" s="101"/>
      <c r="E3887" s="79"/>
    </row>
    <row r="3888" spans="1:5" ht="14.85" customHeight="1" outlineLevel="1" x14ac:dyDescent="0.25">
      <c r="A3888" s="101" t="s">
        <v>336</v>
      </c>
      <c r="B3888" s="102" t="s">
        <v>8728</v>
      </c>
      <c r="C3888" s="101" t="s">
        <v>8729</v>
      </c>
      <c r="D3888" s="101"/>
      <c r="E3888" s="79"/>
    </row>
    <row r="3889" spans="1:5" ht="14.85" customHeight="1" outlineLevel="1" x14ac:dyDescent="0.25">
      <c r="A3889" s="101" t="s">
        <v>336</v>
      </c>
      <c r="B3889" s="102" t="s">
        <v>8730</v>
      </c>
      <c r="C3889" s="101" t="s">
        <v>8731</v>
      </c>
      <c r="D3889" s="101"/>
      <c r="E3889" s="79"/>
    </row>
    <row r="3890" spans="1:5" ht="14.85" customHeight="1" outlineLevel="1" x14ac:dyDescent="0.25">
      <c r="A3890" s="101" t="s">
        <v>336</v>
      </c>
      <c r="B3890" s="102" t="s">
        <v>8732</v>
      </c>
      <c r="C3890" s="101" t="s">
        <v>8733</v>
      </c>
      <c r="D3890" s="101"/>
      <c r="E3890" s="79"/>
    </row>
    <row r="3891" spans="1:5" ht="14.85" customHeight="1" outlineLevel="1" x14ac:dyDescent="0.25">
      <c r="A3891" s="101" t="s">
        <v>336</v>
      </c>
      <c r="B3891" s="102" t="s">
        <v>8734</v>
      </c>
      <c r="C3891" s="101" t="s">
        <v>8735</v>
      </c>
      <c r="D3891" s="101"/>
      <c r="E3891" s="79"/>
    </row>
    <row r="3892" spans="1:5" ht="14.85" customHeight="1" outlineLevel="1" x14ac:dyDescent="0.25">
      <c r="A3892" s="101" t="s">
        <v>336</v>
      </c>
      <c r="B3892" s="102" t="s">
        <v>8736</v>
      </c>
      <c r="C3892" s="101" t="s">
        <v>8737</v>
      </c>
      <c r="D3892" s="101"/>
      <c r="E3892" s="79"/>
    </row>
    <row r="3893" spans="1:5" ht="14.85" customHeight="1" outlineLevel="1" x14ac:dyDescent="0.25">
      <c r="A3893" s="101" t="s">
        <v>336</v>
      </c>
      <c r="B3893" s="102" t="s">
        <v>8738</v>
      </c>
      <c r="C3893" s="101" t="s">
        <v>8739</v>
      </c>
      <c r="D3893" s="101"/>
      <c r="E3893" s="79"/>
    </row>
    <row r="3894" spans="1:5" ht="14.85" customHeight="1" outlineLevel="1" x14ac:dyDescent="0.25">
      <c r="A3894" s="101" t="s">
        <v>336</v>
      </c>
      <c r="B3894" s="102" t="s">
        <v>8740</v>
      </c>
      <c r="C3894" s="101" t="s">
        <v>8741</v>
      </c>
      <c r="D3894" s="101"/>
      <c r="E3894" s="79"/>
    </row>
    <row r="3895" spans="1:5" ht="14.85" customHeight="1" outlineLevel="1" x14ac:dyDescent="0.25">
      <c r="A3895" s="101" t="s">
        <v>336</v>
      </c>
      <c r="B3895" s="102" t="s">
        <v>8742</v>
      </c>
      <c r="C3895" s="101" t="s">
        <v>8743</v>
      </c>
      <c r="D3895" s="101"/>
      <c r="E3895" s="79"/>
    </row>
    <row r="3896" spans="1:5" ht="14.85" customHeight="1" outlineLevel="1" x14ac:dyDescent="0.25">
      <c r="A3896" s="101" t="s">
        <v>336</v>
      </c>
      <c r="B3896" s="102" t="s">
        <v>8744</v>
      </c>
      <c r="C3896" s="101" t="s">
        <v>8745</v>
      </c>
      <c r="D3896" s="101"/>
      <c r="E3896" s="79"/>
    </row>
    <row r="3897" spans="1:5" ht="14.85" customHeight="1" outlineLevel="1" x14ac:dyDescent="0.25">
      <c r="A3897" s="101" t="s">
        <v>336</v>
      </c>
      <c r="B3897" s="102" t="s">
        <v>8746</v>
      </c>
      <c r="C3897" s="101" t="s">
        <v>8747</v>
      </c>
      <c r="D3897" s="101"/>
      <c r="E3897" s="79"/>
    </row>
    <row r="3898" spans="1:5" ht="14.85" customHeight="1" outlineLevel="1" x14ac:dyDescent="0.25">
      <c r="A3898" s="101" t="s">
        <v>336</v>
      </c>
      <c r="B3898" s="102" t="s">
        <v>8748</v>
      </c>
      <c r="C3898" s="101" t="s">
        <v>8749</v>
      </c>
      <c r="D3898" s="101"/>
      <c r="E3898" s="79"/>
    </row>
    <row r="3899" spans="1:5" ht="14.85" customHeight="1" outlineLevel="1" x14ac:dyDescent="0.25">
      <c r="A3899" s="101" t="s">
        <v>336</v>
      </c>
      <c r="B3899" s="102" t="s">
        <v>8750</v>
      </c>
      <c r="C3899" s="101" t="s">
        <v>7145</v>
      </c>
      <c r="D3899" s="101"/>
      <c r="E3899" s="79"/>
    </row>
    <row r="3900" spans="1:5" ht="14.85" customHeight="1" outlineLevel="1" x14ac:dyDescent="0.25">
      <c r="A3900" s="101" t="s">
        <v>336</v>
      </c>
      <c r="B3900" s="102" t="s">
        <v>8751</v>
      </c>
      <c r="C3900" s="101" t="s">
        <v>8752</v>
      </c>
      <c r="D3900" s="101"/>
      <c r="E3900" s="79"/>
    </row>
    <row r="3901" spans="1:5" ht="14.85" customHeight="1" outlineLevel="1" x14ac:dyDescent="0.25">
      <c r="A3901" s="101" t="s">
        <v>336</v>
      </c>
      <c r="B3901" s="102" t="s">
        <v>8753</v>
      </c>
      <c r="C3901" s="101" t="s">
        <v>8754</v>
      </c>
      <c r="D3901" s="101"/>
      <c r="E3901" s="79"/>
    </row>
    <row r="3902" spans="1:5" ht="14.85" customHeight="1" outlineLevel="1" x14ac:dyDescent="0.25">
      <c r="A3902" s="101" t="s">
        <v>336</v>
      </c>
      <c r="B3902" s="102" t="s">
        <v>8755</v>
      </c>
      <c r="C3902" s="101" t="s">
        <v>8756</v>
      </c>
      <c r="D3902" s="101"/>
      <c r="E3902" s="79"/>
    </row>
    <row r="3903" spans="1:5" ht="14.85" customHeight="1" outlineLevel="1" x14ac:dyDescent="0.25">
      <c r="A3903" s="101" t="s">
        <v>336</v>
      </c>
      <c r="B3903" s="102" t="s">
        <v>8757</v>
      </c>
      <c r="C3903" s="101" t="s">
        <v>8758</v>
      </c>
      <c r="D3903" s="101"/>
      <c r="E3903" s="79"/>
    </row>
    <row r="3904" spans="1:5" ht="14.85" customHeight="1" outlineLevel="1" x14ac:dyDescent="0.25">
      <c r="A3904" s="101" t="s">
        <v>336</v>
      </c>
      <c r="B3904" s="102" t="s">
        <v>8759</v>
      </c>
      <c r="C3904" s="101" t="s">
        <v>8760</v>
      </c>
      <c r="D3904" s="101"/>
      <c r="E3904" s="79"/>
    </row>
    <row r="3905" spans="1:5" ht="14.85" customHeight="1" outlineLevel="1" x14ac:dyDescent="0.25">
      <c r="A3905" s="101" t="s">
        <v>336</v>
      </c>
      <c r="B3905" s="102" t="s">
        <v>8761</v>
      </c>
      <c r="C3905" s="101" t="s">
        <v>8762</v>
      </c>
      <c r="D3905" s="101"/>
      <c r="E3905" s="79"/>
    </row>
    <row r="3906" spans="1:5" ht="14.85" customHeight="1" outlineLevel="1" x14ac:dyDescent="0.25">
      <c r="A3906" s="101" t="s">
        <v>336</v>
      </c>
      <c r="B3906" s="102" t="s">
        <v>8763</v>
      </c>
      <c r="C3906" s="101" t="s">
        <v>8764</v>
      </c>
      <c r="D3906" s="101"/>
      <c r="E3906" s="79"/>
    </row>
    <row r="3907" spans="1:5" ht="14.85" customHeight="1" outlineLevel="1" x14ac:dyDescent="0.25">
      <c r="A3907" s="101" t="s">
        <v>336</v>
      </c>
      <c r="B3907" s="102" t="s">
        <v>8765</v>
      </c>
      <c r="C3907" s="101" t="s">
        <v>8766</v>
      </c>
      <c r="D3907" s="101"/>
      <c r="E3907" s="79"/>
    </row>
    <row r="3908" spans="1:5" ht="14.85" customHeight="1" outlineLevel="1" x14ac:dyDescent="0.25">
      <c r="A3908" s="101" t="s">
        <v>336</v>
      </c>
      <c r="B3908" s="102" t="s">
        <v>8767</v>
      </c>
      <c r="C3908" s="101" t="s">
        <v>8768</v>
      </c>
      <c r="D3908" s="101"/>
      <c r="E3908" s="79"/>
    </row>
    <row r="3909" spans="1:5" ht="14.85" customHeight="1" outlineLevel="1" x14ac:dyDescent="0.25">
      <c r="A3909" s="101" t="s">
        <v>336</v>
      </c>
      <c r="B3909" s="102" t="s">
        <v>8769</v>
      </c>
      <c r="C3909" s="101" t="s">
        <v>8770</v>
      </c>
      <c r="D3909" s="101"/>
      <c r="E3909" s="79"/>
    </row>
    <row r="3910" spans="1:5" ht="14.85" customHeight="1" outlineLevel="1" x14ac:dyDescent="0.25">
      <c r="A3910" s="101" t="s">
        <v>336</v>
      </c>
      <c r="B3910" s="102" t="s">
        <v>8771</v>
      </c>
      <c r="C3910" s="101" t="s">
        <v>8772</v>
      </c>
      <c r="D3910" s="101"/>
      <c r="E3910" s="79"/>
    </row>
    <row r="3911" spans="1:5" ht="14.85" customHeight="1" outlineLevel="1" x14ac:dyDescent="0.25">
      <c r="A3911" s="101" t="s">
        <v>336</v>
      </c>
      <c r="B3911" s="102" t="s">
        <v>8773</v>
      </c>
      <c r="C3911" s="101" t="s">
        <v>8774</v>
      </c>
      <c r="D3911" s="101"/>
      <c r="E3911" s="79"/>
    </row>
    <row r="3912" spans="1:5" ht="14.85" customHeight="1" outlineLevel="1" x14ac:dyDescent="0.25">
      <c r="A3912" s="101" t="s">
        <v>336</v>
      </c>
      <c r="B3912" s="102" t="s">
        <v>8775</v>
      </c>
      <c r="C3912" s="101" t="s">
        <v>8776</v>
      </c>
      <c r="D3912" s="101"/>
      <c r="E3912" s="79"/>
    </row>
    <row r="3913" spans="1:5" ht="14.85" customHeight="1" outlineLevel="1" x14ac:dyDescent="0.25">
      <c r="A3913" s="101" t="s">
        <v>336</v>
      </c>
      <c r="B3913" s="102" t="s">
        <v>8777</v>
      </c>
      <c r="C3913" s="101" t="s">
        <v>8778</v>
      </c>
      <c r="D3913" s="101"/>
      <c r="E3913" s="79"/>
    </row>
    <row r="3914" spans="1:5" ht="14.85" customHeight="1" outlineLevel="1" x14ac:dyDescent="0.25">
      <c r="A3914" s="101" t="s">
        <v>336</v>
      </c>
      <c r="B3914" s="102" t="s">
        <v>8779</v>
      </c>
      <c r="C3914" s="101" t="s">
        <v>7159</v>
      </c>
      <c r="D3914" s="101"/>
      <c r="E3914" s="79"/>
    </row>
    <row r="3915" spans="1:5" ht="14.85" customHeight="1" outlineLevel="1" x14ac:dyDescent="0.25">
      <c r="A3915" s="101" t="s">
        <v>336</v>
      </c>
      <c r="B3915" s="102" t="s">
        <v>8780</v>
      </c>
      <c r="C3915" s="101" t="s">
        <v>8781</v>
      </c>
      <c r="D3915" s="101"/>
      <c r="E3915" s="79"/>
    </row>
    <row r="3916" spans="1:5" ht="14.85" customHeight="1" outlineLevel="1" x14ac:dyDescent="0.25">
      <c r="A3916" s="101" t="s">
        <v>336</v>
      </c>
      <c r="B3916" s="102" t="s">
        <v>8782</v>
      </c>
      <c r="C3916" s="101" t="s">
        <v>8783</v>
      </c>
      <c r="D3916" s="101"/>
      <c r="E3916" s="79"/>
    </row>
    <row r="3917" spans="1:5" ht="14.85" customHeight="1" outlineLevel="1" x14ac:dyDescent="0.25">
      <c r="A3917" s="101" t="s">
        <v>336</v>
      </c>
      <c r="B3917" s="102" t="s">
        <v>8784</v>
      </c>
      <c r="C3917" s="101" t="s">
        <v>8785</v>
      </c>
      <c r="D3917" s="101"/>
      <c r="E3917" s="79"/>
    </row>
    <row r="3918" spans="1:5" ht="14.85" customHeight="1" outlineLevel="1" x14ac:dyDescent="0.25">
      <c r="A3918" s="101" t="s">
        <v>336</v>
      </c>
      <c r="B3918" s="102" t="s">
        <v>8786</v>
      </c>
      <c r="C3918" s="101" t="s">
        <v>8787</v>
      </c>
      <c r="D3918" s="101"/>
      <c r="E3918" s="79"/>
    </row>
    <row r="3919" spans="1:5" ht="14.85" customHeight="1" outlineLevel="1" x14ac:dyDescent="0.25">
      <c r="A3919" s="101" t="s">
        <v>336</v>
      </c>
      <c r="B3919" s="102" t="s">
        <v>8788</v>
      </c>
      <c r="C3919" s="101" t="s">
        <v>8789</v>
      </c>
      <c r="D3919" s="101"/>
      <c r="E3919" s="79"/>
    </row>
    <row r="3920" spans="1:5" ht="14.85" customHeight="1" outlineLevel="1" x14ac:dyDescent="0.25">
      <c r="A3920" s="101" t="s">
        <v>336</v>
      </c>
      <c r="B3920" s="102" t="s">
        <v>8790</v>
      </c>
      <c r="C3920" s="101" t="s">
        <v>8791</v>
      </c>
      <c r="D3920" s="101"/>
      <c r="E3920" s="79"/>
    </row>
    <row r="3921" spans="1:5" ht="14.85" customHeight="1" outlineLevel="1" x14ac:dyDescent="0.25">
      <c r="A3921" s="101" t="s">
        <v>336</v>
      </c>
      <c r="B3921" s="102" t="s">
        <v>8792</v>
      </c>
      <c r="C3921" s="101" t="s">
        <v>8793</v>
      </c>
      <c r="D3921" s="101"/>
      <c r="E3921" s="79"/>
    </row>
    <row r="3922" spans="1:5" ht="14.85" customHeight="1" outlineLevel="1" x14ac:dyDescent="0.25">
      <c r="A3922" s="101" t="s">
        <v>336</v>
      </c>
      <c r="B3922" s="102" t="s">
        <v>8794</v>
      </c>
      <c r="C3922" s="101" t="s">
        <v>8795</v>
      </c>
      <c r="D3922" s="101"/>
      <c r="E3922" s="79"/>
    </row>
    <row r="3923" spans="1:5" ht="14.85" customHeight="1" outlineLevel="1" x14ac:dyDescent="0.25">
      <c r="A3923" s="101" t="s">
        <v>336</v>
      </c>
      <c r="B3923" s="102" t="s">
        <v>8796</v>
      </c>
      <c r="C3923" s="101" t="s">
        <v>8797</v>
      </c>
      <c r="D3923" s="101"/>
      <c r="E3923" s="79"/>
    </row>
    <row r="3924" spans="1:5" ht="14.85" customHeight="1" outlineLevel="1" x14ac:dyDescent="0.25">
      <c r="A3924" s="101" t="s">
        <v>336</v>
      </c>
      <c r="B3924" s="102" t="s">
        <v>8798</v>
      </c>
      <c r="C3924" s="101" t="s">
        <v>8799</v>
      </c>
      <c r="D3924" s="101"/>
      <c r="E3924" s="79"/>
    </row>
    <row r="3925" spans="1:5" ht="14.85" customHeight="1" outlineLevel="1" x14ac:dyDescent="0.25">
      <c r="A3925" s="101" t="s">
        <v>336</v>
      </c>
      <c r="B3925" s="102" t="s">
        <v>8800</v>
      </c>
      <c r="C3925" s="101" t="s">
        <v>8801</v>
      </c>
      <c r="D3925" s="101"/>
      <c r="E3925" s="79"/>
    </row>
    <row r="3926" spans="1:5" ht="14.85" customHeight="1" outlineLevel="1" x14ac:dyDescent="0.25">
      <c r="A3926" s="101" t="s">
        <v>336</v>
      </c>
      <c r="B3926" s="102" t="s">
        <v>8802</v>
      </c>
      <c r="C3926" s="101" t="s">
        <v>8803</v>
      </c>
      <c r="D3926" s="101"/>
      <c r="E3926" s="79"/>
    </row>
    <row r="3927" spans="1:5" ht="14.85" customHeight="1" outlineLevel="1" x14ac:dyDescent="0.25">
      <c r="A3927" s="101" t="s">
        <v>336</v>
      </c>
      <c r="B3927" s="102" t="s">
        <v>8804</v>
      </c>
      <c r="C3927" s="101" t="s">
        <v>8805</v>
      </c>
      <c r="D3927" s="101"/>
      <c r="E3927" s="79"/>
    </row>
    <row r="3928" spans="1:5" ht="14.85" customHeight="1" outlineLevel="1" x14ac:dyDescent="0.25">
      <c r="A3928" s="101" t="s">
        <v>336</v>
      </c>
      <c r="B3928" s="102" t="s">
        <v>8806</v>
      </c>
      <c r="C3928" s="101" t="s">
        <v>8807</v>
      </c>
      <c r="D3928" s="101"/>
      <c r="E3928" s="79"/>
    </row>
    <row r="3929" spans="1:5" ht="14.85" customHeight="1" outlineLevel="1" x14ac:dyDescent="0.25">
      <c r="A3929" s="101" t="s">
        <v>336</v>
      </c>
      <c r="B3929" s="102" t="s">
        <v>8808</v>
      </c>
      <c r="C3929" s="101" t="s">
        <v>8809</v>
      </c>
      <c r="D3929" s="101"/>
      <c r="E3929" s="79"/>
    </row>
    <row r="3930" spans="1:5" ht="14.85" customHeight="1" outlineLevel="1" x14ac:dyDescent="0.25">
      <c r="A3930" s="101" t="s">
        <v>336</v>
      </c>
      <c r="B3930" s="102" t="s">
        <v>8810</v>
      </c>
      <c r="C3930" s="101" t="s">
        <v>8811</v>
      </c>
      <c r="D3930" s="101"/>
      <c r="E3930" s="79"/>
    </row>
    <row r="3931" spans="1:5" ht="14.85" customHeight="1" outlineLevel="1" x14ac:dyDescent="0.25">
      <c r="A3931" s="101" t="s">
        <v>336</v>
      </c>
      <c r="B3931" s="102" t="s">
        <v>8812</v>
      </c>
      <c r="C3931" s="101" t="s">
        <v>8813</v>
      </c>
      <c r="D3931" s="101"/>
      <c r="E3931" s="79"/>
    </row>
    <row r="3932" spans="1:5" ht="14.85" customHeight="1" outlineLevel="1" x14ac:dyDescent="0.25">
      <c r="A3932" s="101" t="s">
        <v>336</v>
      </c>
      <c r="B3932" s="102" t="s">
        <v>8814</v>
      </c>
      <c r="C3932" s="101" t="s">
        <v>8815</v>
      </c>
      <c r="D3932" s="101"/>
      <c r="E3932" s="79"/>
    </row>
    <row r="3933" spans="1:5" ht="14.85" customHeight="1" outlineLevel="1" x14ac:dyDescent="0.25">
      <c r="A3933" s="101" t="s">
        <v>336</v>
      </c>
      <c r="B3933" s="102" t="s">
        <v>8816</v>
      </c>
      <c r="C3933" s="101" t="s">
        <v>8817</v>
      </c>
      <c r="D3933" s="101"/>
      <c r="E3933" s="79"/>
    </row>
    <row r="3934" spans="1:5" ht="14.85" customHeight="1" outlineLevel="1" x14ac:dyDescent="0.25">
      <c r="A3934" s="101" t="s">
        <v>336</v>
      </c>
      <c r="B3934" s="102" t="s">
        <v>8818</v>
      </c>
      <c r="C3934" s="101" t="s">
        <v>8819</v>
      </c>
      <c r="D3934" s="101"/>
      <c r="E3934" s="79"/>
    </row>
    <row r="3935" spans="1:5" ht="14.85" customHeight="1" outlineLevel="1" x14ac:dyDescent="0.25">
      <c r="A3935" s="101" t="s">
        <v>336</v>
      </c>
      <c r="B3935" s="102" t="s">
        <v>8820</v>
      </c>
      <c r="C3935" s="101" t="s">
        <v>8821</v>
      </c>
      <c r="D3935" s="101"/>
      <c r="E3935" s="79"/>
    </row>
    <row r="3936" spans="1:5" ht="14.85" customHeight="1" outlineLevel="1" x14ac:dyDescent="0.25">
      <c r="A3936" s="101" t="s">
        <v>336</v>
      </c>
      <c r="B3936" s="102" t="s">
        <v>8822</v>
      </c>
      <c r="C3936" s="101" t="s">
        <v>8823</v>
      </c>
      <c r="D3936" s="101"/>
      <c r="E3936" s="79"/>
    </row>
    <row r="3937" spans="1:5" ht="14.85" customHeight="1" outlineLevel="1" x14ac:dyDescent="0.25">
      <c r="A3937" s="101" t="s">
        <v>336</v>
      </c>
      <c r="B3937" s="102" t="s">
        <v>8824</v>
      </c>
      <c r="C3937" s="101" t="s">
        <v>8825</v>
      </c>
      <c r="D3937" s="101"/>
      <c r="E3937" s="79"/>
    </row>
    <row r="3938" spans="1:5" ht="14.85" customHeight="1" outlineLevel="1" x14ac:dyDescent="0.25">
      <c r="A3938" s="101" t="s">
        <v>336</v>
      </c>
      <c r="B3938" s="102" t="s">
        <v>8826</v>
      </c>
      <c r="C3938" s="101" t="s">
        <v>8827</v>
      </c>
      <c r="D3938" s="101"/>
      <c r="E3938" s="79"/>
    </row>
    <row r="3939" spans="1:5" ht="14.85" customHeight="1" outlineLevel="1" x14ac:dyDescent="0.25">
      <c r="A3939" s="101" t="s">
        <v>336</v>
      </c>
      <c r="B3939" s="102" t="s">
        <v>8828</v>
      </c>
      <c r="C3939" s="101" t="s">
        <v>8829</v>
      </c>
      <c r="D3939" s="101"/>
      <c r="E3939" s="79"/>
    </row>
    <row r="3940" spans="1:5" ht="14.85" customHeight="1" outlineLevel="1" x14ac:dyDescent="0.25">
      <c r="A3940" s="101" t="s">
        <v>336</v>
      </c>
      <c r="B3940" s="102" t="s">
        <v>8830</v>
      </c>
      <c r="C3940" s="101" t="s">
        <v>8831</v>
      </c>
      <c r="D3940" s="101"/>
      <c r="E3940" s="79"/>
    </row>
    <row r="3941" spans="1:5" ht="14.85" customHeight="1" outlineLevel="1" x14ac:dyDescent="0.25">
      <c r="A3941" s="101" t="s">
        <v>336</v>
      </c>
      <c r="B3941" s="102" t="s">
        <v>8832</v>
      </c>
      <c r="C3941" s="101" t="s">
        <v>8833</v>
      </c>
      <c r="D3941" s="101"/>
      <c r="E3941" s="79"/>
    </row>
    <row r="3942" spans="1:5" ht="14.85" customHeight="1" outlineLevel="1" x14ac:dyDescent="0.25">
      <c r="A3942" s="101" t="s">
        <v>336</v>
      </c>
      <c r="B3942" s="102" t="s">
        <v>8834</v>
      </c>
      <c r="C3942" s="101" t="s">
        <v>8835</v>
      </c>
      <c r="D3942" s="101"/>
      <c r="E3942" s="79"/>
    </row>
    <row r="3943" spans="1:5" ht="14.85" customHeight="1" outlineLevel="1" x14ac:dyDescent="0.25">
      <c r="A3943" s="101" t="s">
        <v>336</v>
      </c>
      <c r="B3943" s="102" t="s">
        <v>8836</v>
      </c>
      <c r="C3943" s="101" t="s">
        <v>8837</v>
      </c>
      <c r="D3943" s="101"/>
      <c r="E3943" s="79"/>
    </row>
    <row r="3944" spans="1:5" ht="14.85" customHeight="1" outlineLevel="1" x14ac:dyDescent="0.25">
      <c r="A3944" s="101" t="s">
        <v>336</v>
      </c>
      <c r="B3944" s="102" t="s">
        <v>8838</v>
      </c>
      <c r="C3944" s="101" t="s">
        <v>8839</v>
      </c>
      <c r="D3944" s="101"/>
      <c r="E3944" s="79"/>
    </row>
    <row r="3945" spans="1:5" ht="14.85" customHeight="1" outlineLevel="1" x14ac:dyDescent="0.25">
      <c r="A3945" s="101" t="s">
        <v>336</v>
      </c>
      <c r="B3945" s="102" t="s">
        <v>8840</v>
      </c>
      <c r="C3945" s="101" t="s">
        <v>8841</v>
      </c>
      <c r="D3945" s="101"/>
      <c r="E3945" s="79"/>
    </row>
    <row r="3946" spans="1:5" ht="14.85" customHeight="1" outlineLevel="1" x14ac:dyDescent="0.25">
      <c r="A3946" s="101" t="s">
        <v>336</v>
      </c>
      <c r="B3946" s="102" t="s">
        <v>8842</v>
      </c>
      <c r="C3946" s="101" t="s">
        <v>8843</v>
      </c>
      <c r="D3946" s="101"/>
      <c r="E3946" s="79"/>
    </row>
    <row r="3947" spans="1:5" ht="14.85" customHeight="1" outlineLevel="1" x14ac:dyDescent="0.25">
      <c r="A3947" s="101" t="s">
        <v>336</v>
      </c>
      <c r="B3947" s="102" t="s">
        <v>8844</v>
      </c>
      <c r="C3947" s="101" t="s">
        <v>8845</v>
      </c>
      <c r="D3947" s="101"/>
      <c r="E3947" s="79"/>
    </row>
    <row r="3948" spans="1:5" ht="14.85" customHeight="1" outlineLevel="1" x14ac:dyDescent="0.25">
      <c r="A3948" s="101" t="s">
        <v>336</v>
      </c>
      <c r="B3948" s="102" t="s">
        <v>8846</v>
      </c>
      <c r="C3948" s="101" t="s">
        <v>8847</v>
      </c>
      <c r="D3948" s="101"/>
      <c r="E3948" s="79"/>
    </row>
    <row r="3949" spans="1:5" ht="14.85" customHeight="1" outlineLevel="1" x14ac:dyDescent="0.25">
      <c r="A3949" s="101" t="s">
        <v>336</v>
      </c>
      <c r="B3949" s="102" t="s">
        <v>8848</v>
      </c>
      <c r="C3949" s="101" t="s">
        <v>8849</v>
      </c>
      <c r="D3949" s="101"/>
      <c r="E3949" s="79"/>
    </row>
    <row r="3950" spans="1:5" ht="14.85" customHeight="1" outlineLevel="1" x14ac:dyDescent="0.25">
      <c r="A3950" s="101" t="s">
        <v>336</v>
      </c>
      <c r="B3950" s="102" t="s">
        <v>8850</v>
      </c>
      <c r="C3950" s="101" t="s">
        <v>8851</v>
      </c>
      <c r="D3950" s="101"/>
      <c r="E3950" s="79"/>
    </row>
    <row r="3951" spans="1:5" ht="14.85" customHeight="1" outlineLevel="1" x14ac:dyDescent="0.25">
      <c r="A3951" s="101" t="s">
        <v>336</v>
      </c>
      <c r="B3951" s="102" t="s">
        <v>8852</v>
      </c>
      <c r="C3951" s="101" t="s">
        <v>8853</v>
      </c>
      <c r="D3951" s="101"/>
      <c r="E3951" s="79"/>
    </row>
    <row r="3952" spans="1:5" ht="14.85" customHeight="1" outlineLevel="1" x14ac:dyDescent="0.25">
      <c r="A3952" s="101" t="s">
        <v>336</v>
      </c>
      <c r="B3952" s="102" t="s">
        <v>8854</v>
      </c>
      <c r="C3952" s="101" t="s">
        <v>8855</v>
      </c>
      <c r="D3952" s="101"/>
      <c r="E3952" s="79"/>
    </row>
    <row r="3953" spans="1:5" ht="14.85" customHeight="1" x14ac:dyDescent="0.25">
      <c r="A3953" s="101" t="s">
        <v>336</v>
      </c>
      <c r="B3953" s="102" t="s">
        <v>8856</v>
      </c>
      <c r="C3953" s="101" t="s">
        <v>8857</v>
      </c>
      <c r="D3953" s="101"/>
      <c r="E3953" s="79"/>
    </row>
    <row r="3954" spans="1:5" ht="14.85" customHeight="1" x14ac:dyDescent="0.25">
      <c r="A3954" s="330" t="s">
        <v>13403</v>
      </c>
      <c r="B3954" s="314" t="s">
        <v>8906</v>
      </c>
      <c r="C3954" s="315" t="s">
        <v>8906</v>
      </c>
      <c r="D3954" s="316" t="s">
        <v>13502</v>
      </c>
      <c r="E3954" s="316"/>
    </row>
    <row r="3955" spans="1:5" ht="14.85" customHeight="1" x14ac:dyDescent="0.25">
      <c r="A3955" s="330" t="s">
        <v>13403</v>
      </c>
      <c r="B3955" s="314" t="s">
        <v>13405</v>
      </c>
      <c r="C3955" s="315" t="s">
        <v>13405</v>
      </c>
      <c r="D3955" s="316" t="s">
        <v>13503</v>
      </c>
      <c r="E3955" s="316" t="s">
        <v>13501</v>
      </c>
    </row>
    <row r="3956" spans="1:5" ht="14.85" customHeight="1" x14ac:dyDescent="0.25">
      <c r="A3956" s="330" t="s">
        <v>13403</v>
      </c>
      <c r="B3956" s="314" t="s">
        <v>13406</v>
      </c>
      <c r="C3956" s="315" t="s">
        <v>13406</v>
      </c>
      <c r="D3956" s="317" t="s">
        <v>13500</v>
      </c>
      <c r="E3956" s="316"/>
    </row>
    <row r="3957" spans="1:5" ht="14.85" customHeight="1" x14ac:dyDescent="0.25">
      <c r="A3957" s="101" t="s">
        <v>275</v>
      </c>
      <c r="B3957" s="102" t="s">
        <v>1481</v>
      </c>
      <c r="C3957" s="101" t="s">
        <v>8858</v>
      </c>
      <c r="D3957" s="101" t="s">
        <v>8859</v>
      </c>
      <c r="E3957" s="79"/>
    </row>
    <row r="3958" spans="1:5" ht="14.85" customHeight="1" x14ac:dyDescent="0.25">
      <c r="A3958" s="101" t="s">
        <v>275</v>
      </c>
      <c r="B3958" s="102" t="s">
        <v>114</v>
      </c>
      <c r="C3958" s="101" t="s">
        <v>8860</v>
      </c>
      <c r="D3958" s="101" t="s">
        <v>8861</v>
      </c>
      <c r="E3958" s="79"/>
    </row>
    <row r="3959" spans="1:5" ht="14.85" customHeight="1" x14ac:dyDescent="0.25">
      <c r="A3959" s="101" t="s">
        <v>275</v>
      </c>
      <c r="B3959" s="102" t="s">
        <v>1491</v>
      </c>
      <c r="C3959" s="101" t="s">
        <v>8862</v>
      </c>
      <c r="D3959" s="101" t="s">
        <v>8863</v>
      </c>
      <c r="E3959" s="79"/>
    </row>
    <row r="3960" spans="1:5" ht="14.85" customHeight="1" x14ac:dyDescent="0.25">
      <c r="A3960" s="101" t="s">
        <v>275</v>
      </c>
      <c r="B3960" s="102" t="s">
        <v>99</v>
      </c>
      <c r="C3960" s="101" t="s">
        <v>8864</v>
      </c>
      <c r="D3960" s="101" t="s">
        <v>8865</v>
      </c>
      <c r="E3960" s="79"/>
    </row>
    <row r="3961" spans="1:5" ht="14.85" customHeight="1" x14ac:dyDescent="0.25">
      <c r="A3961" s="101" t="s">
        <v>1095</v>
      </c>
      <c r="B3961" s="102" t="s">
        <v>81</v>
      </c>
      <c r="C3961" s="101" t="s">
        <v>8866</v>
      </c>
      <c r="D3961" s="101"/>
      <c r="E3961" s="79"/>
    </row>
    <row r="3962" spans="1:5" ht="14.85" customHeight="1" x14ac:dyDescent="0.25">
      <c r="A3962" s="101" t="s">
        <v>1095</v>
      </c>
      <c r="B3962" s="102" t="s">
        <v>90</v>
      </c>
      <c r="C3962" s="101" t="s">
        <v>8867</v>
      </c>
      <c r="D3962" s="101"/>
      <c r="E3962" s="79"/>
    </row>
    <row r="3963" spans="1:5" ht="14.85" customHeight="1" x14ac:dyDescent="0.25">
      <c r="A3963" s="101" t="s">
        <v>1095</v>
      </c>
      <c r="B3963" s="102" t="s">
        <v>95</v>
      </c>
      <c r="C3963" s="101" t="s">
        <v>8868</v>
      </c>
      <c r="D3963" s="101"/>
      <c r="E3963" s="79"/>
    </row>
    <row r="3964" spans="1:5" ht="14.85" customHeight="1" x14ac:dyDescent="0.25">
      <c r="A3964" s="101" t="s">
        <v>1095</v>
      </c>
      <c r="B3964" s="102" t="s">
        <v>101</v>
      </c>
      <c r="C3964" s="101" t="s">
        <v>8869</v>
      </c>
      <c r="D3964" s="101"/>
      <c r="E3964" s="79"/>
    </row>
    <row r="3965" spans="1:5" ht="14.85" customHeight="1" x14ac:dyDescent="0.25">
      <c r="A3965" s="101" t="s">
        <v>1095</v>
      </c>
      <c r="B3965" s="102" t="s">
        <v>107</v>
      </c>
      <c r="C3965" s="101" t="s">
        <v>8870</v>
      </c>
      <c r="D3965" s="101"/>
      <c r="E3965" s="79"/>
    </row>
    <row r="3966" spans="1:5" ht="14.85" customHeight="1" x14ac:dyDescent="0.25">
      <c r="A3966" s="101" t="s">
        <v>1095</v>
      </c>
      <c r="B3966" s="102" t="s">
        <v>116</v>
      </c>
      <c r="C3966" s="101" t="s">
        <v>8871</v>
      </c>
      <c r="D3966" s="101"/>
      <c r="E3966" s="79"/>
    </row>
    <row r="3967" spans="1:5" ht="14.85" customHeight="1" x14ac:dyDescent="0.25">
      <c r="A3967" s="101" t="s">
        <v>1095</v>
      </c>
      <c r="B3967" s="102" t="s">
        <v>121</v>
      </c>
      <c r="C3967" s="101" t="s">
        <v>8872</v>
      </c>
      <c r="D3967" s="101"/>
      <c r="E3967" s="79"/>
    </row>
    <row r="3968" spans="1:5" ht="14.85" customHeight="1" x14ac:dyDescent="0.25">
      <c r="A3968" s="101" t="s">
        <v>1095</v>
      </c>
      <c r="B3968" s="102" t="s">
        <v>127</v>
      </c>
      <c r="C3968" s="101" t="s">
        <v>8873</v>
      </c>
      <c r="D3968" s="101"/>
      <c r="E3968" s="79"/>
    </row>
    <row r="3969" spans="1:5" ht="14.85" customHeight="1" x14ac:dyDescent="0.25">
      <c r="A3969" s="101" t="s">
        <v>1095</v>
      </c>
      <c r="B3969" s="102" t="s">
        <v>132</v>
      </c>
      <c r="C3969" s="101" t="s">
        <v>8874</v>
      </c>
      <c r="D3969" s="101"/>
      <c r="E3969" s="79"/>
    </row>
    <row r="3970" spans="1:5" ht="14.85" customHeight="1" x14ac:dyDescent="0.25">
      <c r="A3970" s="101" t="s">
        <v>1095</v>
      </c>
      <c r="B3970" s="102" t="s">
        <v>136</v>
      </c>
      <c r="C3970" s="101" t="s">
        <v>8875</v>
      </c>
      <c r="D3970" s="101"/>
      <c r="E3970" s="79"/>
    </row>
    <row r="3971" spans="1:5" ht="14.85" customHeight="1" x14ac:dyDescent="0.25">
      <c r="A3971" s="101" t="s">
        <v>1095</v>
      </c>
      <c r="B3971" s="102" t="s">
        <v>142</v>
      </c>
      <c r="C3971" s="101" t="s">
        <v>8876</v>
      </c>
      <c r="D3971" s="101"/>
      <c r="E3971" s="79"/>
    </row>
    <row r="3972" spans="1:5" ht="14.85" customHeight="1" x14ac:dyDescent="0.25">
      <c r="A3972" s="101" t="s">
        <v>1095</v>
      </c>
      <c r="B3972" s="102" t="s">
        <v>146</v>
      </c>
      <c r="C3972" s="101" t="s">
        <v>7250</v>
      </c>
      <c r="D3972" s="101" t="s">
        <v>8877</v>
      </c>
      <c r="E3972" s="79"/>
    </row>
    <row r="3973" spans="1:5" ht="14.85" customHeight="1" x14ac:dyDescent="0.25">
      <c r="A3973" s="101" t="s">
        <v>1228</v>
      </c>
      <c r="B3973" s="102" t="s">
        <v>933</v>
      </c>
      <c r="C3973" s="101" t="s">
        <v>8878</v>
      </c>
      <c r="D3973" s="101"/>
      <c r="E3973" s="79"/>
    </row>
    <row r="3974" spans="1:5" ht="14.85" customHeight="1" x14ac:dyDescent="0.25">
      <c r="A3974" s="101" t="s">
        <v>1228</v>
      </c>
      <c r="B3974" s="102" t="s">
        <v>8879</v>
      </c>
      <c r="C3974" s="101" t="s">
        <v>8880</v>
      </c>
      <c r="D3974" s="101"/>
      <c r="E3974" s="79"/>
    </row>
    <row r="3975" spans="1:5" ht="14.85" customHeight="1" x14ac:dyDescent="0.25">
      <c r="A3975" s="101" t="s">
        <v>1228</v>
      </c>
      <c r="B3975" s="102" t="s">
        <v>7642</v>
      </c>
      <c r="C3975" s="101" t="s">
        <v>8881</v>
      </c>
      <c r="D3975" s="101"/>
      <c r="E3975" s="79"/>
    </row>
    <row r="3976" spans="1:5" ht="14.85" customHeight="1" x14ac:dyDescent="0.25">
      <c r="A3976" s="101" t="s">
        <v>1228</v>
      </c>
      <c r="B3976" s="102" t="s">
        <v>7646</v>
      </c>
      <c r="C3976" s="101" t="s">
        <v>8882</v>
      </c>
      <c r="D3976" s="101"/>
      <c r="E3976" s="79"/>
    </row>
    <row r="3977" spans="1:5" ht="14.85" customHeight="1" x14ac:dyDescent="0.25">
      <c r="A3977" s="101" t="s">
        <v>1228</v>
      </c>
      <c r="B3977" s="102" t="s">
        <v>7666</v>
      </c>
      <c r="C3977" s="101" t="s">
        <v>8883</v>
      </c>
      <c r="D3977" s="101"/>
      <c r="E3977" s="79"/>
    </row>
    <row r="3978" spans="1:5" ht="14.85" customHeight="1" x14ac:dyDescent="0.25">
      <c r="A3978" s="101" t="s">
        <v>1228</v>
      </c>
      <c r="B3978" s="102" t="s">
        <v>7670</v>
      </c>
      <c r="C3978" s="101" t="s">
        <v>8884</v>
      </c>
      <c r="D3978" s="101"/>
      <c r="E3978" s="79"/>
    </row>
    <row r="3979" spans="1:5" ht="14.85" customHeight="1" x14ac:dyDescent="0.25">
      <c r="A3979" s="101" t="s">
        <v>1228</v>
      </c>
      <c r="B3979" s="102" t="s">
        <v>7674</v>
      </c>
      <c r="C3979" s="101" t="s">
        <v>8885</v>
      </c>
      <c r="D3979" s="101"/>
      <c r="E3979" s="79"/>
    </row>
    <row r="3980" spans="1:5" ht="14.85" customHeight="1" x14ac:dyDescent="0.25">
      <c r="A3980" s="101" t="s">
        <v>1228</v>
      </c>
      <c r="B3980" s="102" t="s">
        <v>8886</v>
      </c>
      <c r="C3980" s="101" t="s">
        <v>8887</v>
      </c>
      <c r="D3980" s="101"/>
      <c r="E3980" s="79"/>
    </row>
    <row r="3981" spans="1:5" ht="14.85" customHeight="1" x14ac:dyDescent="0.25">
      <c r="A3981" s="101" t="s">
        <v>1136</v>
      </c>
      <c r="B3981" s="102" t="s">
        <v>6871</v>
      </c>
      <c r="C3981" s="101" t="s">
        <v>8888</v>
      </c>
      <c r="D3981" s="101"/>
      <c r="E3981" s="79"/>
    </row>
    <row r="3982" spans="1:5" ht="14.85" customHeight="1" x14ac:dyDescent="0.25">
      <c r="A3982" s="101" t="s">
        <v>1136</v>
      </c>
      <c r="B3982" s="102" t="s">
        <v>6895</v>
      </c>
      <c r="C3982" s="101" t="s">
        <v>8889</v>
      </c>
      <c r="D3982" s="101"/>
      <c r="E3982" s="79"/>
    </row>
    <row r="3983" spans="1:5" ht="14.85" customHeight="1" x14ac:dyDescent="0.25">
      <c r="A3983" s="101" t="s">
        <v>751</v>
      </c>
      <c r="B3983" s="102" t="s">
        <v>7255</v>
      </c>
      <c r="C3983" s="101" t="s">
        <v>8890</v>
      </c>
      <c r="D3983" s="101"/>
      <c r="E3983" s="79"/>
    </row>
    <row r="3984" spans="1:5" ht="14.85" customHeight="1" x14ac:dyDescent="0.25">
      <c r="A3984" s="101" t="s">
        <v>751</v>
      </c>
      <c r="B3984" s="102" t="s">
        <v>7460</v>
      </c>
      <c r="C3984" s="101" t="s">
        <v>8891</v>
      </c>
      <c r="D3984" s="101"/>
      <c r="E3984" s="79"/>
    </row>
    <row r="3985" spans="1:5" ht="14.85" customHeight="1" x14ac:dyDescent="0.25">
      <c r="A3985" s="101" t="s">
        <v>751</v>
      </c>
      <c r="B3985" s="102" t="s">
        <v>99</v>
      </c>
      <c r="C3985" s="101" t="s">
        <v>8892</v>
      </c>
      <c r="D3985" s="101"/>
      <c r="E3985" s="79"/>
    </row>
    <row r="3986" spans="1:5" ht="14.85" customHeight="1" x14ac:dyDescent="0.25">
      <c r="A3986" s="101" t="s">
        <v>640</v>
      </c>
      <c r="B3986" s="102" t="s">
        <v>114</v>
      </c>
      <c r="C3986" s="101" t="s">
        <v>8893</v>
      </c>
      <c r="D3986" s="101"/>
      <c r="E3986" s="79"/>
    </row>
    <row r="3987" spans="1:5" ht="14.85" customHeight="1" x14ac:dyDescent="0.25">
      <c r="A3987" s="101" t="s">
        <v>640</v>
      </c>
      <c r="B3987" s="102" t="s">
        <v>1491</v>
      </c>
      <c r="C3987" s="101" t="s">
        <v>8894</v>
      </c>
      <c r="D3987" s="101"/>
      <c r="E3987" s="79"/>
    </row>
    <row r="3988" spans="1:5" ht="14.85" customHeight="1" x14ac:dyDescent="0.25">
      <c r="A3988" s="101" t="s">
        <v>640</v>
      </c>
      <c r="B3988" s="102" t="s">
        <v>7289</v>
      </c>
      <c r="C3988" s="101" t="s">
        <v>8895</v>
      </c>
      <c r="D3988" s="101"/>
      <c r="E3988" s="79"/>
    </row>
    <row r="3989" spans="1:5" ht="14.85" customHeight="1" x14ac:dyDescent="0.25">
      <c r="A3989" s="101" t="s">
        <v>234</v>
      </c>
      <c r="B3989" s="102" t="s">
        <v>8896</v>
      </c>
      <c r="C3989" s="101" t="s">
        <v>8897</v>
      </c>
      <c r="D3989" s="101" t="s">
        <v>8898</v>
      </c>
      <c r="E3989" s="79"/>
    </row>
    <row r="3990" spans="1:5" ht="14.85" customHeight="1" x14ac:dyDescent="0.25">
      <c r="A3990" s="101" t="s">
        <v>234</v>
      </c>
      <c r="B3990" s="102" t="s">
        <v>1470</v>
      </c>
      <c r="C3990" s="101" t="s">
        <v>8899</v>
      </c>
      <c r="D3990" s="101" t="s">
        <v>8900</v>
      </c>
      <c r="E3990" s="79"/>
    </row>
    <row r="3991" spans="1:5" ht="14.85" customHeight="1" x14ac:dyDescent="0.25">
      <c r="A3991" s="101" t="s">
        <v>234</v>
      </c>
      <c r="B3991" s="102" t="s">
        <v>99</v>
      </c>
      <c r="C3991" s="101" t="s">
        <v>8901</v>
      </c>
      <c r="D3991" s="101" t="s">
        <v>8902</v>
      </c>
      <c r="E3991" s="79"/>
    </row>
    <row r="3992" spans="1:5" ht="14.85" customHeight="1" x14ac:dyDescent="0.25">
      <c r="A3992" s="101" t="s">
        <v>1187</v>
      </c>
      <c r="B3992" s="102" t="s">
        <v>1481</v>
      </c>
      <c r="C3992" s="101" t="s">
        <v>8903</v>
      </c>
      <c r="D3992" s="101"/>
      <c r="E3992" s="79"/>
    </row>
    <row r="3993" spans="1:5" ht="14.85" customHeight="1" x14ac:dyDescent="0.25">
      <c r="A3993" s="101" t="s">
        <v>1187</v>
      </c>
      <c r="B3993" s="102" t="s">
        <v>6697</v>
      </c>
      <c r="C3993" s="101" t="s">
        <v>8904</v>
      </c>
      <c r="D3993" s="101"/>
      <c r="E3993" s="79"/>
    </row>
    <row r="3994" spans="1:5" ht="14.85" customHeight="1" x14ac:dyDescent="0.25">
      <c r="A3994" s="101" t="s">
        <v>1187</v>
      </c>
      <c r="B3994" s="102" t="s">
        <v>7255</v>
      </c>
      <c r="C3994" s="101" t="s">
        <v>8905</v>
      </c>
      <c r="D3994" s="101"/>
      <c r="E3994" s="79"/>
    </row>
    <row r="3995" spans="1:5" ht="14.85" customHeight="1" x14ac:dyDescent="0.25">
      <c r="A3995" s="101" t="s">
        <v>1187</v>
      </c>
      <c r="B3995" s="102" t="s">
        <v>8896</v>
      </c>
      <c r="C3995" s="101" t="s">
        <v>8906</v>
      </c>
      <c r="D3995" s="101"/>
      <c r="E3995" s="79"/>
    </row>
    <row r="3996" spans="1:5" ht="14.85" customHeight="1" x14ac:dyDescent="0.25">
      <c r="A3996" s="101" t="s">
        <v>1187</v>
      </c>
      <c r="B3996" s="102" t="s">
        <v>1466</v>
      </c>
      <c r="C3996" s="101" t="s">
        <v>8907</v>
      </c>
      <c r="D3996" s="101"/>
      <c r="E3996" s="79"/>
    </row>
    <row r="3997" spans="1:5" ht="14.85" customHeight="1" x14ac:dyDescent="0.25">
      <c r="A3997" s="101" t="s">
        <v>1159</v>
      </c>
      <c r="B3997" s="102">
        <v>504</v>
      </c>
      <c r="C3997" s="101" t="s">
        <v>8908</v>
      </c>
      <c r="D3997" s="101" t="s">
        <v>8909</v>
      </c>
      <c r="E3997" s="79" t="str">
        <f t="shared" ref="E3997:E4028" si="0">"The person responsible for receiving "&amp; D3997 &amp; " communication"</f>
        <v>The person responsible for receiving Title IX - 504 communication</v>
      </c>
    </row>
    <row r="3998" spans="1:5" ht="14.85" customHeight="1" x14ac:dyDescent="0.25">
      <c r="A3998" s="101" t="s">
        <v>1159</v>
      </c>
      <c r="B3998" s="102" t="s">
        <v>8910</v>
      </c>
      <c r="C3998" s="101" t="s">
        <v>8911</v>
      </c>
      <c r="D3998" s="101" t="s">
        <v>8912</v>
      </c>
      <c r="E3998" s="79" t="str">
        <f t="shared" si="0"/>
        <v>The person responsible for receiving Advanced Opportunity Program communication</v>
      </c>
    </row>
    <row r="3999" spans="1:5" ht="14.85" customHeight="1" x14ac:dyDescent="0.25">
      <c r="A3999" s="101" t="s">
        <v>1159</v>
      </c>
      <c r="B3999" s="102" t="s">
        <v>8913</v>
      </c>
      <c r="C3999" s="101" t="s">
        <v>8914</v>
      </c>
      <c r="D3999" s="101" t="s">
        <v>8915</v>
      </c>
      <c r="E3999" s="79" t="str">
        <f t="shared" si="0"/>
        <v>The person responsible for receiving Advanced Placement (AP) Program communication</v>
      </c>
    </row>
    <row r="4000" spans="1:5" ht="14.85" customHeight="1" x14ac:dyDescent="0.25">
      <c r="A4000" s="101" t="s">
        <v>1159</v>
      </c>
      <c r="B4000" s="102" t="s">
        <v>8916</v>
      </c>
      <c r="C4000" s="101" t="s">
        <v>8917</v>
      </c>
      <c r="D4000" s="101" t="s">
        <v>8917</v>
      </c>
      <c r="E4000" s="79" t="str">
        <f t="shared" si="0"/>
        <v>The person responsible for receiving Assistant Principal communication</v>
      </c>
    </row>
    <row r="4001" spans="1:5" ht="14.85" customHeight="1" x14ac:dyDescent="0.25">
      <c r="A4001" s="101" t="s">
        <v>1159</v>
      </c>
      <c r="B4001" s="102" t="s">
        <v>8918</v>
      </c>
      <c r="C4001" s="101" t="s">
        <v>8919</v>
      </c>
      <c r="D4001" s="101" t="s">
        <v>8920</v>
      </c>
      <c r="E4001" s="79" t="str">
        <f t="shared" si="0"/>
        <v>The person responsible for receiving Title I-A Improving Basic Programs communication</v>
      </c>
    </row>
    <row r="4002" spans="1:5" ht="14.85" customHeight="1" x14ac:dyDescent="0.25">
      <c r="A4002" s="101" t="s">
        <v>1159</v>
      </c>
      <c r="B4002" s="102" t="s">
        <v>8921</v>
      </c>
      <c r="C4002" s="101" t="s">
        <v>8922</v>
      </c>
      <c r="D4002" s="101" t="s">
        <v>8922</v>
      </c>
      <c r="E4002" s="79" t="str">
        <f t="shared" si="0"/>
        <v>The person responsible for receiving Business Manager communication</v>
      </c>
    </row>
    <row r="4003" spans="1:5" ht="14.85" customHeight="1" x14ac:dyDescent="0.25">
      <c r="A4003" s="101" t="s">
        <v>1159</v>
      </c>
      <c r="B4003" s="102" t="s">
        <v>8923</v>
      </c>
      <c r="C4003" s="101" t="s">
        <v>8924</v>
      </c>
      <c r="D4003" s="101" t="s">
        <v>8925</v>
      </c>
      <c r="E4003" s="79" t="str">
        <f t="shared" si="0"/>
        <v>The person responsible for receiving College Entrance Exam communication</v>
      </c>
    </row>
    <row r="4004" spans="1:5" ht="14.85" customHeight="1" x14ac:dyDescent="0.25">
      <c r="A4004" s="101" t="s">
        <v>1159</v>
      </c>
      <c r="B4004" s="102" t="s">
        <v>8926</v>
      </c>
      <c r="C4004" s="101" t="s">
        <v>8927</v>
      </c>
      <c r="D4004" s="101" t="s">
        <v>8928</v>
      </c>
      <c r="E4004" s="79" t="str">
        <f t="shared" si="0"/>
        <v>The person responsible for receiving Consolidated Grants communication</v>
      </c>
    </row>
    <row r="4005" spans="1:5" ht="14.85" customHeight="1" x14ac:dyDescent="0.25">
      <c r="A4005" s="101" t="s">
        <v>1159</v>
      </c>
      <c r="B4005" s="102" t="s">
        <v>8929</v>
      </c>
      <c r="C4005" s="101" t="s">
        <v>8930</v>
      </c>
      <c r="D4005" s="101" t="s">
        <v>8931</v>
      </c>
      <c r="E4005" s="79" t="str">
        <f t="shared" si="0"/>
        <v>The person responsible for receiving 21st Century Community Learning Program communication</v>
      </c>
    </row>
    <row r="4006" spans="1:5" ht="14.85" customHeight="1" x14ac:dyDescent="0.25">
      <c r="A4006" s="101" t="s">
        <v>1159</v>
      </c>
      <c r="B4006" s="102" t="s">
        <v>8932</v>
      </c>
      <c r="C4006" s="101" t="s">
        <v>8933</v>
      </c>
      <c r="D4006" s="101" t="s">
        <v>8933</v>
      </c>
      <c r="E4006" s="79" t="str">
        <f t="shared" si="0"/>
        <v>The person responsible for receiving Clerk of the Board communication</v>
      </c>
    </row>
    <row r="4007" spans="1:5" ht="14.85" customHeight="1" x14ac:dyDescent="0.25">
      <c r="A4007" s="101" t="s">
        <v>1159</v>
      </c>
      <c r="B4007" s="102" t="s">
        <v>8934</v>
      </c>
      <c r="C4007" s="101" t="s">
        <v>8935</v>
      </c>
      <c r="D4007" s="101" t="s">
        <v>8935</v>
      </c>
      <c r="E4007" s="79" t="str">
        <f t="shared" si="0"/>
        <v>The person responsible for receiving Charter School Administrator communication</v>
      </c>
    </row>
    <row r="4008" spans="1:5" ht="14.85" customHeight="1" x14ac:dyDescent="0.25">
      <c r="A4008" s="101" t="s">
        <v>1159</v>
      </c>
      <c r="B4008" s="102" t="s">
        <v>8936</v>
      </c>
      <c r="C4008" s="101" t="s">
        <v>8937</v>
      </c>
      <c r="D4008" s="101" t="s">
        <v>8938</v>
      </c>
      <c r="E4008" s="79" t="str">
        <f t="shared" si="0"/>
        <v>The person responsible for receiving Computer Technology communication</v>
      </c>
    </row>
    <row r="4009" spans="1:5" ht="14.85" customHeight="1" x14ac:dyDescent="0.25">
      <c r="A4009" s="101" t="s">
        <v>1159</v>
      </c>
      <c r="B4009" s="102" t="s">
        <v>8939</v>
      </c>
      <c r="C4009" s="101" t="s">
        <v>8940</v>
      </c>
      <c r="D4009" s="101" t="s">
        <v>8941</v>
      </c>
      <c r="E4009" s="79" t="str">
        <f t="shared" si="0"/>
        <v>The person responsible for receiving Career and Technical Education  communication</v>
      </c>
    </row>
    <row r="4010" spans="1:5" ht="14.85" customHeight="1" x14ac:dyDescent="0.25">
      <c r="A4010" s="101" t="s">
        <v>1159</v>
      </c>
      <c r="B4010" s="102" t="s">
        <v>8942</v>
      </c>
      <c r="C4010" s="101" t="s">
        <v>8943</v>
      </c>
      <c r="D4010" s="101" t="s">
        <v>8944</v>
      </c>
      <c r="E4010" s="79" t="str">
        <f t="shared" si="0"/>
        <v>The person responsible for receiving Curriculum/Instruction  communication</v>
      </c>
    </row>
    <row r="4011" spans="1:5" ht="14.85" customHeight="1" x14ac:dyDescent="0.25">
      <c r="A4011" s="101" t="s">
        <v>1159</v>
      </c>
      <c r="B4011" s="102" t="s">
        <v>8945</v>
      </c>
      <c r="C4011" s="101" t="s">
        <v>8946</v>
      </c>
      <c r="D4011" s="101" t="s">
        <v>8947</v>
      </c>
      <c r="E4011" s="79" t="str">
        <f t="shared" si="0"/>
        <v>The person responsible for receiving Drivers Education communication</v>
      </c>
    </row>
    <row r="4012" spans="1:5" ht="14.85" customHeight="1" x14ac:dyDescent="0.25">
      <c r="A4012" s="101" t="s">
        <v>1159</v>
      </c>
      <c r="B4012" s="102" t="s">
        <v>8948</v>
      </c>
      <c r="C4012" s="101" t="s">
        <v>8949</v>
      </c>
      <c r="D4012" s="101" t="s">
        <v>8950</v>
      </c>
      <c r="E4012" s="79" t="str">
        <f t="shared" si="0"/>
        <v>The person responsible for receiving District Testing communication</v>
      </c>
    </row>
    <row r="4013" spans="1:5" ht="14.85" customHeight="1" x14ac:dyDescent="0.25">
      <c r="A4013" s="101" t="s">
        <v>1159</v>
      </c>
      <c r="B4013" s="102" t="s">
        <v>8951</v>
      </c>
      <c r="C4013" s="101" t="s">
        <v>8952</v>
      </c>
      <c r="D4013" s="101" t="s">
        <v>8952</v>
      </c>
      <c r="E4013" s="79" t="str">
        <f t="shared" si="0"/>
        <v>The person responsible for receiving E-Rate/Broadband Coordinator communication</v>
      </c>
    </row>
    <row r="4014" spans="1:5" ht="14.85" customHeight="1" x14ac:dyDescent="0.25">
      <c r="A4014" s="101" t="s">
        <v>1159</v>
      </c>
      <c r="B4014" s="102" t="s">
        <v>8953</v>
      </c>
      <c r="C4014" s="101" t="s">
        <v>8954</v>
      </c>
      <c r="D4014" s="101" t="s">
        <v>8954</v>
      </c>
      <c r="E4014" s="79" t="str">
        <f t="shared" si="0"/>
        <v>The person responsible for receiving Food Service Director communication</v>
      </c>
    </row>
    <row r="4015" spans="1:5" ht="14.85" customHeight="1" x14ac:dyDescent="0.25">
      <c r="A4015" s="101" t="s">
        <v>1159</v>
      </c>
      <c r="B4015" s="102" t="s">
        <v>8955</v>
      </c>
      <c r="C4015" s="101" t="s">
        <v>8956</v>
      </c>
      <c r="D4015" s="101" t="s">
        <v>8889</v>
      </c>
      <c r="E4015" s="79" t="str">
        <f t="shared" si="0"/>
        <v>The person responsible for receiving Gifted and Talented communication</v>
      </c>
    </row>
    <row r="4016" spans="1:5" ht="14.85" customHeight="1" x14ac:dyDescent="0.25">
      <c r="A4016" s="101" t="s">
        <v>1159</v>
      </c>
      <c r="B4016" s="102" t="s">
        <v>8957</v>
      </c>
      <c r="C4016" s="101" t="s">
        <v>8958</v>
      </c>
      <c r="D4016" s="101" t="s">
        <v>8958</v>
      </c>
      <c r="E4016" s="79" t="str">
        <f t="shared" si="0"/>
        <v>The person responsible for receiving GEARUP Coordinator communication</v>
      </c>
    </row>
    <row r="4017" spans="1:5" ht="14.85" customHeight="1" x14ac:dyDescent="0.25">
      <c r="A4017" s="101" t="s">
        <v>1159</v>
      </c>
      <c r="B4017" s="102" t="s">
        <v>8959</v>
      </c>
      <c r="C4017" s="101" t="s">
        <v>8960</v>
      </c>
      <c r="D4017" s="101" t="s">
        <v>8961</v>
      </c>
      <c r="E4017" s="79" t="str">
        <f t="shared" si="0"/>
        <v>The person responsible for receiving Title IX-A  McKinney-Vento Homeless Education communication</v>
      </c>
    </row>
    <row r="4018" spans="1:5" ht="14.85" customHeight="1" x14ac:dyDescent="0.25">
      <c r="A4018" s="101" t="s">
        <v>1159</v>
      </c>
      <c r="B4018" s="102" t="s">
        <v>6909</v>
      </c>
      <c r="C4018" s="101" t="s">
        <v>8962</v>
      </c>
      <c r="D4018" s="101" t="s">
        <v>8962</v>
      </c>
      <c r="E4018" s="79" t="str">
        <f t="shared" si="0"/>
        <v>The person responsible for receiving Human Resources/Personnel communication</v>
      </c>
    </row>
    <row r="4019" spans="1:5" ht="14.85" customHeight="1" x14ac:dyDescent="0.25">
      <c r="A4019" s="101" t="s">
        <v>1159</v>
      </c>
      <c r="B4019" s="102" t="s">
        <v>8963</v>
      </c>
      <c r="C4019" s="101" t="s">
        <v>8964</v>
      </c>
      <c r="D4019" s="101" t="s">
        <v>8965</v>
      </c>
      <c r="E4019" s="79" t="str">
        <f t="shared" si="0"/>
        <v>The person responsible for receiving English Language Proficiency Assessment communication</v>
      </c>
    </row>
    <row r="4020" spans="1:5" ht="14.85" customHeight="1" x14ac:dyDescent="0.25">
      <c r="A4020" s="101" t="s">
        <v>1159</v>
      </c>
      <c r="B4020" s="102" t="s">
        <v>8966</v>
      </c>
      <c r="C4020" s="101" t="s">
        <v>8967</v>
      </c>
      <c r="D4020" s="101" t="s">
        <v>8967</v>
      </c>
      <c r="E4020" s="79" t="str">
        <f t="shared" si="0"/>
        <v>The person responsible for receiving Idaho Reading Indicator communication</v>
      </c>
    </row>
    <row r="4021" spans="1:5" ht="14.85" customHeight="1" x14ac:dyDescent="0.25">
      <c r="A4021" s="101" t="s">
        <v>1159</v>
      </c>
      <c r="B4021" s="102" t="s">
        <v>8968</v>
      </c>
      <c r="C4021" s="101" t="s">
        <v>8969</v>
      </c>
      <c r="D4021" s="101" t="s">
        <v>8969</v>
      </c>
      <c r="E4021" s="79" t="str">
        <f t="shared" si="0"/>
        <v>The person responsible for receiving Idaho Standards Achievement Test communication</v>
      </c>
    </row>
    <row r="4022" spans="1:5" ht="14.85" customHeight="1" x14ac:dyDescent="0.25">
      <c r="A4022" s="101" t="s">
        <v>1159</v>
      </c>
      <c r="B4022" s="102" t="s">
        <v>8970</v>
      </c>
      <c r="C4022" s="101" t="s">
        <v>8971</v>
      </c>
      <c r="D4022" s="101" t="s">
        <v>8972</v>
      </c>
      <c r="E4022" s="79" t="str">
        <f t="shared" si="0"/>
        <v>The person responsible for receiving ISEE Data Reporting communication</v>
      </c>
    </row>
    <row r="4023" spans="1:5" ht="14.85" customHeight="1" x14ac:dyDescent="0.25">
      <c r="A4023" s="101" t="s">
        <v>1159</v>
      </c>
      <c r="B4023" s="102" t="s">
        <v>8973</v>
      </c>
      <c r="C4023" s="101" t="s">
        <v>8974</v>
      </c>
      <c r="D4023" s="101" t="s">
        <v>8974</v>
      </c>
      <c r="E4023" s="79" t="str">
        <f t="shared" si="0"/>
        <v>The person responsible for receiving State EL &amp; Title III Language Instruction for English Learners communication</v>
      </c>
    </row>
    <row r="4024" spans="1:5" ht="14.85" customHeight="1" x14ac:dyDescent="0.25">
      <c r="A4024" s="101" t="s">
        <v>1159</v>
      </c>
      <c r="B4024" s="102" t="s">
        <v>8975</v>
      </c>
      <c r="C4024" s="101" t="s">
        <v>8976</v>
      </c>
      <c r="D4024" s="101" t="s">
        <v>8976</v>
      </c>
      <c r="E4024" s="79" t="str">
        <f t="shared" si="0"/>
        <v>The person responsible for receiving Mathematics Coordinator communication</v>
      </c>
    </row>
    <row r="4025" spans="1:5" ht="14.85" customHeight="1" x14ac:dyDescent="0.25">
      <c r="A4025" s="101" t="s">
        <v>1159</v>
      </c>
      <c r="B4025" s="102" t="s">
        <v>8977</v>
      </c>
      <c r="C4025" s="101" t="s">
        <v>8978</v>
      </c>
      <c r="D4025" s="101" t="s">
        <v>8979</v>
      </c>
      <c r="E4025" s="79" t="str">
        <f t="shared" si="0"/>
        <v>The person responsible for receiving Title I-C Migrant Education communication</v>
      </c>
    </row>
    <row r="4026" spans="1:5" ht="14.85" customHeight="1" x14ac:dyDescent="0.25">
      <c r="A4026" s="101" t="s">
        <v>1159</v>
      </c>
      <c r="B4026" s="102" t="s">
        <v>8980</v>
      </c>
      <c r="C4026" s="101" t="s">
        <v>8981</v>
      </c>
      <c r="D4026" s="101" t="s">
        <v>8981</v>
      </c>
      <c r="E4026" s="79" t="str">
        <f t="shared" si="0"/>
        <v>The person responsible for receiving Title I-C Migrant Education Family Liaison/Recruiter communication</v>
      </c>
    </row>
    <row r="4027" spans="1:5" ht="14.85" customHeight="1" x14ac:dyDescent="0.25">
      <c r="A4027" s="101" t="s">
        <v>1159</v>
      </c>
      <c r="B4027" s="102" t="s">
        <v>8982</v>
      </c>
      <c r="C4027" s="101" t="s">
        <v>8983</v>
      </c>
      <c r="D4027" s="101" t="s">
        <v>8984</v>
      </c>
      <c r="E4027" s="79" t="str">
        <f t="shared" si="0"/>
        <v>The person responsible for receiving Title I-C Migrant Education Graduation communication</v>
      </c>
    </row>
    <row r="4028" spans="1:5" ht="14.85" customHeight="1" x14ac:dyDescent="0.25">
      <c r="A4028" s="101" t="s">
        <v>1159</v>
      </c>
      <c r="B4028" s="102" t="s">
        <v>8985</v>
      </c>
      <c r="C4028" s="101" t="s">
        <v>8986</v>
      </c>
      <c r="D4028" s="101" t="s">
        <v>8987</v>
      </c>
      <c r="E4028" s="79" t="str">
        <f t="shared" si="0"/>
        <v>The person responsible for receiving Title IX-A  McKinney-Vento communication</v>
      </c>
    </row>
    <row r="4029" spans="1:5" ht="14.85" customHeight="1" x14ac:dyDescent="0.25">
      <c r="A4029" s="101" t="s">
        <v>1159</v>
      </c>
      <c r="B4029" s="102" t="s">
        <v>8988</v>
      </c>
      <c r="C4029" s="101" t="s">
        <v>8989</v>
      </c>
      <c r="D4029" s="101" t="s">
        <v>8990</v>
      </c>
      <c r="E4029" s="79" t="str">
        <f t="shared" ref="E4029:E4049" si="1">"The person responsible for receiving "&amp; D4029 &amp; " communication"</f>
        <v>The person responsible for receiving National Assessment of Educational Progress communication</v>
      </c>
    </row>
    <row r="4030" spans="1:5" ht="14.85" customHeight="1" x14ac:dyDescent="0.25">
      <c r="A4030" s="101" t="s">
        <v>1159</v>
      </c>
      <c r="B4030" s="102" t="s">
        <v>8991</v>
      </c>
      <c r="C4030" s="101" t="s">
        <v>8992</v>
      </c>
      <c r="D4030" s="101" t="s">
        <v>8993</v>
      </c>
      <c r="E4030" s="79" t="str">
        <f t="shared" si="1"/>
        <v>The person responsible for receiving Title I-D Neglected/Delinquent Education communication</v>
      </c>
    </row>
    <row r="4031" spans="1:5" ht="14.85" customHeight="1" x14ac:dyDescent="0.25">
      <c r="A4031" s="101" t="s">
        <v>1159</v>
      </c>
      <c r="B4031" s="102" t="s">
        <v>8994</v>
      </c>
      <c r="C4031" s="101" t="s">
        <v>8995</v>
      </c>
      <c r="D4031" s="101" t="s">
        <v>8996</v>
      </c>
      <c r="E4031" s="79" t="str">
        <f t="shared" si="1"/>
        <v>The person responsible for receiving Title IX communication</v>
      </c>
    </row>
    <row r="4032" spans="1:5" ht="14.85" customHeight="1" x14ac:dyDescent="0.25">
      <c r="A4032" s="101" t="s">
        <v>1159</v>
      </c>
      <c r="B4032" s="102" t="s">
        <v>7053</v>
      </c>
      <c r="C4032" s="101" t="s">
        <v>8997</v>
      </c>
      <c r="D4032" s="101" t="s">
        <v>8998</v>
      </c>
      <c r="E4032" s="79" t="str">
        <f t="shared" si="1"/>
        <v>The person responsible for receiving Operations and Maintenance communication</v>
      </c>
    </row>
    <row r="4033" spans="1:5" ht="14.85" customHeight="1" x14ac:dyDescent="0.25">
      <c r="A4033" s="101" t="s">
        <v>1159</v>
      </c>
      <c r="B4033" s="102" t="s">
        <v>8999</v>
      </c>
      <c r="C4033" s="101" t="s">
        <v>7250</v>
      </c>
      <c r="D4033" s="101" t="s">
        <v>7250</v>
      </c>
      <c r="E4033" s="79" t="str">
        <f t="shared" si="1"/>
        <v>The person responsible for receiving Other communication</v>
      </c>
    </row>
    <row r="4034" spans="1:5" ht="14.85" customHeight="1" x14ac:dyDescent="0.25">
      <c r="A4034" s="101" t="s">
        <v>1159</v>
      </c>
      <c r="B4034" s="102" t="s">
        <v>9000</v>
      </c>
      <c r="C4034" s="101" t="s">
        <v>9001</v>
      </c>
      <c r="D4034" s="101" t="s">
        <v>9002</v>
      </c>
      <c r="E4034" s="79" t="str">
        <f t="shared" si="1"/>
        <v>The person responsible for receiving Public Information/Community Relations communication</v>
      </c>
    </row>
    <row r="4035" spans="1:5" ht="14.85" customHeight="1" x14ac:dyDescent="0.25">
      <c r="A4035" s="101" t="s">
        <v>1159</v>
      </c>
      <c r="B4035" s="102" t="s">
        <v>9003</v>
      </c>
      <c r="C4035" s="101" t="s">
        <v>9004</v>
      </c>
      <c r="D4035" s="101" t="s">
        <v>9004</v>
      </c>
      <c r="E4035" s="79" t="str">
        <f t="shared" si="1"/>
        <v>The person responsible for receiving Principal communication</v>
      </c>
    </row>
    <row r="4036" spans="1:5" ht="14.85" customHeight="1" x14ac:dyDescent="0.25">
      <c r="A4036" s="101" t="s">
        <v>1159</v>
      </c>
      <c r="B4036" s="102" t="s">
        <v>9005</v>
      </c>
      <c r="C4036" s="101" t="s">
        <v>9006</v>
      </c>
      <c r="D4036" s="101" t="s">
        <v>9007</v>
      </c>
      <c r="E4036" s="79" t="str">
        <f t="shared" si="1"/>
        <v>The person responsible for receiving Title V-B Rural Education Program communication</v>
      </c>
    </row>
    <row r="4037" spans="1:5" ht="14.85" customHeight="1" x14ac:dyDescent="0.25">
      <c r="A4037" s="101" t="s">
        <v>1159</v>
      </c>
      <c r="B4037" s="102" t="s">
        <v>9008</v>
      </c>
      <c r="C4037" s="101" t="s">
        <v>9009</v>
      </c>
      <c r="D4037" s="101" t="s">
        <v>9010</v>
      </c>
      <c r="E4037" s="79" t="str">
        <f t="shared" si="1"/>
        <v>The person responsible for receiving Response to Intervention communication</v>
      </c>
    </row>
    <row r="4038" spans="1:5" ht="14.85" customHeight="1" x14ac:dyDescent="0.25">
      <c r="A4038" s="101" t="s">
        <v>1159</v>
      </c>
      <c r="B4038" s="102" t="s">
        <v>9011</v>
      </c>
      <c r="C4038" s="101" t="s">
        <v>9012</v>
      </c>
      <c r="D4038" s="101" t="s">
        <v>9013</v>
      </c>
      <c r="E4038" s="79" t="str">
        <f t="shared" si="1"/>
        <v>The person responsible for receiving Scholarships communication</v>
      </c>
    </row>
    <row r="4039" spans="1:5" ht="14.85" customHeight="1" x14ac:dyDescent="0.25">
      <c r="A4039" s="101" t="s">
        <v>1159</v>
      </c>
      <c r="B4039" s="102" t="s">
        <v>9014</v>
      </c>
      <c r="C4039" s="101" t="s">
        <v>9015</v>
      </c>
      <c r="D4039" s="101" t="s">
        <v>9015</v>
      </c>
      <c r="E4039" s="79" t="str">
        <f t="shared" si="1"/>
        <v>The person responsible for receiving School Counselor communication</v>
      </c>
    </row>
    <row r="4040" spans="1:5" ht="14.85" customHeight="1" x14ac:dyDescent="0.25">
      <c r="A4040" s="101" t="s">
        <v>1159</v>
      </c>
      <c r="B4040" s="102" t="s">
        <v>9016</v>
      </c>
      <c r="C4040" s="101" t="s">
        <v>9017</v>
      </c>
      <c r="D4040" s="101" t="s">
        <v>9018</v>
      </c>
      <c r="E4040" s="79" t="str">
        <f t="shared" si="1"/>
        <v>The person responsible for receiving Special Education  communication</v>
      </c>
    </row>
    <row r="4041" spans="1:5" ht="14.85" customHeight="1" x14ac:dyDescent="0.25">
      <c r="A4041" s="101" t="s">
        <v>1159</v>
      </c>
      <c r="B4041" s="102" t="s">
        <v>9019</v>
      </c>
      <c r="C4041" s="101" t="s">
        <v>9020</v>
      </c>
      <c r="D4041" s="101" t="s">
        <v>9021</v>
      </c>
      <c r="E4041" s="79" t="str">
        <f t="shared" si="1"/>
        <v>The person responsible for receiving Safe &amp; Drug Free Schools communication</v>
      </c>
    </row>
    <row r="4042" spans="1:5" ht="14.85" customHeight="1" x14ac:dyDescent="0.25">
      <c r="A4042" s="101" t="s">
        <v>1159</v>
      </c>
      <c r="B4042" s="102" t="s">
        <v>9022</v>
      </c>
      <c r="C4042" s="101" t="s">
        <v>9023</v>
      </c>
      <c r="D4042" s="101" t="s">
        <v>9023</v>
      </c>
      <c r="E4042" s="79" t="str">
        <f t="shared" si="1"/>
        <v>The person responsible for receiving School Nurse communication</v>
      </c>
    </row>
    <row r="4043" spans="1:5" ht="14.85" customHeight="1" x14ac:dyDescent="0.25">
      <c r="A4043" s="101" t="s">
        <v>1159</v>
      </c>
      <c r="B4043" s="102" t="s">
        <v>9024</v>
      </c>
      <c r="C4043" s="101" t="s">
        <v>9025</v>
      </c>
      <c r="D4043" s="101" t="s">
        <v>9026</v>
      </c>
      <c r="E4043" s="79" t="str">
        <f t="shared" si="1"/>
        <v>The person responsible for receiving Staff Professional Development communication</v>
      </c>
    </row>
    <row r="4044" spans="1:5" ht="14.85" customHeight="1" x14ac:dyDescent="0.25">
      <c r="A4044" s="101" t="s">
        <v>1159</v>
      </c>
      <c r="B4044" s="102" t="s">
        <v>9027</v>
      </c>
      <c r="C4044" s="101" t="s">
        <v>9028</v>
      </c>
      <c r="D4044" s="101" t="s">
        <v>9029</v>
      </c>
      <c r="E4044" s="79" t="str">
        <f t="shared" si="1"/>
        <v>The person responsible for receiving Title IV-A Student Support and Academic Enrichment communication</v>
      </c>
    </row>
    <row r="4045" spans="1:5" ht="14.85" customHeight="1" x14ac:dyDescent="0.25">
      <c r="A4045" s="101" t="s">
        <v>1159</v>
      </c>
      <c r="B4045" s="102" t="s">
        <v>9030</v>
      </c>
      <c r="C4045" s="101" t="s">
        <v>9031</v>
      </c>
      <c r="D4045" s="101" t="s">
        <v>9031</v>
      </c>
      <c r="E4045" s="79" t="str">
        <f t="shared" si="1"/>
        <v>The person responsible for receiving Superintendent Deputy (Assistant) communication</v>
      </c>
    </row>
    <row r="4046" spans="1:5" ht="14.85" customHeight="1" x14ac:dyDescent="0.25">
      <c r="A4046" s="101" t="s">
        <v>1159</v>
      </c>
      <c r="B4046" s="102" t="s">
        <v>9032</v>
      </c>
      <c r="C4046" s="101" t="s">
        <v>9033</v>
      </c>
      <c r="D4046" s="101" t="s">
        <v>9033</v>
      </c>
      <c r="E4046" s="79" t="str">
        <f t="shared" si="1"/>
        <v>The person responsible for receiving Superintendent communication</v>
      </c>
    </row>
    <row r="4047" spans="1:5" ht="14.85" customHeight="1" x14ac:dyDescent="0.25">
      <c r="A4047" s="101" t="s">
        <v>1159</v>
      </c>
      <c r="B4047" s="102" t="s">
        <v>9034</v>
      </c>
      <c r="C4047" s="101" t="s">
        <v>9035</v>
      </c>
      <c r="D4047" s="101" t="s">
        <v>9036</v>
      </c>
      <c r="E4047" s="79" t="str">
        <f t="shared" si="1"/>
        <v>The person responsible for receiving Technology communication</v>
      </c>
    </row>
    <row r="4048" spans="1:5" ht="14.85" customHeight="1" x14ac:dyDescent="0.25">
      <c r="A4048" s="101" t="s">
        <v>1159</v>
      </c>
      <c r="B4048" s="102" t="s">
        <v>9037</v>
      </c>
      <c r="C4048" s="101" t="s">
        <v>9038</v>
      </c>
      <c r="D4048" s="101" t="s">
        <v>9039</v>
      </c>
      <c r="E4048" s="79" t="str">
        <f t="shared" si="1"/>
        <v>The person responsible for receiving Title II-A Supporting Effective Instruction communication</v>
      </c>
    </row>
    <row r="4049" spans="1:5" ht="14.85" customHeight="1" x14ac:dyDescent="0.25">
      <c r="A4049" s="101" t="s">
        <v>1159</v>
      </c>
      <c r="B4049" s="102" t="s">
        <v>9040</v>
      </c>
      <c r="C4049" s="101" t="s">
        <v>9041</v>
      </c>
      <c r="D4049" s="101" t="s">
        <v>318</v>
      </c>
      <c r="E4049" s="79" t="str">
        <f t="shared" si="1"/>
        <v>The person responsible for receiving Transportation communication</v>
      </c>
    </row>
    <row r="4050" spans="1:5" ht="14.85" customHeight="1" x14ac:dyDescent="0.25">
      <c r="A4050" s="101" t="s">
        <v>575</v>
      </c>
      <c r="B4050" s="102" t="s">
        <v>7336</v>
      </c>
      <c r="C4050" s="101" t="s">
        <v>7414</v>
      </c>
      <c r="D4050" s="101" t="s">
        <v>9042</v>
      </c>
      <c r="E4050" s="79" t="s">
        <v>9043</v>
      </c>
    </row>
    <row r="4051" spans="1:5" ht="14.85" customHeight="1" x14ac:dyDescent="0.25">
      <c r="A4051" s="101" t="s">
        <v>575</v>
      </c>
      <c r="B4051" s="102" t="s">
        <v>7339</v>
      </c>
      <c r="C4051" s="101" t="s">
        <v>7418</v>
      </c>
      <c r="D4051" s="101" t="s">
        <v>9044</v>
      </c>
      <c r="E4051" s="79" t="s">
        <v>9045</v>
      </c>
    </row>
    <row r="4052" spans="1:5" ht="14.85" customHeight="1" x14ac:dyDescent="0.25">
      <c r="A4052" s="101" t="s">
        <v>575</v>
      </c>
      <c r="B4052" s="102" t="s">
        <v>7342</v>
      </c>
      <c r="C4052" s="101" t="s">
        <v>7399</v>
      </c>
      <c r="D4052" s="101" t="s">
        <v>9046</v>
      </c>
      <c r="E4052" s="79" t="s">
        <v>9047</v>
      </c>
    </row>
    <row r="4053" spans="1:5" ht="14.85" customHeight="1" x14ac:dyDescent="0.25">
      <c r="A4053" s="101" t="s">
        <v>575</v>
      </c>
      <c r="B4053" s="102" t="s">
        <v>7345</v>
      </c>
      <c r="C4053" s="101" t="s">
        <v>7739</v>
      </c>
      <c r="D4053" s="101" t="s">
        <v>9048</v>
      </c>
      <c r="E4053" s="79" t="s">
        <v>9049</v>
      </c>
    </row>
    <row r="4054" spans="1:5" ht="14.85" customHeight="1" x14ac:dyDescent="0.25">
      <c r="A4054" s="101" t="s">
        <v>575</v>
      </c>
      <c r="B4054" s="102" t="s">
        <v>7348</v>
      </c>
      <c r="C4054" s="101" t="s">
        <v>7741</v>
      </c>
      <c r="D4054" s="101" t="s">
        <v>9050</v>
      </c>
      <c r="E4054" s="79" t="s">
        <v>9051</v>
      </c>
    </row>
    <row r="4055" spans="1:5" ht="14.85" customHeight="1" x14ac:dyDescent="0.25">
      <c r="A4055" s="101" t="s">
        <v>575</v>
      </c>
      <c r="B4055" s="102" t="s">
        <v>7351</v>
      </c>
      <c r="C4055" s="101" t="s">
        <v>9052</v>
      </c>
      <c r="D4055" s="101" t="s">
        <v>9053</v>
      </c>
      <c r="E4055" s="79" t="s">
        <v>9054</v>
      </c>
    </row>
    <row r="4056" spans="1:5" ht="14.85" customHeight="1" x14ac:dyDescent="0.25">
      <c r="A4056" s="101" t="s">
        <v>575</v>
      </c>
      <c r="B4056" s="102" t="s">
        <v>7354</v>
      </c>
      <c r="C4056" s="101" t="s">
        <v>7448</v>
      </c>
      <c r="D4056" s="101" t="s">
        <v>9055</v>
      </c>
      <c r="E4056" s="79" t="s">
        <v>9056</v>
      </c>
    </row>
    <row r="4057" spans="1:5" ht="14.85" customHeight="1" x14ac:dyDescent="0.25">
      <c r="A4057" s="101" t="s">
        <v>575</v>
      </c>
      <c r="B4057" s="102" t="s">
        <v>7713</v>
      </c>
      <c r="C4057" s="101" t="s">
        <v>9057</v>
      </c>
      <c r="D4057" s="101" t="s">
        <v>9058</v>
      </c>
      <c r="E4057" s="79" t="s">
        <v>9059</v>
      </c>
    </row>
    <row r="4058" spans="1:5" ht="14.85" customHeight="1" x14ac:dyDescent="0.25">
      <c r="A4058" s="101" t="s">
        <v>575</v>
      </c>
      <c r="B4058" s="102" t="s">
        <v>136</v>
      </c>
      <c r="C4058" s="101" t="s">
        <v>9060</v>
      </c>
      <c r="D4058" s="101" t="s">
        <v>9061</v>
      </c>
      <c r="E4058" s="79" t="s">
        <v>9062</v>
      </c>
    </row>
    <row r="4059" spans="1:5" ht="14.85" customHeight="1" x14ac:dyDescent="0.25">
      <c r="A4059" s="101" t="s">
        <v>575</v>
      </c>
      <c r="B4059" s="102" t="s">
        <v>146</v>
      </c>
      <c r="C4059" s="101" t="s">
        <v>7746</v>
      </c>
      <c r="D4059" s="101" t="s">
        <v>9063</v>
      </c>
      <c r="E4059" s="79" t="s">
        <v>9064</v>
      </c>
    </row>
    <row r="4060" spans="1:5" ht="14.85" customHeight="1" x14ac:dyDescent="0.25">
      <c r="A4060" s="101" t="s">
        <v>566</v>
      </c>
      <c r="B4060" s="102" t="s">
        <v>1481</v>
      </c>
      <c r="C4060" s="101" t="s">
        <v>7285</v>
      </c>
      <c r="D4060" s="101" t="s">
        <v>9065</v>
      </c>
      <c r="E4060" s="79" t="s">
        <v>9066</v>
      </c>
    </row>
    <row r="4061" spans="1:5" ht="14.85" customHeight="1" x14ac:dyDescent="0.25">
      <c r="A4061" s="101" t="s">
        <v>566</v>
      </c>
      <c r="B4061" s="102" t="s">
        <v>1473</v>
      </c>
      <c r="C4061" s="101" t="s">
        <v>7287</v>
      </c>
      <c r="D4061" s="101" t="s">
        <v>9067</v>
      </c>
      <c r="E4061" s="79" t="s">
        <v>9068</v>
      </c>
    </row>
    <row r="4062" spans="1:5" ht="14.85" customHeight="1" x14ac:dyDescent="0.25">
      <c r="A4062" s="101" t="s">
        <v>566</v>
      </c>
      <c r="B4062" s="102" t="s">
        <v>7289</v>
      </c>
      <c r="C4062" s="101" t="s">
        <v>9069</v>
      </c>
      <c r="D4062" s="101" t="s">
        <v>9070</v>
      </c>
      <c r="E4062" s="79" t="s">
        <v>9071</v>
      </c>
    </row>
    <row r="4063" spans="1:5" ht="14.85" customHeight="1" x14ac:dyDescent="0.25">
      <c r="A4063" s="101" t="s">
        <v>1213</v>
      </c>
      <c r="B4063" s="102" t="s">
        <v>9072</v>
      </c>
      <c r="C4063" s="101" t="s">
        <v>9073</v>
      </c>
      <c r="D4063" s="101"/>
      <c r="E4063" s="79"/>
    </row>
    <row r="4064" spans="1:5" ht="14.85" customHeight="1" x14ac:dyDescent="0.25">
      <c r="A4064" s="101" t="s">
        <v>1213</v>
      </c>
      <c r="B4064" s="102" t="s">
        <v>7230</v>
      </c>
      <c r="C4064" s="101" t="s">
        <v>9074</v>
      </c>
      <c r="D4064" s="101"/>
      <c r="E4064" s="79"/>
    </row>
    <row r="4065" spans="1:5" ht="14.85" customHeight="1" x14ac:dyDescent="0.25">
      <c r="A4065" s="101" t="s">
        <v>1213</v>
      </c>
      <c r="B4065" s="102" t="s">
        <v>9075</v>
      </c>
      <c r="C4065" s="101" t="s">
        <v>9076</v>
      </c>
      <c r="D4065" s="101"/>
      <c r="E4065" s="79"/>
    </row>
    <row r="4066" spans="1:5" ht="14.85" customHeight="1" x14ac:dyDescent="0.25">
      <c r="A4066" s="101" t="s">
        <v>550</v>
      </c>
      <c r="B4066" s="102" t="s">
        <v>9077</v>
      </c>
      <c r="C4066" s="101" t="s">
        <v>9078</v>
      </c>
      <c r="D4066" s="101" t="s">
        <v>9079</v>
      </c>
      <c r="E4066" s="79" t="s">
        <v>9080</v>
      </c>
    </row>
    <row r="4067" spans="1:5" ht="14.85" customHeight="1" x14ac:dyDescent="0.25">
      <c r="A4067" s="101" t="s">
        <v>550</v>
      </c>
      <c r="B4067" s="102" t="s">
        <v>7084</v>
      </c>
      <c r="C4067" s="101" t="s">
        <v>9081</v>
      </c>
      <c r="D4067" s="101" t="s">
        <v>9082</v>
      </c>
      <c r="E4067" s="79"/>
    </row>
    <row r="4068" spans="1:5" ht="14.85" customHeight="1" x14ac:dyDescent="0.25">
      <c r="A4068" s="101" t="s">
        <v>550</v>
      </c>
      <c r="B4068" s="102" t="s">
        <v>7098</v>
      </c>
      <c r="C4068" s="101" t="s">
        <v>9083</v>
      </c>
      <c r="D4068" s="101" t="s">
        <v>9084</v>
      </c>
      <c r="E4068" s="79" t="s">
        <v>7252</v>
      </c>
    </row>
    <row r="4069" spans="1:5" ht="14.85" customHeight="1" x14ac:dyDescent="0.25">
      <c r="A4069" s="101" t="s">
        <v>550</v>
      </c>
      <c r="B4069" s="102" t="s">
        <v>7100</v>
      </c>
      <c r="C4069" s="101" t="s">
        <v>554</v>
      </c>
      <c r="D4069" s="101" t="s">
        <v>13345</v>
      </c>
      <c r="E4069" s="79" t="s">
        <v>13344</v>
      </c>
    </row>
    <row r="4070" spans="1:5" ht="14.85" customHeight="1" x14ac:dyDescent="0.25">
      <c r="A4070" s="101" t="s">
        <v>550</v>
      </c>
      <c r="B4070" s="102" t="s">
        <v>7114</v>
      </c>
      <c r="C4070" s="101" t="s">
        <v>9085</v>
      </c>
      <c r="D4070" s="101" t="s">
        <v>9086</v>
      </c>
      <c r="E4070" s="79"/>
    </row>
    <row r="4071" spans="1:5" ht="14.85" customHeight="1" x14ac:dyDescent="0.25">
      <c r="A4071" s="101" t="s">
        <v>550</v>
      </c>
      <c r="B4071" s="102" t="s">
        <v>6712</v>
      </c>
      <c r="C4071" s="101" t="s">
        <v>9087</v>
      </c>
      <c r="D4071" s="101" t="s">
        <v>9088</v>
      </c>
      <c r="E4071" s="79" t="s">
        <v>7252</v>
      </c>
    </row>
    <row r="4072" spans="1:5" ht="14.85" customHeight="1" x14ac:dyDescent="0.25">
      <c r="A4072" s="101" t="s">
        <v>1278</v>
      </c>
      <c r="B4072" s="102" t="s">
        <v>7457</v>
      </c>
      <c r="C4072" s="101" t="s">
        <v>9089</v>
      </c>
      <c r="D4072" s="101" t="s">
        <v>9090</v>
      </c>
      <c r="E4072" s="79" t="s">
        <v>9091</v>
      </c>
    </row>
    <row r="4073" spans="1:5" ht="14.85" customHeight="1" x14ac:dyDescent="0.25">
      <c r="A4073" s="101" t="s">
        <v>1278</v>
      </c>
      <c r="B4073" s="102" t="s">
        <v>114</v>
      </c>
      <c r="C4073" s="101" t="s">
        <v>7269</v>
      </c>
      <c r="D4073" s="101" t="s">
        <v>9092</v>
      </c>
      <c r="E4073" s="79" t="s">
        <v>9093</v>
      </c>
    </row>
    <row r="4074" spans="1:5" ht="14.85" customHeight="1" x14ac:dyDescent="0.25">
      <c r="A4074" s="101" t="s">
        <v>1278</v>
      </c>
      <c r="B4074" s="102" t="s">
        <v>9094</v>
      </c>
      <c r="C4074" s="101" t="s">
        <v>9095</v>
      </c>
      <c r="D4074" s="101" t="s">
        <v>9096</v>
      </c>
      <c r="E4074" s="79" t="s">
        <v>9097</v>
      </c>
    </row>
    <row r="4075" spans="1:5" ht="14.85" customHeight="1" x14ac:dyDescent="0.25">
      <c r="A4075" s="101" t="s">
        <v>505</v>
      </c>
      <c r="B4075" s="102" t="s">
        <v>7336</v>
      </c>
      <c r="C4075" s="101" t="s">
        <v>9098</v>
      </c>
      <c r="D4075" s="101" t="s">
        <v>9099</v>
      </c>
      <c r="E4075" s="79" t="s">
        <v>9100</v>
      </c>
    </row>
    <row r="4076" spans="1:5" ht="14.85" customHeight="1" x14ac:dyDescent="0.25">
      <c r="A4076" s="101" t="s">
        <v>505</v>
      </c>
      <c r="B4076" s="102" t="s">
        <v>7339</v>
      </c>
      <c r="C4076" s="101" t="s">
        <v>9101</v>
      </c>
      <c r="D4076" s="101" t="s">
        <v>9102</v>
      </c>
      <c r="E4076" s="79" t="s">
        <v>9100</v>
      </c>
    </row>
    <row r="4077" spans="1:5" ht="14.85" customHeight="1" x14ac:dyDescent="0.25">
      <c r="A4077" s="101" t="s">
        <v>505</v>
      </c>
      <c r="B4077" s="102" t="s">
        <v>7705</v>
      </c>
      <c r="C4077" s="101" t="s">
        <v>9103</v>
      </c>
      <c r="D4077" s="101" t="s">
        <v>9104</v>
      </c>
      <c r="E4077" s="79" t="s">
        <v>9100</v>
      </c>
    </row>
    <row r="4078" spans="1:5" ht="14.85" customHeight="1" x14ac:dyDescent="0.25">
      <c r="A4078" s="101" t="s">
        <v>505</v>
      </c>
      <c r="B4078" s="102" t="s">
        <v>142</v>
      </c>
      <c r="C4078" s="101" t="s">
        <v>9105</v>
      </c>
      <c r="D4078" s="101" t="s">
        <v>9106</v>
      </c>
      <c r="E4078" s="79" t="s">
        <v>9100</v>
      </c>
    </row>
    <row r="4079" spans="1:5" ht="14.85" customHeight="1" x14ac:dyDescent="0.25">
      <c r="A4079" s="101" t="s">
        <v>505</v>
      </c>
      <c r="B4079" s="102" t="s">
        <v>146</v>
      </c>
      <c r="C4079" s="101" t="s">
        <v>9107</v>
      </c>
      <c r="D4079" s="101" t="s">
        <v>9108</v>
      </c>
      <c r="E4079" s="79" t="s">
        <v>9100</v>
      </c>
    </row>
    <row r="4080" spans="1:5" ht="14.85" customHeight="1" x14ac:dyDescent="0.25">
      <c r="A4080" s="101" t="s">
        <v>505</v>
      </c>
      <c r="B4080" s="102" t="s">
        <v>152</v>
      </c>
      <c r="C4080" s="101" t="s">
        <v>9109</v>
      </c>
      <c r="D4080" s="101" t="s">
        <v>9110</v>
      </c>
      <c r="E4080" s="79" t="s">
        <v>9100</v>
      </c>
    </row>
    <row r="4081" spans="1:5" ht="14.85" customHeight="1" x14ac:dyDescent="0.25">
      <c r="A4081" s="101" t="s">
        <v>505</v>
      </c>
      <c r="B4081" s="102" t="s">
        <v>156</v>
      </c>
      <c r="C4081" s="101" t="s">
        <v>9111</v>
      </c>
      <c r="D4081" s="101" t="s">
        <v>9112</v>
      </c>
      <c r="E4081" s="79" t="s">
        <v>9100</v>
      </c>
    </row>
    <row r="4082" spans="1:5" ht="14.85" customHeight="1" x14ac:dyDescent="0.25">
      <c r="A4082" s="101" t="s">
        <v>505</v>
      </c>
      <c r="B4082" s="102" t="s">
        <v>161</v>
      </c>
      <c r="C4082" s="101" t="s">
        <v>9113</v>
      </c>
      <c r="D4082" s="101" t="s">
        <v>9114</v>
      </c>
      <c r="E4082" s="79" t="s">
        <v>9100</v>
      </c>
    </row>
    <row r="4083" spans="1:5" ht="14.85" customHeight="1" x14ac:dyDescent="0.25">
      <c r="A4083" s="101" t="s">
        <v>505</v>
      </c>
      <c r="B4083" s="102" t="s">
        <v>218</v>
      </c>
      <c r="C4083" s="101" t="s">
        <v>9115</v>
      </c>
      <c r="D4083" s="101" t="s">
        <v>9116</v>
      </c>
      <c r="E4083" s="79" t="s">
        <v>9100</v>
      </c>
    </row>
    <row r="4084" spans="1:5" ht="14.85" customHeight="1" x14ac:dyDescent="0.25">
      <c r="A4084" s="101" t="s">
        <v>505</v>
      </c>
      <c r="B4084" s="102" t="s">
        <v>251</v>
      </c>
      <c r="C4084" s="101" t="s">
        <v>9117</v>
      </c>
      <c r="D4084" s="101" t="s">
        <v>9118</v>
      </c>
      <c r="E4084" s="79" t="s">
        <v>9100</v>
      </c>
    </row>
    <row r="4085" spans="1:5" ht="14.85" customHeight="1" x14ac:dyDescent="0.25">
      <c r="A4085" s="101" t="s">
        <v>505</v>
      </c>
      <c r="B4085" s="102" t="s">
        <v>358</v>
      </c>
      <c r="C4085" s="101" t="s">
        <v>9119</v>
      </c>
      <c r="D4085" s="101" t="s">
        <v>9120</v>
      </c>
      <c r="E4085" s="79" t="s">
        <v>9100</v>
      </c>
    </row>
    <row r="4086" spans="1:5" ht="14.85" customHeight="1" x14ac:dyDescent="0.25">
      <c r="A4086" s="101" t="s">
        <v>505</v>
      </c>
      <c r="B4086" s="102" t="s">
        <v>361</v>
      </c>
      <c r="C4086" s="101" t="s">
        <v>9121</v>
      </c>
      <c r="D4086" s="101" t="s">
        <v>9122</v>
      </c>
      <c r="E4086" s="79" t="s">
        <v>9100</v>
      </c>
    </row>
    <row r="4087" spans="1:5" ht="14.85" customHeight="1" x14ac:dyDescent="0.25">
      <c r="A4087" s="101" t="s">
        <v>505</v>
      </c>
      <c r="B4087" s="102" t="s">
        <v>365</v>
      </c>
      <c r="C4087" s="101" t="s">
        <v>9123</v>
      </c>
      <c r="D4087" s="101" t="s">
        <v>9124</v>
      </c>
      <c r="E4087" s="79" t="s">
        <v>9100</v>
      </c>
    </row>
    <row r="4088" spans="1:5" ht="14.85" customHeight="1" x14ac:dyDescent="0.25">
      <c r="A4088" s="101" t="s">
        <v>505</v>
      </c>
      <c r="B4088" s="102" t="s">
        <v>370</v>
      </c>
      <c r="C4088" s="101" t="s">
        <v>9125</v>
      </c>
      <c r="D4088" s="101" t="s">
        <v>9126</v>
      </c>
      <c r="E4088" s="79" t="s">
        <v>9127</v>
      </c>
    </row>
    <row r="4089" spans="1:5" ht="14.85" customHeight="1" x14ac:dyDescent="0.25">
      <c r="A4089" s="101" t="s">
        <v>505</v>
      </c>
      <c r="B4089" s="102" t="s">
        <v>375</v>
      </c>
      <c r="C4089" s="101" t="s">
        <v>8906</v>
      </c>
      <c r="D4089" s="101" t="s">
        <v>9128</v>
      </c>
      <c r="E4089" s="79" t="s">
        <v>9129</v>
      </c>
    </row>
    <row r="4090" spans="1:5" ht="14.85" customHeight="1" x14ac:dyDescent="0.25">
      <c r="A4090" s="101" t="s">
        <v>505</v>
      </c>
      <c r="B4090" s="102" t="s">
        <v>379</v>
      </c>
      <c r="C4090" s="101" t="s">
        <v>9130</v>
      </c>
      <c r="D4090" s="101" t="s">
        <v>9131</v>
      </c>
      <c r="E4090" s="79" t="s">
        <v>9132</v>
      </c>
    </row>
    <row r="4091" spans="1:5" ht="14.85" customHeight="1" x14ac:dyDescent="0.25">
      <c r="A4091" s="101" t="s">
        <v>505</v>
      </c>
      <c r="B4091" s="102" t="s">
        <v>383</v>
      </c>
      <c r="C4091" s="101" t="s">
        <v>9133</v>
      </c>
      <c r="D4091" s="101" t="s">
        <v>9134</v>
      </c>
      <c r="E4091" s="79" t="s">
        <v>9132</v>
      </c>
    </row>
    <row r="4092" spans="1:5" ht="14.85" customHeight="1" x14ac:dyDescent="0.25">
      <c r="A4092" s="101" t="s">
        <v>505</v>
      </c>
      <c r="B4092" s="102" t="s">
        <v>388</v>
      </c>
      <c r="C4092" s="101" t="s">
        <v>9135</v>
      </c>
      <c r="D4092" s="101" t="s">
        <v>9136</v>
      </c>
      <c r="E4092" s="79" t="s">
        <v>9132</v>
      </c>
    </row>
    <row r="4093" spans="1:5" ht="14.85" customHeight="1" x14ac:dyDescent="0.25">
      <c r="A4093" s="101" t="s">
        <v>505</v>
      </c>
      <c r="B4093" s="102" t="s">
        <v>393</v>
      </c>
      <c r="C4093" s="101" t="s">
        <v>9137</v>
      </c>
      <c r="D4093" s="101" t="s">
        <v>9138</v>
      </c>
      <c r="E4093" s="79" t="s">
        <v>9132</v>
      </c>
    </row>
    <row r="4094" spans="1:5" ht="14.85" customHeight="1" x14ac:dyDescent="0.25">
      <c r="A4094" s="101" t="s">
        <v>1027</v>
      </c>
      <c r="B4094" s="102"/>
      <c r="C4094" s="101" t="s">
        <v>7205</v>
      </c>
      <c r="D4094" s="101" t="s">
        <v>7206</v>
      </c>
      <c r="E4094" s="79"/>
    </row>
    <row r="4095" spans="1:5" ht="14.85" customHeight="1" x14ac:dyDescent="0.25">
      <c r="A4095" s="101" t="s">
        <v>1017</v>
      </c>
      <c r="B4095" s="102" t="s">
        <v>7336</v>
      </c>
      <c r="C4095" s="101" t="s">
        <v>9139</v>
      </c>
      <c r="D4095" s="101"/>
      <c r="E4095" s="79"/>
    </row>
    <row r="4096" spans="1:5" ht="14.85" customHeight="1" x14ac:dyDescent="0.25">
      <c r="A4096" s="101" t="s">
        <v>1017</v>
      </c>
      <c r="B4096" s="102" t="s">
        <v>7339</v>
      </c>
      <c r="C4096" s="101" t="s">
        <v>9140</v>
      </c>
      <c r="D4096" s="101"/>
      <c r="E4096" s="79"/>
    </row>
    <row r="4097" spans="1:5" ht="14.85" customHeight="1" x14ac:dyDescent="0.25">
      <c r="A4097" s="101" t="s">
        <v>1017</v>
      </c>
      <c r="B4097" s="102" t="s">
        <v>7705</v>
      </c>
      <c r="C4097" s="101" t="s">
        <v>9141</v>
      </c>
      <c r="D4097" s="101"/>
      <c r="E4097" s="79"/>
    </row>
    <row r="4098" spans="1:5" ht="14.85" customHeight="1" x14ac:dyDescent="0.25">
      <c r="A4098" s="101" t="s">
        <v>1017</v>
      </c>
      <c r="B4098" s="102" t="s">
        <v>7342</v>
      </c>
      <c r="C4098" s="101" t="s">
        <v>9142</v>
      </c>
      <c r="D4098" s="101"/>
      <c r="E4098" s="79"/>
    </row>
    <row r="4099" spans="1:5" ht="14.85" customHeight="1" x14ac:dyDescent="0.25">
      <c r="A4099" s="101" t="s">
        <v>1017</v>
      </c>
      <c r="B4099" s="102" t="s">
        <v>7345</v>
      </c>
      <c r="C4099" s="101" t="s">
        <v>9143</v>
      </c>
      <c r="D4099" s="101"/>
      <c r="E4099" s="79"/>
    </row>
    <row r="4100" spans="1:5" ht="14.85" customHeight="1" x14ac:dyDescent="0.25">
      <c r="A4100" s="101" t="s">
        <v>1017</v>
      </c>
      <c r="B4100" s="102" t="s">
        <v>7348</v>
      </c>
      <c r="C4100" s="101" t="s">
        <v>9144</v>
      </c>
      <c r="D4100" s="101"/>
      <c r="E4100" s="79"/>
    </row>
    <row r="4101" spans="1:5" ht="14.85" customHeight="1" x14ac:dyDescent="0.25">
      <c r="A4101" s="101" t="s">
        <v>1017</v>
      </c>
      <c r="B4101" s="102" t="s">
        <v>7351</v>
      </c>
      <c r="C4101" s="101" t="s">
        <v>9145</v>
      </c>
      <c r="D4101" s="101"/>
      <c r="E4101" s="79"/>
    </row>
    <row r="4102" spans="1:5" ht="14.85" customHeight="1" x14ac:dyDescent="0.25">
      <c r="A4102" s="101" t="s">
        <v>1017</v>
      </c>
      <c r="B4102" s="102" t="s">
        <v>7354</v>
      </c>
      <c r="C4102" s="101" t="s">
        <v>9146</v>
      </c>
      <c r="D4102" s="101"/>
      <c r="E4102" s="79"/>
    </row>
    <row r="4103" spans="1:5" ht="14.85" customHeight="1" x14ac:dyDescent="0.25">
      <c r="A4103" s="101" t="s">
        <v>1017</v>
      </c>
      <c r="B4103" s="102" t="s">
        <v>7713</v>
      </c>
      <c r="C4103" s="101" t="s">
        <v>9147</v>
      </c>
      <c r="D4103" s="101"/>
      <c r="E4103" s="79"/>
    </row>
    <row r="4104" spans="1:5" ht="14.85" customHeight="1" x14ac:dyDescent="0.25">
      <c r="A4104" s="101" t="s">
        <v>1017</v>
      </c>
      <c r="B4104" s="102" t="s">
        <v>136</v>
      </c>
      <c r="C4104" s="101" t="s">
        <v>9148</v>
      </c>
      <c r="D4104" s="101"/>
      <c r="E4104" s="79"/>
    </row>
    <row r="4105" spans="1:5" ht="14.85" customHeight="1" x14ac:dyDescent="0.25">
      <c r="A4105" s="101" t="s">
        <v>1017</v>
      </c>
      <c r="B4105" s="102" t="s">
        <v>142</v>
      </c>
      <c r="C4105" s="101" t="s">
        <v>9149</v>
      </c>
      <c r="D4105" s="101"/>
      <c r="E4105" s="79"/>
    </row>
    <row r="4106" spans="1:5" ht="14.85" customHeight="1" x14ac:dyDescent="0.25">
      <c r="A4106" s="101" t="s">
        <v>1017</v>
      </c>
      <c r="B4106" s="102" t="s">
        <v>146</v>
      </c>
      <c r="C4106" s="101" t="s">
        <v>9150</v>
      </c>
      <c r="D4106" s="101"/>
      <c r="E4106" s="79"/>
    </row>
    <row r="4107" spans="1:5" ht="14.85" customHeight="1" x14ac:dyDescent="0.25">
      <c r="A4107" s="101" t="s">
        <v>1017</v>
      </c>
      <c r="B4107" s="102" t="s">
        <v>152</v>
      </c>
      <c r="C4107" s="101" t="s">
        <v>9151</v>
      </c>
      <c r="D4107" s="101"/>
      <c r="E4107" s="79"/>
    </row>
    <row r="4108" spans="1:5" ht="14.85" customHeight="1" x14ac:dyDescent="0.25">
      <c r="A4108" s="101" t="s">
        <v>1017</v>
      </c>
      <c r="B4108" s="102" t="s">
        <v>156</v>
      </c>
      <c r="C4108" s="101" t="s">
        <v>9152</v>
      </c>
      <c r="D4108" s="101"/>
      <c r="E4108" s="79"/>
    </row>
    <row r="4109" spans="1:5" ht="14.85" customHeight="1" x14ac:dyDescent="0.25">
      <c r="A4109" s="101" t="s">
        <v>1017</v>
      </c>
      <c r="B4109" s="102" t="s">
        <v>161</v>
      </c>
      <c r="C4109" s="101" t="s">
        <v>9153</v>
      </c>
      <c r="D4109" s="101"/>
      <c r="E4109" s="79"/>
    </row>
    <row r="4110" spans="1:5" ht="14.85" customHeight="1" x14ac:dyDescent="0.25">
      <c r="A4110" s="302" t="s">
        <v>1017</v>
      </c>
      <c r="B4110" s="169" t="s">
        <v>218</v>
      </c>
      <c r="C4110" s="242" t="s">
        <v>9154</v>
      </c>
      <c r="D4110" s="301"/>
      <c r="E4110" s="169"/>
    </row>
    <row r="4111" spans="1:5" ht="14.85" customHeight="1" x14ac:dyDescent="0.25">
      <c r="A4111" s="101" t="s">
        <v>1017</v>
      </c>
      <c r="B4111" s="102" t="s">
        <v>224</v>
      </c>
      <c r="C4111" s="101" t="s">
        <v>9155</v>
      </c>
      <c r="D4111" s="101" t="s">
        <v>9156</v>
      </c>
      <c r="E4111" s="79"/>
    </row>
    <row r="4112" spans="1:5" ht="14.85" customHeight="1" x14ac:dyDescent="0.25">
      <c r="A4112" s="101" t="s">
        <v>1017</v>
      </c>
      <c r="B4112" s="102" t="s">
        <v>230</v>
      </c>
      <c r="C4112" s="101" t="s">
        <v>9157</v>
      </c>
      <c r="D4112" s="101" t="s">
        <v>9158</v>
      </c>
      <c r="E4112" s="79"/>
    </row>
    <row r="4113" spans="1:5" ht="14.85" customHeight="1" x14ac:dyDescent="0.25">
      <c r="A4113" s="101" t="s">
        <v>554</v>
      </c>
      <c r="B4113" s="102" t="s">
        <v>9159</v>
      </c>
      <c r="C4113" s="101" t="s">
        <v>9160</v>
      </c>
      <c r="D4113" s="101" t="s">
        <v>9161</v>
      </c>
      <c r="E4113" s="79" t="s">
        <v>9162</v>
      </c>
    </row>
    <row r="4114" spans="1:5" ht="14.85" customHeight="1" x14ac:dyDescent="0.25">
      <c r="A4114" s="101" t="s">
        <v>554</v>
      </c>
      <c r="B4114" s="102" t="s">
        <v>9163</v>
      </c>
      <c r="C4114" s="101" t="s">
        <v>9164</v>
      </c>
      <c r="D4114" s="101" t="s">
        <v>9165</v>
      </c>
      <c r="E4114" s="79" t="s">
        <v>9166</v>
      </c>
    </row>
    <row r="4115" spans="1:5" ht="14.85" customHeight="1" x14ac:dyDescent="0.25">
      <c r="A4115" s="101" t="s">
        <v>554</v>
      </c>
      <c r="B4115" s="102" t="s">
        <v>9167</v>
      </c>
      <c r="C4115" s="101" t="s">
        <v>9168</v>
      </c>
      <c r="D4115" s="101" t="s">
        <v>9169</v>
      </c>
      <c r="E4115" s="79" t="s">
        <v>9170</v>
      </c>
    </row>
    <row r="4116" spans="1:5" ht="14.85" customHeight="1" x14ac:dyDescent="0.25">
      <c r="A4116" s="101" t="s">
        <v>554</v>
      </c>
      <c r="B4116" s="102" t="s">
        <v>7094</v>
      </c>
      <c r="C4116" s="101" t="s">
        <v>9171</v>
      </c>
      <c r="D4116" s="101" t="s">
        <v>9172</v>
      </c>
      <c r="E4116" s="79" t="s">
        <v>9173</v>
      </c>
    </row>
    <row r="4117" spans="1:5" ht="14.85" customHeight="1" x14ac:dyDescent="0.25">
      <c r="A4117" s="101" t="s">
        <v>554</v>
      </c>
      <c r="B4117" s="102" t="s">
        <v>7114</v>
      </c>
      <c r="C4117" s="101" t="s">
        <v>7746</v>
      </c>
      <c r="D4117" s="101" t="s">
        <v>9174</v>
      </c>
      <c r="E4117" s="79" t="s">
        <v>9175</v>
      </c>
    </row>
    <row r="4118" spans="1:5" ht="14.85" customHeight="1" outlineLevel="1" x14ac:dyDescent="0.25">
      <c r="A4118" s="212" t="s">
        <v>648</v>
      </c>
      <c r="B4118" s="213" t="s">
        <v>6716</v>
      </c>
      <c r="C4118" s="212" t="s">
        <v>6717</v>
      </c>
      <c r="D4118" s="212" t="s">
        <v>7889</v>
      </c>
      <c r="E4118" s="214"/>
    </row>
    <row r="4119" spans="1:5" ht="14.85" customHeight="1" outlineLevel="1" x14ac:dyDescent="0.25">
      <c r="A4119" s="101" t="s">
        <v>648</v>
      </c>
      <c r="B4119" s="102" t="s">
        <v>9176</v>
      </c>
      <c r="C4119" s="101" t="s">
        <v>9177</v>
      </c>
      <c r="D4119" s="101"/>
    </row>
    <row r="4120" spans="1:5" ht="14.85" customHeight="1" outlineLevel="1" x14ac:dyDescent="0.25">
      <c r="A4120" s="101" t="s">
        <v>648</v>
      </c>
      <c r="B4120" s="102" t="s">
        <v>9178</v>
      </c>
      <c r="C4120" s="101" t="s">
        <v>9179</v>
      </c>
      <c r="D4120" s="101"/>
    </row>
    <row r="4121" spans="1:5" ht="14.85" customHeight="1" outlineLevel="1" x14ac:dyDescent="0.25">
      <c r="A4121" s="101" t="s">
        <v>648</v>
      </c>
      <c r="B4121" s="102" t="s">
        <v>6728</v>
      </c>
      <c r="C4121" s="101" t="s">
        <v>9180</v>
      </c>
      <c r="D4121" s="101"/>
    </row>
    <row r="4122" spans="1:5" ht="14.85" customHeight="1" outlineLevel="1" x14ac:dyDescent="0.25">
      <c r="A4122" s="101" t="s">
        <v>648</v>
      </c>
      <c r="B4122" s="102" t="s">
        <v>6691</v>
      </c>
      <c r="C4122" s="101" t="s">
        <v>9181</v>
      </c>
      <c r="D4122" s="101"/>
    </row>
    <row r="4123" spans="1:5" ht="14.85" customHeight="1" outlineLevel="1" x14ac:dyDescent="0.25">
      <c r="A4123" s="101" t="s">
        <v>648</v>
      </c>
      <c r="B4123" s="102" t="s">
        <v>6746</v>
      </c>
      <c r="C4123" s="101" t="s">
        <v>9182</v>
      </c>
      <c r="D4123" s="101"/>
    </row>
    <row r="4124" spans="1:5" ht="14.85" customHeight="1" outlineLevel="1" x14ac:dyDescent="0.25">
      <c r="A4124" s="101" t="s">
        <v>648</v>
      </c>
      <c r="B4124" s="102" t="s">
        <v>9183</v>
      </c>
      <c r="C4124" s="101" t="s">
        <v>9184</v>
      </c>
      <c r="D4124" s="101"/>
    </row>
    <row r="4125" spans="1:5" ht="14.85" customHeight="1" outlineLevel="1" x14ac:dyDescent="0.25">
      <c r="A4125" s="101" t="s">
        <v>648</v>
      </c>
      <c r="B4125" s="102" t="s">
        <v>6790</v>
      </c>
      <c r="C4125" s="101" t="s">
        <v>9185</v>
      </c>
      <c r="D4125" s="101"/>
    </row>
    <row r="4126" spans="1:5" ht="14.85" customHeight="1" outlineLevel="1" x14ac:dyDescent="0.25">
      <c r="A4126" s="101" t="s">
        <v>648</v>
      </c>
      <c r="B4126" s="102" t="s">
        <v>6811</v>
      </c>
      <c r="C4126" s="101" t="s">
        <v>9186</v>
      </c>
      <c r="D4126" s="101"/>
    </row>
    <row r="4127" spans="1:5" ht="14.85" customHeight="1" outlineLevel="1" x14ac:dyDescent="0.25">
      <c r="A4127" s="101" t="s">
        <v>648</v>
      </c>
      <c r="B4127" s="102" t="s">
        <v>7857</v>
      </c>
      <c r="C4127" s="101" t="s">
        <v>9187</v>
      </c>
      <c r="D4127" s="101"/>
    </row>
    <row r="4128" spans="1:5" ht="14.85" customHeight="1" outlineLevel="1" x14ac:dyDescent="0.25">
      <c r="A4128" s="101" t="s">
        <v>648</v>
      </c>
      <c r="B4128" s="102" t="s">
        <v>9188</v>
      </c>
      <c r="C4128" s="101" t="s">
        <v>9189</v>
      </c>
      <c r="D4128" s="101"/>
    </row>
    <row r="4129" spans="1:4" ht="14.85" customHeight="1" outlineLevel="1" x14ac:dyDescent="0.25">
      <c r="A4129" s="101" t="s">
        <v>648</v>
      </c>
      <c r="B4129" s="102" t="s">
        <v>6827</v>
      </c>
      <c r="C4129" s="101" t="s">
        <v>8101</v>
      </c>
      <c r="D4129" s="101"/>
    </row>
    <row r="4130" spans="1:4" ht="14.85" customHeight="1" outlineLevel="1" x14ac:dyDescent="0.25">
      <c r="A4130" s="101" t="s">
        <v>648</v>
      </c>
      <c r="B4130" s="102" t="s">
        <v>9190</v>
      </c>
      <c r="C4130" s="101" t="s">
        <v>9191</v>
      </c>
      <c r="D4130" s="101"/>
    </row>
    <row r="4131" spans="1:4" ht="14.85" customHeight="1" outlineLevel="1" x14ac:dyDescent="0.25">
      <c r="A4131" s="101" t="s">
        <v>648</v>
      </c>
      <c r="B4131" s="102" t="s">
        <v>6865</v>
      </c>
      <c r="C4131" s="101" t="s">
        <v>6872</v>
      </c>
      <c r="D4131" s="101"/>
    </row>
    <row r="4132" spans="1:4" ht="14.85" customHeight="1" outlineLevel="1" x14ac:dyDescent="0.25">
      <c r="A4132" s="101" t="s">
        <v>648</v>
      </c>
      <c r="B4132" s="102" t="s">
        <v>9192</v>
      </c>
      <c r="C4132" s="101" t="s">
        <v>9193</v>
      </c>
      <c r="D4132" s="101"/>
    </row>
    <row r="4133" spans="1:4" ht="14.85" customHeight="1" outlineLevel="1" x14ac:dyDescent="0.25">
      <c r="A4133" s="101" t="s">
        <v>648</v>
      </c>
      <c r="B4133" s="102" t="s">
        <v>9194</v>
      </c>
      <c r="C4133" s="101" t="s">
        <v>9195</v>
      </c>
      <c r="D4133" s="101"/>
    </row>
    <row r="4134" spans="1:4" ht="14.85" customHeight="1" outlineLevel="1" x14ac:dyDescent="0.25">
      <c r="A4134" s="101" t="s">
        <v>648</v>
      </c>
      <c r="B4134" s="102" t="s">
        <v>6915</v>
      </c>
      <c r="C4134" s="101" t="s">
        <v>7824</v>
      </c>
      <c r="D4134" s="101"/>
    </row>
    <row r="4135" spans="1:4" ht="14.85" customHeight="1" outlineLevel="1" x14ac:dyDescent="0.25">
      <c r="A4135" s="101" t="s">
        <v>648</v>
      </c>
      <c r="B4135" s="102" t="s">
        <v>6919</v>
      </c>
      <c r="C4135" s="101" t="s">
        <v>9196</v>
      </c>
      <c r="D4135" s="101"/>
    </row>
    <row r="4136" spans="1:4" ht="14.85" customHeight="1" outlineLevel="1" x14ac:dyDescent="0.25">
      <c r="A4136" s="101" t="s">
        <v>648</v>
      </c>
      <c r="B4136" s="102" t="s">
        <v>6923</v>
      </c>
      <c r="C4136" s="101" t="s">
        <v>9197</v>
      </c>
      <c r="D4136" s="101"/>
    </row>
    <row r="4137" spans="1:4" ht="14.85" customHeight="1" outlineLevel="1" x14ac:dyDescent="0.25">
      <c r="A4137" s="101" t="s">
        <v>648</v>
      </c>
      <c r="B4137" s="102" t="s">
        <v>9198</v>
      </c>
      <c r="C4137" s="101" t="s">
        <v>9199</v>
      </c>
      <c r="D4137" s="101"/>
    </row>
    <row r="4138" spans="1:4" ht="14.85" customHeight="1" outlineLevel="1" x14ac:dyDescent="0.25">
      <c r="A4138" s="101" t="s">
        <v>648</v>
      </c>
      <c r="B4138" s="102" t="s">
        <v>6960</v>
      </c>
      <c r="C4138" s="101" t="s">
        <v>9200</v>
      </c>
      <c r="D4138" s="101"/>
    </row>
    <row r="4139" spans="1:4" ht="14.85" customHeight="1" outlineLevel="1" x14ac:dyDescent="0.25">
      <c r="A4139" s="101" t="s">
        <v>648</v>
      </c>
      <c r="B4139" s="102" t="s">
        <v>6964</v>
      </c>
      <c r="C4139" s="101" t="s">
        <v>9201</v>
      </c>
      <c r="D4139" s="101"/>
    </row>
    <row r="4140" spans="1:4" ht="14.85" customHeight="1" outlineLevel="1" x14ac:dyDescent="0.25">
      <c r="A4140" s="101" t="s">
        <v>648</v>
      </c>
      <c r="B4140" s="102" t="s">
        <v>6986</v>
      </c>
      <c r="C4140" s="101" t="s">
        <v>9202</v>
      </c>
      <c r="D4140" s="101"/>
    </row>
    <row r="4141" spans="1:4" ht="14.85" customHeight="1" outlineLevel="1" x14ac:dyDescent="0.25">
      <c r="A4141" s="101" t="s">
        <v>648</v>
      </c>
      <c r="B4141" s="102" t="s">
        <v>9203</v>
      </c>
      <c r="C4141" s="101" t="s">
        <v>9204</v>
      </c>
      <c r="D4141" s="101"/>
    </row>
    <row r="4142" spans="1:4" ht="14.85" customHeight="1" outlineLevel="1" x14ac:dyDescent="0.25">
      <c r="A4142" s="101" t="s">
        <v>648</v>
      </c>
      <c r="B4142" s="102" t="s">
        <v>6990</v>
      </c>
      <c r="C4142" s="101" t="s">
        <v>9205</v>
      </c>
      <c r="D4142" s="101"/>
    </row>
    <row r="4143" spans="1:4" ht="14.85" customHeight="1" outlineLevel="1" x14ac:dyDescent="0.25">
      <c r="A4143" s="101" t="s">
        <v>648</v>
      </c>
      <c r="B4143" s="102" t="s">
        <v>6992</v>
      </c>
      <c r="C4143" s="101" t="s">
        <v>9206</v>
      </c>
      <c r="D4143" s="101"/>
    </row>
    <row r="4144" spans="1:4" ht="14.85" customHeight="1" outlineLevel="1" x14ac:dyDescent="0.25">
      <c r="A4144" s="101" t="s">
        <v>648</v>
      </c>
      <c r="B4144" s="102" t="s">
        <v>9207</v>
      </c>
      <c r="C4144" s="101" t="s">
        <v>9208</v>
      </c>
      <c r="D4144" s="101"/>
    </row>
    <row r="4145" spans="1:4" ht="14.85" customHeight="1" outlineLevel="1" x14ac:dyDescent="0.25">
      <c r="A4145" s="101" t="s">
        <v>648</v>
      </c>
      <c r="B4145" s="102" t="s">
        <v>7006</v>
      </c>
      <c r="C4145" s="101" t="s">
        <v>9209</v>
      </c>
      <c r="D4145" s="101"/>
    </row>
    <row r="4146" spans="1:4" ht="14.85" customHeight="1" outlineLevel="1" x14ac:dyDescent="0.25">
      <c r="A4146" s="101" t="s">
        <v>648</v>
      </c>
      <c r="B4146" s="102" t="s">
        <v>7008</v>
      </c>
      <c r="C4146" s="101" t="s">
        <v>9210</v>
      </c>
      <c r="D4146" s="101"/>
    </row>
    <row r="4147" spans="1:4" ht="14.85" customHeight="1" outlineLevel="1" x14ac:dyDescent="0.25">
      <c r="A4147" s="101" t="s">
        <v>648</v>
      </c>
      <c r="B4147" s="102" t="s">
        <v>7016</v>
      </c>
      <c r="C4147" s="101" t="s">
        <v>9211</v>
      </c>
      <c r="D4147" s="101"/>
    </row>
    <row r="4148" spans="1:4" ht="14.85" customHeight="1" outlineLevel="1" x14ac:dyDescent="0.25">
      <c r="A4148" s="101" t="s">
        <v>648</v>
      </c>
      <c r="B4148" s="102" t="s">
        <v>7018</v>
      </c>
      <c r="C4148" s="101" t="s">
        <v>9212</v>
      </c>
      <c r="D4148" s="101"/>
    </row>
    <row r="4149" spans="1:4" ht="14.85" customHeight="1" outlineLevel="1" x14ac:dyDescent="0.25">
      <c r="A4149" s="101" t="s">
        <v>648</v>
      </c>
      <c r="B4149" s="102" t="s">
        <v>9213</v>
      </c>
      <c r="C4149" s="101" t="s">
        <v>9214</v>
      </c>
      <c r="D4149" s="101"/>
    </row>
    <row r="4150" spans="1:4" ht="14.85" customHeight="1" outlineLevel="1" x14ac:dyDescent="0.25">
      <c r="A4150" s="101" t="s">
        <v>648</v>
      </c>
      <c r="B4150" s="102" t="s">
        <v>7032</v>
      </c>
      <c r="C4150" s="101" t="s">
        <v>9215</v>
      </c>
      <c r="D4150" s="101"/>
    </row>
    <row r="4151" spans="1:4" ht="14.85" customHeight="1" outlineLevel="1" x14ac:dyDescent="0.25">
      <c r="A4151" s="101" t="s">
        <v>648</v>
      </c>
      <c r="B4151" s="102" t="s">
        <v>9216</v>
      </c>
      <c r="C4151" s="101" t="s">
        <v>9217</v>
      </c>
      <c r="D4151" s="101"/>
    </row>
    <row r="4152" spans="1:4" ht="14.85" customHeight="1" outlineLevel="1" x14ac:dyDescent="0.25">
      <c r="A4152" s="101" t="s">
        <v>648</v>
      </c>
      <c r="B4152" s="102" t="s">
        <v>6703</v>
      </c>
      <c r="C4152" s="101" t="s">
        <v>9218</v>
      </c>
      <c r="D4152" s="101"/>
    </row>
    <row r="4153" spans="1:4" ht="14.85" customHeight="1" outlineLevel="1" x14ac:dyDescent="0.25">
      <c r="A4153" s="101" t="s">
        <v>648</v>
      </c>
      <c r="B4153" s="102" t="s">
        <v>9219</v>
      </c>
      <c r="C4153" s="101" t="s">
        <v>9220</v>
      </c>
      <c r="D4153" s="101"/>
    </row>
    <row r="4154" spans="1:4" ht="14.85" customHeight="1" outlineLevel="1" x14ac:dyDescent="0.25">
      <c r="A4154" s="101" t="s">
        <v>648</v>
      </c>
      <c r="B4154" s="102" t="s">
        <v>9221</v>
      </c>
      <c r="C4154" s="101" t="s">
        <v>9222</v>
      </c>
      <c r="D4154" s="101"/>
    </row>
    <row r="4155" spans="1:4" ht="14.85" customHeight="1" outlineLevel="1" x14ac:dyDescent="0.25">
      <c r="A4155" s="101" t="s">
        <v>648</v>
      </c>
      <c r="B4155" s="102" t="s">
        <v>7041</v>
      </c>
      <c r="C4155" s="101" t="s">
        <v>9223</v>
      </c>
      <c r="D4155" s="101"/>
    </row>
    <row r="4156" spans="1:4" ht="14.85" customHeight="1" outlineLevel="1" x14ac:dyDescent="0.25">
      <c r="A4156" s="101" t="s">
        <v>648</v>
      </c>
      <c r="B4156" s="102" t="s">
        <v>9224</v>
      </c>
      <c r="C4156" s="101" t="s">
        <v>9225</v>
      </c>
      <c r="D4156" s="101"/>
    </row>
    <row r="4157" spans="1:4" ht="14.85" customHeight="1" outlineLevel="1" x14ac:dyDescent="0.25">
      <c r="A4157" s="101" t="s">
        <v>648</v>
      </c>
      <c r="B4157" s="102" t="s">
        <v>9226</v>
      </c>
      <c r="C4157" s="101" t="s">
        <v>9227</v>
      </c>
      <c r="D4157" s="101"/>
    </row>
    <row r="4158" spans="1:4" ht="14.85" customHeight="1" outlineLevel="1" x14ac:dyDescent="0.25">
      <c r="A4158" s="101" t="s">
        <v>648</v>
      </c>
      <c r="B4158" s="102" t="s">
        <v>9228</v>
      </c>
      <c r="C4158" s="101" t="s">
        <v>9229</v>
      </c>
      <c r="D4158" s="101"/>
    </row>
    <row r="4159" spans="1:4" ht="14.85" customHeight="1" outlineLevel="1" x14ac:dyDescent="0.25">
      <c r="A4159" s="101" t="s">
        <v>648</v>
      </c>
      <c r="B4159" s="102" t="s">
        <v>9230</v>
      </c>
      <c r="C4159" s="101" t="s">
        <v>9231</v>
      </c>
      <c r="D4159" s="101"/>
    </row>
    <row r="4160" spans="1:4" ht="14.85" customHeight="1" outlineLevel="1" x14ac:dyDescent="0.25">
      <c r="A4160" s="101" t="s">
        <v>648</v>
      </c>
      <c r="B4160" s="102" t="s">
        <v>9232</v>
      </c>
      <c r="C4160" s="101" t="s">
        <v>9233</v>
      </c>
      <c r="D4160" s="101"/>
    </row>
    <row r="4161" spans="1:4" ht="14.85" customHeight="1" outlineLevel="1" x14ac:dyDescent="0.25">
      <c r="A4161" s="101" t="s">
        <v>648</v>
      </c>
      <c r="B4161" s="102" t="s">
        <v>9234</v>
      </c>
      <c r="C4161" s="101" t="s">
        <v>9235</v>
      </c>
      <c r="D4161" s="101"/>
    </row>
    <row r="4162" spans="1:4" ht="14.85" customHeight="1" outlineLevel="1" x14ac:dyDescent="0.25">
      <c r="A4162" s="101" t="s">
        <v>648</v>
      </c>
      <c r="B4162" s="102" t="s">
        <v>9236</v>
      </c>
      <c r="C4162" s="101" t="s">
        <v>9237</v>
      </c>
      <c r="D4162" s="101"/>
    </row>
    <row r="4163" spans="1:4" ht="14.85" customHeight="1" outlineLevel="1" x14ac:dyDescent="0.25">
      <c r="A4163" s="101" t="s">
        <v>648</v>
      </c>
      <c r="B4163" s="102" t="s">
        <v>9238</v>
      </c>
      <c r="C4163" s="101" t="s">
        <v>9239</v>
      </c>
      <c r="D4163" s="101"/>
    </row>
    <row r="4164" spans="1:4" ht="14.85" customHeight="1" outlineLevel="1" x14ac:dyDescent="0.25">
      <c r="A4164" s="101" t="s">
        <v>648</v>
      </c>
      <c r="B4164" s="102" t="s">
        <v>9240</v>
      </c>
      <c r="C4164" s="101" t="s">
        <v>7250</v>
      </c>
      <c r="D4164" s="101"/>
    </row>
    <row r="4165" spans="1:4" ht="14.85" customHeight="1" outlineLevel="1" x14ac:dyDescent="0.25">
      <c r="A4165" s="101" t="s">
        <v>648</v>
      </c>
      <c r="B4165" s="102" t="s">
        <v>7055</v>
      </c>
      <c r="C4165" s="101" t="s">
        <v>9241</v>
      </c>
      <c r="D4165" s="101"/>
    </row>
    <row r="4166" spans="1:4" ht="14.85" customHeight="1" outlineLevel="1" x14ac:dyDescent="0.25">
      <c r="A4166" s="101" t="s">
        <v>648</v>
      </c>
      <c r="B4166" s="102" t="s">
        <v>7057</v>
      </c>
      <c r="C4166" s="101" t="s">
        <v>9242</v>
      </c>
      <c r="D4166" s="101"/>
    </row>
    <row r="4167" spans="1:4" ht="14.85" customHeight="1" outlineLevel="1" x14ac:dyDescent="0.25">
      <c r="A4167" s="101" t="s">
        <v>648</v>
      </c>
      <c r="B4167" s="102" t="s">
        <v>9243</v>
      </c>
      <c r="C4167" s="101" t="s">
        <v>9244</v>
      </c>
      <c r="D4167" s="101"/>
    </row>
    <row r="4168" spans="1:4" ht="14.85" customHeight="1" outlineLevel="1" x14ac:dyDescent="0.25">
      <c r="A4168" s="101" t="s">
        <v>648</v>
      </c>
      <c r="B4168" s="102" t="s">
        <v>7072</v>
      </c>
      <c r="C4168" s="101" t="s">
        <v>7073</v>
      </c>
      <c r="D4168" s="101"/>
    </row>
    <row r="4169" spans="1:4" ht="14.85" customHeight="1" outlineLevel="1" x14ac:dyDescent="0.25">
      <c r="A4169" s="101" t="s">
        <v>648</v>
      </c>
      <c r="B4169" s="102" t="s">
        <v>9245</v>
      </c>
      <c r="C4169" s="101" t="s">
        <v>9246</v>
      </c>
      <c r="D4169" s="101"/>
    </row>
    <row r="4170" spans="1:4" ht="14.85" customHeight="1" outlineLevel="1" x14ac:dyDescent="0.25">
      <c r="A4170" s="101" t="s">
        <v>648</v>
      </c>
      <c r="B4170" s="102" t="s">
        <v>7096</v>
      </c>
      <c r="C4170" s="101" t="s">
        <v>9247</v>
      </c>
      <c r="D4170" s="101"/>
    </row>
    <row r="4171" spans="1:4" ht="14.85" customHeight="1" outlineLevel="1" x14ac:dyDescent="0.25">
      <c r="A4171" s="101" t="s">
        <v>648</v>
      </c>
      <c r="B4171" s="102" t="s">
        <v>7098</v>
      </c>
      <c r="C4171" s="101" t="s">
        <v>9248</v>
      </c>
      <c r="D4171" s="101"/>
    </row>
    <row r="4172" spans="1:4" ht="14.85" customHeight="1" outlineLevel="1" x14ac:dyDescent="0.25">
      <c r="A4172" s="101" t="s">
        <v>648</v>
      </c>
      <c r="B4172" s="102" t="s">
        <v>7110</v>
      </c>
      <c r="C4172" s="101" t="s">
        <v>9249</v>
      </c>
      <c r="D4172" s="101"/>
    </row>
    <row r="4173" spans="1:4" ht="14.85" customHeight="1" outlineLevel="1" x14ac:dyDescent="0.25">
      <c r="A4173" s="101" t="s">
        <v>648</v>
      </c>
      <c r="B4173" s="102" t="s">
        <v>7150</v>
      </c>
      <c r="C4173" s="101" t="s">
        <v>9250</v>
      </c>
      <c r="D4173" s="101"/>
    </row>
    <row r="4174" spans="1:4" ht="14.85" customHeight="1" outlineLevel="1" x14ac:dyDescent="0.25">
      <c r="A4174" s="101" t="s">
        <v>648</v>
      </c>
      <c r="B4174" s="102" t="s">
        <v>9251</v>
      </c>
      <c r="C4174" s="101" t="s">
        <v>9252</v>
      </c>
      <c r="D4174" s="101"/>
    </row>
    <row r="4175" spans="1:4" ht="14.85" customHeight="1" outlineLevel="1" x14ac:dyDescent="0.25">
      <c r="A4175" s="101" t="s">
        <v>648</v>
      </c>
      <c r="B4175" s="102" t="s">
        <v>9253</v>
      </c>
      <c r="C4175" s="101" t="s">
        <v>9254</v>
      </c>
      <c r="D4175" s="101"/>
    </row>
    <row r="4176" spans="1:4" ht="14.85" customHeight="1" outlineLevel="1" x14ac:dyDescent="0.25">
      <c r="A4176" s="101" t="s">
        <v>648</v>
      </c>
      <c r="B4176" s="102" t="s">
        <v>7175</v>
      </c>
      <c r="C4176" s="101" t="s">
        <v>9255</v>
      </c>
      <c r="D4176" s="101"/>
    </row>
    <row r="4177" spans="1:5" ht="14.85" customHeight="1" outlineLevel="1" x14ac:dyDescent="0.25">
      <c r="A4177" s="101" t="s">
        <v>648</v>
      </c>
      <c r="B4177" s="102" t="s">
        <v>7183</v>
      </c>
      <c r="C4177" s="101" t="s">
        <v>9256</v>
      </c>
      <c r="D4177" s="101"/>
    </row>
    <row r="4178" spans="1:5" ht="14.85" customHeight="1" outlineLevel="1" x14ac:dyDescent="0.25">
      <c r="A4178" s="101" t="s">
        <v>648</v>
      </c>
      <c r="B4178" s="102" t="s">
        <v>9257</v>
      </c>
      <c r="C4178" s="101" t="s">
        <v>9258</v>
      </c>
      <c r="D4178" s="101"/>
    </row>
    <row r="4179" spans="1:5" ht="14.85" customHeight="1" outlineLevel="1" x14ac:dyDescent="0.25">
      <c r="A4179" s="101" t="s">
        <v>648</v>
      </c>
      <c r="B4179" s="102" t="s">
        <v>9259</v>
      </c>
      <c r="C4179" s="101" t="s">
        <v>7843</v>
      </c>
      <c r="D4179" s="101"/>
    </row>
    <row r="4180" spans="1:5" ht="14.85" customHeight="1" outlineLevel="1" x14ac:dyDescent="0.25">
      <c r="A4180" s="101" t="s">
        <v>648</v>
      </c>
      <c r="B4180" s="102" t="s">
        <v>9260</v>
      </c>
      <c r="C4180" s="101" t="s">
        <v>9261</v>
      </c>
      <c r="D4180" s="101"/>
    </row>
    <row r="4181" spans="1:5" ht="14.85" customHeight="1" outlineLevel="1" x14ac:dyDescent="0.25">
      <c r="A4181" s="101" t="s">
        <v>648</v>
      </c>
      <c r="B4181" s="102" t="s">
        <v>9262</v>
      </c>
      <c r="C4181" s="101" t="s">
        <v>9263</v>
      </c>
      <c r="D4181" s="101"/>
    </row>
    <row r="4182" spans="1:5" ht="14.85" customHeight="1" x14ac:dyDescent="0.25">
      <c r="A4182" s="101" t="s">
        <v>648</v>
      </c>
      <c r="B4182" s="102" t="s">
        <v>9264</v>
      </c>
      <c r="C4182" s="101" t="s">
        <v>9265</v>
      </c>
      <c r="D4182" s="101"/>
    </row>
    <row r="4183" spans="1:5" ht="14.85" customHeight="1" x14ac:dyDescent="0.25">
      <c r="A4183" s="101" t="s">
        <v>1028</v>
      </c>
      <c r="B4183" s="102" t="s">
        <v>81</v>
      </c>
      <c r="C4183" s="101" t="s">
        <v>9266</v>
      </c>
      <c r="D4183" s="101" t="s">
        <v>9267</v>
      </c>
      <c r="E4183" s="105" t="s">
        <v>9268</v>
      </c>
    </row>
    <row r="4184" spans="1:5" ht="14.85" customHeight="1" x14ac:dyDescent="0.25">
      <c r="A4184" s="101" t="s">
        <v>1028</v>
      </c>
      <c r="B4184" s="102" t="s">
        <v>90</v>
      </c>
      <c r="C4184" s="101" t="s">
        <v>9269</v>
      </c>
      <c r="D4184" s="101" t="s">
        <v>9270</v>
      </c>
    </row>
    <row r="4185" spans="1:5" ht="14.85" customHeight="1" x14ac:dyDescent="0.25">
      <c r="A4185" s="101" t="s">
        <v>1028</v>
      </c>
      <c r="B4185" s="102" t="s">
        <v>6697</v>
      </c>
      <c r="C4185" s="101" t="s">
        <v>9272</v>
      </c>
      <c r="D4185" s="101" t="s">
        <v>9273</v>
      </c>
      <c r="E4185" s="105" t="s">
        <v>9274</v>
      </c>
    </row>
    <row r="4186" spans="1:5" ht="14.85" customHeight="1" x14ac:dyDescent="0.25">
      <c r="A4186" s="101" t="s">
        <v>1028</v>
      </c>
      <c r="B4186" s="102" t="s">
        <v>7462</v>
      </c>
      <c r="C4186" s="101" t="s">
        <v>9275</v>
      </c>
      <c r="D4186" s="101" t="s">
        <v>9276</v>
      </c>
      <c r="E4186" s="105" t="s">
        <v>9277</v>
      </c>
    </row>
    <row r="4187" spans="1:5" ht="14.85" customHeight="1" x14ac:dyDescent="0.25">
      <c r="A4187" s="101" t="s">
        <v>1028</v>
      </c>
      <c r="B4187" s="102" t="s">
        <v>1470</v>
      </c>
      <c r="C4187" s="101" t="s">
        <v>9278</v>
      </c>
      <c r="D4187" s="101" t="s">
        <v>9279</v>
      </c>
      <c r="E4187" s="105" t="s">
        <v>9280</v>
      </c>
    </row>
    <row r="4188" spans="1:5" ht="14.85" customHeight="1" x14ac:dyDescent="0.25">
      <c r="A4188" s="101" t="s">
        <v>1028</v>
      </c>
      <c r="B4188" s="102" t="s">
        <v>7289</v>
      </c>
      <c r="C4188" s="101" t="s">
        <v>9281</v>
      </c>
      <c r="D4188" s="101" t="s">
        <v>9282</v>
      </c>
      <c r="E4188" s="105" t="s">
        <v>9283</v>
      </c>
    </row>
    <row r="4189" spans="1:5" ht="14.85" customHeight="1" x14ac:dyDescent="0.25">
      <c r="A4189" s="101" t="s">
        <v>1028</v>
      </c>
      <c r="B4189" s="102" t="s">
        <v>99</v>
      </c>
      <c r="C4189" s="101" t="s">
        <v>9284</v>
      </c>
      <c r="D4189" s="101" t="s">
        <v>9285</v>
      </c>
      <c r="E4189" s="105" t="s">
        <v>9286</v>
      </c>
    </row>
    <row r="4190" spans="1:5" ht="14.85" customHeight="1" x14ac:dyDescent="0.25">
      <c r="A4190" s="101" t="s">
        <v>560</v>
      </c>
      <c r="B4190" s="102" t="s">
        <v>7008</v>
      </c>
      <c r="C4190" s="101" t="s">
        <v>9287</v>
      </c>
      <c r="D4190" s="101" t="s">
        <v>9288</v>
      </c>
    </row>
    <row r="4191" spans="1:5" ht="14.85" customHeight="1" x14ac:dyDescent="0.25">
      <c r="A4191" s="101" t="s">
        <v>560</v>
      </c>
      <c r="B4191" s="102" t="s">
        <v>7032</v>
      </c>
      <c r="C4191" s="101" t="s">
        <v>9289</v>
      </c>
      <c r="D4191" s="101" t="s">
        <v>13366</v>
      </c>
      <c r="E4191" s="105" t="s">
        <v>9290</v>
      </c>
    </row>
    <row r="4192" spans="1:5" ht="14.85" customHeight="1" x14ac:dyDescent="0.25">
      <c r="A4192" s="101" t="s">
        <v>560</v>
      </c>
      <c r="B4192" s="102" t="s">
        <v>7047</v>
      </c>
      <c r="C4192" s="101" t="s">
        <v>9291</v>
      </c>
      <c r="D4192" s="101" t="s">
        <v>9292</v>
      </c>
      <c r="E4192" s="79"/>
    </row>
    <row r="4193" spans="1:5" ht="14.85" customHeight="1" x14ac:dyDescent="0.25">
      <c r="A4193" s="101" t="s">
        <v>560</v>
      </c>
      <c r="B4193" s="102" t="s">
        <v>7098</v>
      </c>
      <c r="C4193" s="101" t="s">
        <v>9293</v>
      </c>
      <c r="D4193" s="101" t="s">
        <v>9294</v>
      </c>
    </row>
    <row r="4194" spans="1:5" ht="14.85" customHeight="1" x14ac:dyDescent="0.25">
      <c r="A4194" s="101" t="s">
        <v>560</v>
      </c>
      <c r="B4194" s="102" t="s">
        <v>9295</v>
      </c>
      <c r="C4194" s="101" t="s">
        <v>9296</v>
      </c>
      <c r="D4194" s="101" t="s">
        <v>9297</v>
      </c>
      <c r="E4194" s="79"/>
    </row>
    <row r="4195" spans="1:5" ht="14.85" customHeight="1" x14ac:dyDescent="0.25">
      <c r="A4195" s="101" t="s">
        <v>1086</v>
      </c>
      <c r="B4195" s="102" t="s">
        <v>9298</v>
      </c>
      <c r="C4195" s="101" t="s">
        <v>9299</v>
      </c>
      <c r="D4195" s="101" t="s">
        <v>9300</v>
      </c>
    </row>
    <row r="4196" spans="1:5" ht="14.85" customHeight="1" x14ac:dyDescent="0.25">
      <c r="A4196" s="101" t="s">
        <v>1086</v>
      </c>
      <c r="B4196" s="102" t="s">
        <v>9301</v>
      </c>
      <c r="C4196" s="101" t="s">
        <v>9302</v>
      </c>
      <c r="D4196" s="101" t="s">
        <v>9303</v>
      </c>
    </row>
    <row r="4197" spans="1:5" ht="14.85" customHeight="1" x14ac:dyDescent="0.25">
      <c r="A4197" s="101" t="s">
        <v>1086</v>
      </c>
      <c r="B4197" s="102" t="s">
        <v>6952</v>
      </c>
      <c r="C4197" s="101" t="s">
        <v>9304</v>
      </c>
      <c r="D4197" s="101"/>
    </row>
    <row r="4198" spans="1:5" ht="14.85" customHeight="1" x14ac:dyDescent="0.25">
      <c r="A4198" s="101" t="s">
        <v>1086</v>
      </c>
      <c r="B4198" s="102" t="s">
        <v>9198</v>
      </c>
      <c r="C4198" s="101" t="s">
        <v>9305</v>
      </c>
      <c r="D4198" s="101"/>
    </row>
    <row r="4199" spans="1:5" ht="14.85" customHeight="1" x14ac:dyDescent="0.25">
      <c r="A4199" s="101" t="s">
        <v>1086</v>
      </c>
      <c r="B4199" s="102" t="s">
        <v>6994</v>
      </c>
      <c r="C4199" s="101" t="s">
        <v>9306</v>
      </c>
      <c r="D4199" s="101" t="s">
        <v>9307</v>
      </c>
    </row>
    <row r="4200" spans="1:5" ht="14.85" customHeight="1" x14ac:dyDescent="0.25">
      <c r="A4200" s="101" t="s">
        <v>1086</v>
      </c>
      <c r="B4200" s="102" t="s">
        <v>7043</v>
      </c>
      <c r="C4200" s="101" t="s">
        <v>9308</v>
      </c>
      <c r="D4200" s="101"/>
    </row>
    <row r="4201" spans="1:5" ht="14.85" customHeight="1" x14ac:dyDescent="0.25">
      <c r="A4201" s="101" t="s">
        <v>1086</v>
      </c>
      <c r="B4201" s="102" t="s">
        <v>9309</v>
      </c>
      <c r="C4201" s="101" t="s">
        <v>9310</v>
      </c>
      <c r="D4201" s="101" t="s">
        <v>9311</v>
      </c>
      <c r="E4201" s="105" t="s">
        <v>9312</v>
      </c>
    </row>
    <row r="4202" spans="1:5" ht="14.85" customHeight="1" x14ac:dyDescent="0.25">
      <c r="A4202" s="101" t="s">
        <v>1086</v>
      </c>
      <c r="B4202" s="102" t="s">
        <v>9313</v>
      </c>
      <c r="C4202" s="101" t="s">
        <v>9314</v>
      </c>
      <c r="D4202" s="101"/>
    </row>
    <row r="4203" spans="1:5" ht="14.85" customHeight="1" x14ac:dyDescent="0.25">
      <c r="A4203" s="101" t="s">
        <v>1086</v>
      </c>
      <c r="B4203" s="102" t="s">
        <v>9240</v>
      </c>
      <c r="C4203" s="101" t="s">
        <v>7250</v>
      </c>
      <c r="D4203" s="101"/>
    </row>
    <row r="4204" spans="1:5" ht="14.85" customHeight="1" x14ac:dyDescent="0.25">
      <c r="A4204" s="101" t="s">
        <v>1086</v>
      </c>
      <c r="B4204" s="102" t="s">
        <v>9245</v>
      </c>
      <c r="C4204" s="101" t="s">
        <v>9315</v>
      </c>
      <c r="D4204" s="101" t="s">
        <v>9316</v>
      </c>
      <c r="E4204" s="105" t="s">
        <v>9317</v>
      </c>
    </row>
    <row r="4205" spans="1:5" ht="14.85" customHeight="1" x14ac:dyDescent="0.25">
      <c r="A4205" s="101" t="s">
        <v>1086</v>
      </c>
      <c r="B4205" s="102" t="s">
        <v>7118</v>
      </c>
      <c r="C4205" s="101" t="s">
        <v>9318</v>
      </c>
      <c r="D4205" s="101"/>
    </row>
    <row r="4206" spans="1:5" ht="14.85" customHeight="1" x14ac:dyDescent="0.25">
      <c r="A4206" s="101" t="s">
        <v>1086</v>
      </c>
      <c r="B4206" s="102" t="s">
        <v>9319</v>
      </c>
      <c r="C4206" s="101" t="s">
        <v>9320</v>
      </c>
      <c r="D4206" s="101"/>
    </row>
    <row r="4207" spans="1:5" ht="14.85" customHeight="1" x14ac:dyDescent="0.25">
      <c r="A4207" s="101" t="s">
        <v>1086</v>
      </c>
      <c r="B4207" s="102" t="s">
        <v>9321</v>
      </c>
      <c r="C4207" s="101" t="s">
        <v>9322</v>
      </c>
      <c r="D4207" s="101"/>
    </row>
    <row r="4208" spans="1:5" ht="14.85" customHeight="1" x14ac:dyDescent="0.25">
      <c r="A4208" s="101" t="s">
        <v>195</v>
      </c>
      <c r="B4208" s="102" t="s">
        <v>114</v>
      </c>
      <c r="C4208" s="101" t="s">
        <v>9323</v>
      </c>
      <c r="D4208" s="101"/>
    </row>
    <row r="4209" spans="1:4" ht="14.85" customHeight="1" x14ac:dyDescent="0.25">
      <c r="A4209" s="101" t="s">
        <v>195</v>
      </c>
      <c r="B4209" s="102" t="s">
        <v>88</v>
      </c>
      <c r="C4209" s="101" t="s">
        <v>9324</v>
      </c>
      <c r="D4209" s="101"/>
    </row>
    <row r="4210" spans="1:4" ht="14.85" customHeight="1" x14ac:dyDescent="0.25">
      <c r="A4210" s="101" t="s">
        <v>291</v>
      </c>
      <c r="B4210" s="102" t="s">
        <v>114</v>
      </c>
      <c r="C4210" s="101" t="s">
        <v>9323</v>
      </c>
      <c r="D4210" s="101"/>
    </row>
    <row r="4211" spans="1:4" ht="14.85" customHeight="1" x14ac:dyDescent="0.25">
      <c r="A4211" s="101" t="s">
        <v>291</v>
      </c>
      <c r="B4211" s="102" t="s">
        <v>99</v>
      </c>
      <c r="C4211" s="101" t="s">
        <v>9325</v>
      </c>
      <c r="D4211" s="101"/>
    </row>
    <row r="4212" spans="1:4" ht="14.85" customHeight="1" x14ac:dyDescent="0.25">
      <c r="A4212" s="101" t="s">
        <v>291</v>
      </c>
      <c r="B4212" s="102" t="s">
        <v>88</v>
      </c>
      <c r="C4212" s="101" t="s">
        <v>9324</v>
      </c>
      <c r="D4212" s="101"/>
    </row>
  </sheetData>
  <autoFilter ref="A1:E4212" xr:uid="{00000000-0001-0000-0400-000000000000}"/>
  <sortState xmlns:xlrd2="http://schemas.microsoft.com/office/spreadsheetml/2017/richdata2" ref="A2:E4212">
    <sortCondition ref="A2:A4212"/>
    <sortCondition ref="B2:B4212"/>
  </sortState>
  <phoneticPr fontId="62" type="noConversion"/>
  <conditionalFormatting sqref="A105:D2790">
    <cfRule type="expression" dxfId="0" priority="1">
      <formula>LEN($B105)&lt;7</formula>
    </cfRule>
  </conditionalFormatting>
  <hyperlinks>
    <hyperlink ref="D4094" location="'Assignment-Course Codes'!Course_Code" display="Assignment-Course Codes" xr:uid="{00000000-0004-0000-0400-000002000000}"/>
    <hyperlink ref="C4094" location="'Assignment-Course Codes'!Course_Code" display="See Assignment-Course Codes tab" xr:uid="{00000000-0004-0000-0400-000003000000}"/>
    <hyperlink ref="D3091" location="'Assignment-Course Codes'!Course_Code" display="Assignment-Course Codes" xr:uid="{C6609F29-0610-4B45-BCC3-A37DDE80A982}"/>
    <hyperlink ref="C3091" location="'Assignment-Course Codes'!Course_Code" display="See Assignment-Course Codes tab" xr:uid="{8ED060A7-0587-4E3D-8507-871A6025FE43}"/>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473"/>
  <sheetViews>
    <sheetView zoomScaleNormal="100" workbookViewId="0">
      <pane ySplit="1" topLeftCell="A2" activePane="bottomLeft" state="frozen"/>
      <selection pane="bottomLeft"/>
    </sheetView>
  </sheetViews>
  <sheetFormatPr defaultColWidth="11.77734375" defaultRowHeight="14.85" customHeight="1" x14ac:dyDescent="0.25"/>
  <cols>
    <col min="1" max="1" width="27.33203125" style="108" bestFit="1" customWidth="1"/>
    <col min="2" max="2" width="11.77734375" style="115" bestFit="1" customWidth="1"/>
    <col min="3" max="3" width="13.44140625" style="115" bestFit="1" customWidth="1"/>
    <col min="4" max="4" width="10.5546875" style="109" bestFit="1" customWidth="1"/>
    <col min="5" max="5" width="75" style="110" customWidth="1"/>
    <col min="6" max="6" width="8.77734375" style="109" customWidth="1"/>
    <col min="7" max="7" width="12.5546875" style="115" bestFit="1" customWidth="1"/>
    <col min="8" max="8" width="8.77734375" style="115" customWidth="1"/>
    <col min="9" max="9" width="15.21875" style="109" customWidth="1"/>
    <col min="10" max="10" width="56.6640625" style="108" customWidth="1"/>
    <col min="11" max="12" width="8.77734375" style="109" customWidth="1"/>
    <col min="13" max="16384" width="11.77734375" style="108"/>
  </cols>
  <sheetData>
    <row r="1" spans="1:12" s="116" customFormat="1" ht="15.6" customHeight="1" thickBot="1" x14ac:dyDescent="0.3">
      <c r="A1" s="59" t="s">
        <v>1266</v>
      </c>
      <c r="B1" s="59" t="s">
        <v>9326</v>
      </c>
      <c r="C1" s="59" t="s">
        <v>9327</v>
      </c>
      <c r="D1" s="76" t="s">
        <v>9328</v>
      </c>
      <c r="E1" s="19" t="s">
        <v>9329</v>
      </c>
      <c r="F1" s="19" t="s">
        <v>9330</v>
      </c>
      <c r="G1" s="19" t="s">
        <v>9331</v>
      </c>
      <c r="H1" s="19" t="s">
        <v>9332</v>
      </c>
      <c r="I1" s="19" t="s">
        <v>9333</v>
      </c>
      <c r="J1" s="19" t="s">
        <v>9334</v>
      </c>
      <c r="K1" s="60" t="s">
        <v>9335</v>
      </c>
      <c r="L1" s="60" t="s">
        <v>9336</v>
      </c>
    </row>
    <row r="2" spans="1:12" ht="14.85" customHeight="1" x14ac:dyDescent="0.25">
      <c r="A2" s="108" t="s">
        <v>9308</v>
      </c>
      <c r="B2" s="115" t="s">
        <v>9337</v>
      </c>
      <c r="C2" s="115" t="s">
        <v>9338</v>
      </c>
      <c r="D2" s="109" t="s">
        <v>9339</v>
      </c>
      <c r="E2" s="110" t="s">
        <v>9340</v>
      </c>
      <c r="F2" s="109" t="s">
        <v>9341</v>
      </c>
      <c r="G2" s="115" t="s">
        <v>9324</v>
      </c>
      <c r="H2" s="115" t="s">
        <v>9323</v>
      </c>
      <c r="I2" s="7" t="s">
        <v>9342</v>
      </c>
      <c r="J2" s="110" t="s">
        <v>9343</v>
      </c>
      <c r="K2" s="7" t="s">
        <v>9341</v>
      </c>
      <c r="L2" s="109" t="s">
        <v>9341</v>
      </c>
    </row>
    <row r="3" spans="1:12" ht="14.85" customHeight="1" x14ac:dyDescent="0.25">
      <c r="A3" s="108" t="s">
        <v>9308</v>
      </c>
      <c r="B3" s="115" t="s">
        <v>9337</v>
      </c>
      <c r="C3" s="115" t="s">
        <v>9338</v>
      </c>
      <c r="D3" s="109" t="s">
        <v>9339</v>
      </c>
      <c r="E3" s="110" t="s">
        <v>9340</v>
      </c>
      <c r="F3" s="109" t="s">
        <v>9341</v>
      </c>
      <c r="G3" s="115" t="s">
        <v>9324</v>
      </c>
      <c r="H3" s="115" t="s">
        <v>9323</v>
      </c>
      <c r="I3" s="7" t="s">
        <v>9344</v>
      </c>
      <c r="J3" s="110" t="s">
        <v>9345</v>
      </c>
      <c r="K3" s="7" t="s">
        <v>9346</v>
      </c>
      <c r="L3" s="109" t="s">
        <v>9346</v>
      </c>
    </row>
    <row r="4" spans="1:12" ht="14.85" customHeight="1" x14ac:dyDescent="0.25">
      <c r="A4" s="108" t="s">
        <v>9308</v>
      </c>
      <c r="B4" s="115" t="s">
        <v>9337</v>
      </c>
      <c r="C4" s="115" t="s">
        <v>9338</v>
      </c>
      <c r="D4" s="109" t="s">
        <v>9339</v>
      </c>
      <c r="E4" s="110" t="s">
        <v>9340</v>
      </c>
      <c r="F4" s="109" t="s">
        <v>9341</v>
      </c>
      <c r="G4" s="115" t="s">
        <v>9324</v>
      </c>
      <c r="H4" s="115" t="s">
        <v>9323</v>
      </c>
      <c r="I4" s="7" t="s">
        <v>9347</v>
      </c>
      <c r="J4" s="110" t="s">
        <v>9348</v>
      </c>
      <c r="K4" s="7" t="s">
        <v>9349</v>
      </c>
      <c r="L4" s="7" t="s">
        <v>9350</v>
      </c>
    </row>
    <row r="5" spans="1:12" ht="14.85" customHeight="1" x14ac:dyDescent="0.25">
      <c r="A5" s="108" t="s">
        <v>9308</v>
      </c>
      <c r="B5" s="115" t="s">
        <v>9337</v>
      </c>
      <c r="C5" s="115" t="s">
        <v>9338</v>
      </c>
      <c r="D5" s="109" t="s">
        <v>9339</v>
      </c>
      <c r="E5" s="110" t="s">
        <v>9340</v>
      </c>
      <c r="F5" s="236" t="s">
        <v>9341</v>
      </c>
      <c r="G5" s="115" t="s">
        <v>9324</v>
      </c>
      <c r="H5" s="115" t="s">
        <v>9323</v>
      </c>
      <c r="I5" s="7" t="s">
        <v>9351</v>
      </c>
      <c r="J5" s="110" t="s">
        <v>9352</v>
      </c>
      <c r="K5" s="7" t="s">
        <v>9353</v>
      </c>
      <c r="L5" s="109" t="s">
        <v>9341</v>
      </c>
    </row>
    <row r="6" spans="1:12" ht="14.85" customHeight="1" x14ac:dyDescent="0.25">
      <c r="A6" s="108" t="s">
        <v>9308</v>
      </c>
      <c r="B6" s="115" t="s">
        <v>9337</v>
      </c>
      <c r="C6" s="115" t="s">
        <v>9338</v>
      </c>
      <c r="D6" s="109" t="s">
        <v>9354</v>
      </c>
      <c r="E6" s="110" t="s">
        <v>9355</v>
      </c>
      <c r="F6" s="236" t="s">
        <v>9353</v>
      </c>
      <c r="G6" s="115" t="s">
        <v>9324</v>
      </c>
      <c r="H6" s="115" t="s">
        <v>9323</v>
      </c>
      <c r="I6" s="7" t="s">
        <v>9356</v>
      </c>
      <c r="J6" s="110" t="s">
        <v>9355</v>
      </c>
      <c r="K6" s="7" t="s">
        <v>9353</v>
      </c>
      <c r="L6" s="109" t="s">
        <v>9353</v>
      </c>
    </row>
    <row r="7" spans="1:12" ht="14.85" customHeight="1" x14ac:dyDescent="0.25">
      <c r="A7" s="108" t="s">
        <v>9308</v>
      </c>
      <c r="B7" s="115" t="s">
        <v>9337</v>
      </c>
      <c r="C7" s="115" t="s">
        <v>9338</v>
      </c>
      <c r="D7" s="109" t="s">
        <v>9354</v>
      </c>
      <c r="E7" s="110" t="s">
        <v>9355</v>
      </c>
      <c r="F7" s="236" t="s">
        <v>9353</v>
      </c>
      <c r="G7" s="115" t="s">
        <v>9324</v>
      </c>
      <c r="H7" s="115" t="s">
        <v>9323</v>
      </c>
      <c r="I7" s="7" t="s">
        <v>9351</v>
      </c>
      <c r="J7" s="110" t="s">
        <v>9352</v>
      </c>
      <c r="K7" s="7" t="s">
        <v>9353</v>
      </c>
      <c r="L7" s="109" t="s">
        <v>9353</v>
      </c>
    </row>
    <row r="8" spans="1:12" ht="14.85" customHeight="1" x14ac:dyDescent="0.25">
      <c r="A8" s="108" t="s">
        <v>9308</v>
      </c>
      <c r="B8" s="115" t="s">
        <v>9337</v>
      </c>
      <c r="C8" s="115" t="s">
        <v>9338</v>
      </c>
      <c r="D8" s="109" t="s">
        <v>9357</v>
      </c>
      <c r="E8" s="110" t="s">
        <v>9358</v>
      </c>
      <c r="F8" s="236" t="s">
        <v>9350</v>
      </c>
      <c r="G8" s="115" t="s">
        <v>9324</v>
      </c>
      <c r="H8" s="115" t="s">
        <v>9323</v>
      </c>
      <c r="I8" s="7" t="s">
        <v>9359</v>
      </c>
      <c r="J8" s="110" t="s">
        <v>9358</v>
      </c>
      <c r="K8" s="7" t="s">
        <v>9350</v>
      </c>
      <c r="L8" s="109" t="s">
        <v>9350</v>
      </c>
    </row>
    <row r="9" spans="1:12" ht="14.85" customHeight="1" x14ac:dyDescent="0.25">
      <c r="A9" s="108" t="s">
        <v>9308</v>
      </c>
      <c r="B9" s="115" t="s">
        <v>9337</v>
      </c>
      <c r="C9" s="115" t="s">
        <v>9338</v>
      </c>
      <c r="D9" s="109" t="s">
        <v>9357</v>
      </c>
      <c r="E9" s="110" t="s">
        <v>9358</v>
      </c>
      <c r="F9" s="236" t="s">
        <v>9350</v>
      </c>
      <c r="G9" s="115" t="s">
        <v>9324</v>
      </c>
      <c r="H9" s="115" t="s">
        <v>9323</v>
      </c>
      <c r="I9" s="7" t="s">
        <v>9351</v>
      </c>
      <c r="J9" s="110" t="s">
        <v>9352</v>
      </c>
      <c r="K9" s="7" t="s">
        <v>9353</v>
      </c>
      <c r="L9" s="109" t="s">
        <v>9350</v>
      </c>
    </row>
    <row r="10" spans="1:12" ht="14.85" customHeight="1" x14ac:dyDescent="0.25">
      <c r="A10" s="108" t="s">
        <v>9308</v>
      </c>
      <c r="B10" s="115" t="s">
        <v>9337</v>
      </c>
      <c r="C10" s="115" t="s">
        <v>9338</v>
      </c>
      <c r="D10" s="109" t="s">
        <v>9360</v>
      </c>
      <c r="E10" s="110" t="s">
        <v>9361</v>
      </c>
      <c r="F10" s="236" t="s">
        <v>9353</v>
      </c>
      <c r="G10" s="115" t="s">
        <v>9324</v>
      </c>
      <c r="H10" s="115" t="s">
        <v>9323</v>
      </c>
      <c r="I10" s="7" t="s">
        <v>9362</v>
      </c>
      <c r="J10" s="110" t="s">
        <v>9363</v>
      </c>
      <c r="K10" s="7" t="s">
        <v>9353</v>
      </c>
      <c r="L10" s="109" t="s">
        <v>9353</v>
      </c>
    </row>
    <row r="11" spans="1:12" ht="14.85" customHeight="1" x14ac:dyDescent="0.25">
      <c r="A11" s="108" t="s">
        <v>9308</v>
      </c>
      <c r="B11" s="115" t="s">
        <v>9337</v>
      </c>
      <c r="C11" s="115" t="s">
        <v>9338</v>
      </c>
      <c r="D11" s="109" t="s">
        <v>9364</v>
      </c>
      <c r="E11" s="110" t="s">
        <v>9365</v>
      </c>
      <c r="F11" s="236" t="s">
        <v>9353</v>
      </c>
      <c r="G11" s="115" t="s">
        <v>9324</v>
      </c>
      <c r="H11" s="115" t="s">
        <v>9323</v>
      </c>
      <c r="I11" s="7" t="s">
        <v>9342</v>
      </c>
      <c r="J11" s="110" t="s">
        <v>9343</v>
      </c>
      <c r="K11" s="7" t="s">
        <v>9341</v>
      </c>
      <c r="L11" s="109" t="s">
        <v>9341</v>
      </c>
    </row>
    <row r="12" spans="1:12" ht="14.85" customHeight="1" x14ac:dyDescent="0.25">
      <c r="A12" s="108" t="s">
        <v>9308</v>
      </c>
      <c r="B12" s="115" t="s">
        <v>9337</v>
      </c>
      <c r="C12" s="115" t="s">
        <v>9338</v>
      </c>
      <c r="D12" s="109" t="s">
        <v>9364</v>
      </c>
      <c r="E12" s="110" t="s">
        <v>9365</v>
      </c>
      <c r="F12" s="236" t="s">
        <v>9353</v>
      </c>
      <c r="G12" s="115" t="s">
        <v>9324</v>
      </c>
      <c r="H12" s="115" t="s">
        <v>9323</v>
      </c>
      <c r="I12" s="7" t="s">
        <v>9366</v>
      </c>
      <c r="J12" s="110" t="s">
        <v>9367</v>
      </c>
      <c r="K12" s="7" t="s">
        <v>9353</v>
      </c>
      <c r="L12" s="109" t="s">
        <v>9353</v>
      </c>
    </row>
    <row r="13" spans="1:12" ht="14.85" customHeight="1" x14ac:dyDescent="0.25">
      <c r="A13" s="108" t="s">
        <v>9308</v>
      </c>
      <c r="B13" s="115" t="s">
        <v>9337</v>
      </c>
      <c r="C13" s="115" t="s">
        <v>9338</v>
      </c>
      <c r="D13" s="109" t="s">
        <v>9364</v>
      </c>
      <c r="E13" s="110" t="s">
        <v>9365</v>
      </c>
      <c r="F13" s="236" t="s">
        <v>9353</v>
      </c>
      <c r="G13" s="115" t="s">
        <v>9324</v>
      </c>
      <c r="H13" s="115" t="s">
        <v>9323</v>
      </c>
      <c r="I13" s="7" t="s">
        <v>9368</v>
      </c>
      <c r="J13" s="110" t="s">
        <v>9365</v>
      </c>
      <c r="K13" s="7" t="s">
        <v>9353</v>
      </c>
      <c r="L13" s="109" t="s">
        <v>9353</v>
      </c>
    </row>
    <row r="14" spans="1:12" ht="14.85" customHeight="1" x14ac:dyDescent="0.25">
      <c r="A14" s="108" t="s">
        <v>9308</v>
      </c>
      <c r="B14" s="115" t="s">
        <v>9337</v>
      </c>
      <c r="C14" s="115" t="s">
        <v>9338</v>
      </c>
      <c r="D14" s="109" t="s">
        <v>9364</v>
      </c>
      <c r="E14" s="110" t="s">
        <v>9365</v>
      </c>
      <c r="F14" s="236" t="s">
        <v>9353</v>
      </c>
      <c r="G14" s="115" t="s">
        <v>9324</v>
      </c>
      <c r="H14" s="115" t="s">
        <v>9323</v>
      </c>
      <c r="I14" s="7" t="s">
        <v>9369</v>
      </c>
      <c r="J14" s="110" t="s">
        <v>9370</v>
      </c>
      <c r="K14" s="7" t="s">
        <v>9353</v>
      </c>
      <c r="L14" s="109" t="s">
        <v>9353</v>
      </c>
    </row>
    <row r="15" spans="1:12" ht="14.85" customHeight="1" x14ac:dyDescent="0.25">
      <c r="A15" s="108" t="s">
        <v>9308</v>
      </c>
      <c r="B15" s="115" t="s">
        <v>9337</v>
      </c>
      <c r="C15" s="115" t="s">
        <v>9338</v>
      </c>
      <c r="D15" s="109" t="s">
        <v>9364</v>
      </c>
      <c r="E15" s="110" t="s">
        <v>9365</v>
      </c>
      <c r="F15" s="236" t="s">
        <v>9353</v>
      </c>
      <c r="G15" s="115" t="s">
        <v>9324</v>
      </c>
      <c r="H15" s="115" t="s">
        <v>9323</v>
      </c>
      <c r="I15" s="7" t="s">
        <v>9371</v>
      </c>
      <c r="J15" s="110" t="s">
        <v>9372</v>
      </c>
      <c r="K15" s="7" t="s">
        <v>9353</v>
      </c>
      <c r="L15" s="109" t="s">
        <v>9353</v>
      </c>
    </row>
    <row r="16" spans="1:12" ht="14.85" customHeight="1" x14ac:dyDescent="0.25">
      <c r="A16" s="108" t="s">
        <v>9308</v>
      </c>
      <c r="B16" s="115" t="s">
        <v>9337</v>
      </c>
      <c r="C16" s="115" t="s">
        <v>9338</v>
      </c>
      <c r="D16" s="109" t="s">
        <v>9364</v>
      </c>
      <c r="E16" s="110" t="s">
        <v>9365</v>
      </c>
      <c r="F16" s="236" t="s">
        <v>9353</v>
      </c>
      <c r="G16" s="115" t="s">
        <v>9324</v>
      </c>
      <c r="H16" s="115" t="s">
        <v>9323</v>
      </c>
      <c r="I16" s="7" t="s">
        <v>9373</v>
      </c>
      <c r="J16" s="110" t="s">
        <v>9374</v>
      </c>
      <c r="K16" s="7" t="s">
        <v>9353</v>
      </c>
      <c r="L16" s="109" t="s">
        <v>9353</v>
      </c>
    </row>
    <row r="17" spans="1:12" ht="14.85" customHeight="1" x14ac:dyDescent="0.25">
      <c r="A17" s="108" t="s">
        <v>9308</v>
      </c>
      <c r="B17" s="115" t="s">
        <v>9337</v>
      </c>
      <c r="C17" s="115" t="s">
        <v>9338</v>
      </c>
      <c r="D17" s="109" t="s">
        <v>9364</v>
      </c>
      <c r="E17" s="110" t="s">
        <v>9365</v>
      </c>
      <c r="F17" s="236" t="s">
        <v>9353</v>
      </c>
      <c r="G17" s="115" t="s">
        <v>9324</v>
      </c>
      <c r="H17" s="115" t="s">
        <v>9323</v>
      </c>
      <c r="I17" s="7" t="s">
        <v>9375</v>
      </c>
      <c r="J17" s="110" t="s">
        <v>9376</v>
      </c>
      <c r="K17" s="7" t="s">
        <v>9353</v>
      </c>
      <c r="L17" s="109" t="s">
        <v>9353</v>
      </c>
    </row>
    <row r="18" spans="1:12" ht="14.85" customHeight="1" x14ac:dyDescent="0.25">
      <c r="A18" s="108" t="s">
        <v>9308</v>
      </c>
      <c r="B18" s="115" t="s">
        <v>9337</v>
      </c>
      <c r="C18" s="115" t="s">
        <v>9338</v>
      </c>
      <c r="D18" s="109" t="s">
        <v>9364</v>
      </c>
      <c r="E18" s="110" t="s">
        <v>9365</v>
      </c>
      <c r="F18" s="236" t="s">
        <v>9353</v>
      </c>
      <c r="G18" s="115" t="s">
        <v>9324</v>
      </c>
      <c r="H18" s="115" t="s">
        <v>9323</v>
      </c>
      <c r="I18" s="7" t="s">
        <v>9377</v>
      </c>
      <c r="J18" s="110" t="s">
        <v>9378</v>
      </c>
      <c r="K18" s="7" t="s">
        <v>9353</v>
      </c>
      <c r="L18" s="109" t="s">
        <v>9353</v>
      </c>
    </row>
    <row r="19" spans="1:12" ht="14.85" customHeight="1" x14ac:dyDescent="0.25">
      <c r="A19" s="108" t="s">
        <v>9308</v>
      </c>
      <c r="B19" s="115" t="s">
        <v>9337</v>
      </c>
      <c r="C19" s="115" t="s">
        <v>9338</v>
      </c>
      <c r="D19" s="109" t="s">
        <v>9364</v>
      </c>
      <c r="E19" s="110" t="s">
        <v>9365</v>
      </c>
      <c r="F19" s="236" t="s">
        <v>9353</v>
      </c>
      <c r="G19" s="115" t="s">
        <v>9324</v>
      </c>
      <c r="H19" s="115" t="s">
        <v>9323</v>
      </c>
      <c r="I19" s="7" t="s">
        <v>9379</v>
      </c>
      <c r="J19" s="110" t="s">
        <v>9380</v>
      </c>
      <c r="K19" s="7" t="s">
        <v>9353</v>
      </c>
      <c r="L19" s="109" t="s">
        <v>9353</v>
      </c>
    </row>
    <row r="20" spans="1:12" ht="14.85" customHeight="1" x14ac:dyDescent="0.25">
      <c r="A20" s="108" t="s">
        <v>9308</v>
      </c>
      <c r="B20" s="115" t="s">
        <v>9337</v>
      </c>
      <c r="C20" s="115" t="s">
        <v>9338</v>
      </c>
      <c r="D20" s="109" t="s">
        <v>9364</v>
      </c>
      <c r="E20" s="110" t="s">
        <v>9365</v>
      </c>
      <c r="F20" s="236" t="s">
        <v>9353</v>
      </c>
      <c r="G20" s="115" t="s">
        <v>9324</v>
      </c>
      <c r="H20" s="115" t="s">
        <v>9323</v>
      </c>
      <c r="I20" s="7" t="s">
        <v>9381</v>
      </c>
      <c r="J20" s="110" t="s">
        <v>9382</v>
      </c>
      <c r="K20" s="7" t="s">
        <v>9353</v>
      </c>
      <c r="L20" s="109" t="s">
        <v>9353</v>
      </c>
    </row>
    <row r="21" spans="1:12" ht="14.85" customHeight="1" x14ac:dyDescent="0.25">
      <c r="A21" s="108" t="s">
        <v>9308</v>
      </c>
      <c r="B21" s="115" t="s">
        <v>9337</v>
      </c>
      <c r="C21" s="115" t="s">
        <v>9338</v>
      </c>
      <c r="D21" s="109" t="s">
        <v>9364</v>
      </c>
      <c r="E21" s="110" t="s">
        <v>9365</v>
      </c>
      <c r="F21" s="236" t="s">
        <v>9353</v>
      </c>
      <c r="G21" s="115" t="s">
        <v>9324</v>
      </c>
      <c r="H21" s="115" t="s">
        <v>9323</v>
      </c>
      <c r="I21" s="7" t="s">
        <v>9383</v>
      </c>
      <c r="J21" s="110" t="s">
        <v>9384</v>
      </c>
      <c r="K21" s="7" t="s">
        <v>9353</v>
      </c>
      <c r="L21" s="109" t="s">
        <v>9353</v>
      </c>
    </row>
    <row r="22" spans="1:12" ht="14.85" customHeight="1" x14ac:dyDescent="0.25">
      <c r="A22" s="108" t="s">
        <v>9308</v>
      </c>
      <c r="B22" s="115" t="s">
        <v>9337</v>
      </c>
      <c r="C22" s="115" t="s">
        <v>9338</v>
      </c>
      <c r="D22" s="109" t="s">
        <v>9364</v>
      </c>
      <c r="E22" s="110" t="s">
        <v>9365</v>
      </c>
      <c r="F22" s="236" t="s">
        <v>9353</v>
      </c>
      <c r="G22" s="115" t="s">
        <v>9324</v>
      </c>
      <c r="H22" s="115" t="s">
        <v>9323</v>
      </c>
      <c r="I22" s="7" t="s">
        <v>9385</v>
      </c>
      <c r="J22" s="110" t="s">
        <v>9386</v>
      </c>
      <c r="K22" s="7" t="s">
        <v>9353</v>
      </c>
      <c r="L22" s="109" t="s">
        <v>9353</v>
      </c>
    </row>
    <row r="23" spans="1:12" ht="14.85" customHeight="1" x14ac:dyDescent="0.25">
      <c r="A23" s="108" t="s">
        <v>9308</v>
      </c>
      <c r="B23" s="115" t="s">
        <v>9337</v>
      </c>
      <c r="C23" s="115" t="s">
        <v>9338</v>
      </c>
      <c r="D23" s="109" t="s">
        <v>9364</v>
      </c>
      <c r="E23" s="110" t="s">
        <v>9365</v>
      </c>
      <c r="F23" s="236" t="s">
        <v>9353</v>
      </c>
      <c r="G23" s="115" t="s">
        <v>9324</v>
      </c>
      <c r="H23" s="115" t="s">
        <v>9323</v>
      </c>
      <c r="I23" s="7" t="s">
        <v>9387</v>
      </c>
      <c r="J23" s="110" t="s">
        <v>9388</v>
      </c>
      <c r="K23" s="7" t="s">
        <v>9353</v>
      </c>
      <c r="L23" s="109" t="s">
        <v>9353</v>
      </c>
    </row>
    <row r="24" spans="1:12" ht="14.85" customHeight="1" x14ac:dyDescent="0.25">
      <c r="A24" s="108" t="s">
        <v>9308</v>
      </c>
      <c r="B24" s="115" t="s">
        <v>9337</v>
      </c>
      <c r="C24" s="115" t="s">
        <v>9338</v>
      </c>
      <c r="D24" s="109" t="s">
        <v>9364</v>
      </c>
      <c r="E24" s="110" t="s">
        <v>9365</v>
      </c>
      <c r="F24" s="236" t="s">
        <v>9353</v>
      </c>
      <c r="G24" s="115" t="s">
        <v>9324</v>
      </c>
      <c r="H24" s="115" t="s">
        <v>9323</v>
      </c>
      <c r="I24" s="7" t="s">
        <v>9389</v>
      </c>
      <c r="J24" s="110" t="s">
        <v>9390</v>
      </c>
      <c r="K24" s="7" t="s">
        <v>9353</v>
      </c>
      <c r="L24" s="109" t="s">
        <v>9353</v>
      </c>
    </row>
    <row r="25" spans="1:12" ht="14.85" customHeight="1" x14ac:dyDescent="0.25">
      <c r="A25" s="108" t="s">
        <v>9308</v>
      </c>
      <c r="B25" s="115" t="s">
        <v>9337</v>
      </c>
      <c r="C25" s="115" t="s">
        <v>9338</v>
      </c>
      <c r="D25" s="109" t="s">
        <v>9364</v>
      </c>
      <c r="E25" s="110" t="s">
        <v>9365</v>
      </c>
      <c r="F25" s="236" t="s">
        <v>9353</v>
      </c>
      <c r="G25" s="115" t="s">
        <v>9324</v>
      </c>
      <c r="H25" s="115" t="s">
        <v>9323</v>
      </c>
      <c r="I25" s="7" t="s">
        <v>9391</v>
      </c>
      <c r="J25" s="110" t="s">
        <v>9392</v>
      </c>
      <c r="K25" s="7" t="s">
        <v>9353</v>
      </c>
      <c r="L25" s="109" t="s">
        <v>9353</v>
      </c>
    </row>
    <row r="26" spans="1:12" ht="14.85" customHeight="1" x14ac:dyDescent="0.25">
      <c r="A26" s="108" t="s">
        <v>9308</v>
      </c>
      <c r="B26" s="115" t="s">
        <v>9337</v>
      </c>
      <c r="C26" s="115" t="s">
        <v>9338</v>
      </c>
      <c r="D26" s="109" t="s">
        <v>9364</v>
      </c>
      <c r="E26" s="110" t="s">
        <v>9365</v>
      </c>
      <c r="F26" s="236" t="s">
        <v>9353</v>
      </c>
      <c r="G26" s="115" t="s">
        <v>9324</v>
      </c>
      <c r="H26" s="115" t="s">
        <v>9323</v>
      </c>
      <c r="I26" s="7" t="s">
        <v>9393</v>
      </c>
      <c r="J26" s="110" t="s">
        <v>9394</v>
      </c>
      <c r="K26" s="7" t="s">
        <v>9353</v>
      </c>
      <c r="L26" s="109" t="s">
        <v>9353</v>
      </c>
    </row>
    <row r="27" spans="1:12" ht="14.85" customHeight="1" x14ac:dyDescent="0.25">
      <c r="A27" s="108" t="s">
        <v>9308</v>
      </c>
      <c r="B27" s="115" t="s">
        <v>9337</v>
      </c>
      <c r="C27" s="115" t="s">
        <v>9338</v>
      </c>
      <c r="D27" s="109" t="s">
        <v>9364</v>
      </c>
      <c r="E27" s="110" t="s">
        <v>9365</v>
      </c>
      <c r="F27" s="236" t="s">
        <v>9353</v>
      </c>
      <c r="G27" s="115" t="s">
        <v>9324</v>
      </c>
      <c r="H27" s="115" t="s">
        <v>9323</v>
      </c>
      <c r="I27" s="7" t="s">
        <v>9395</v>
      </c>
      <c r="J27" s="110" t="s">
        <v>9396</v>
      </c>
      <c r="K27" s="7" t="s">
        <v>9353</v>
      </c>
      <c r="L27" s="109" t="s">
        <v>9353</v>
      </c>
    </row>
    <row r="28" spans="1:12" ht="14.85" customHeight="1" x14ac:dyDescent="0.25">
      <c r="A28" s="108" t="s">
        <v>9308</v>
      </c>
      <c r="B28" s="115" t="s">
        <v>9337</v>
      </c>
      <c r="C28" s="115" t="s">
        <v>9338</v>
      </c>
      <c r="D28" s="109" t="s">
        <v>9364</v>
      </c>
      <c r="E28" s="110" t="s">
        <v>9365</v>
      </c>
      <c r="F28" s="236" t="s">
        <v>9353</v>
      </c>
      <c r="G28" s="115" t="s">
        <v>9324</v>
      </c>
      <c r="H28" s="115" t="s">
        <v>9323</v>
      </c>
      <c r="I28" s="7" t="s">
        <v>9397</v>
      </c>
      <c r="J28" s="110" t="s">
        <v>9398</v>
      </c>
      <c r="K28" s="7" t="s">
        <v>9353</v>
      </c>
      <c r="L28" s="109" t="s">
        <v>9353</v>
      </c>
    </row>
    <row r="29" spans="1:12" ht="14.85" customHeight="1" x14ac:dyDescent="0.25">
      <c r="A29" s="108" t="s">
        <v>9308</v>
      </c>
      <c r="B29" s="115" t="s">
        <v>9337</v>
      </c>
      <c r="C29" s="115" t="s">
        <v>9338</v>
      </c>
      <c r="D29" s="109" t="s">
        <v>9364</v>
      </c>
      <c r="E29" s="110" t="s">
        <v>9365</v>
      </c>
      <c r="F29" s="236" t="s">
        <v>9353</v>
      </c>
      <c r="G29" s="115" t="s">
        <v>9324</v>
      </c>
      <c r="H29" s="115" t="s">
        <v>9323</v>
      </c>
      <c r="I29" s="7" t="s">
        <v>9399</v>
      </c>
      <c r="J29" s="110" t="s">
        <v>9400</v>
      </c>
      <c r="K29" s="7" t="s">
        <v>9353</v>
      </c>
      <c r="L29" s="109" t="s">
        <v>9353</v>
      </c>
    </row>
    <row r="30" spans="1:12" ht="14.85" customHeight="1" x14ac:dyDescent="0.25">
      <c r="A30" s="108" t="s">
        <v>9308</v>
      </c>
      <c r="B30" s="115" t="s">
        <v>9337</v>
      </c>
      <c r="C30" s="115" t="s">
        <v>9338</v>
      </c>
      <c r="D30" s="109" t="s">
        <v>9364</v>
      </c>
      <c r="E30" s="110" t="s">
        <v>9365</v>
      </c>
      <c r="F30" s="236" t="s">
        <v>9353</v>
      </c>
      <c r="G30" s="115" t="s">
        <v>9324</v>
      </c>
      <c r="H30" s="115" t="s">
        <v>9323</v>
      </c>
      <c r="I30" s="7" t="s">
        <v>9351</v>
      </c>
      <c r="J30" s="110" t="s">
        <v>9352</v>
      </c>
      <c r="K30" s="7" t="s">
        <v>9353</v>
      </c>
      <c r="L30" s="109" t="s">
        <v>9353</v>
      </c>
    </row>
    <row r="31" spans="1:12" ht="14.85" customHeight="1" x14ac:dyDescent="0.25">
      <c r="A31" s="108" t="s">
        <v>9308</v>
      </c>
      <c r="B31" s="115" t="s">
        <v>9337</v>
      </c>
      <c r="C31" s="115" t="s">
        <v>9338</v>
      </c>
      <c r="D31" s="109" t="s">
        <v>9401</v>
      </c>
      <c r="E31" s="110" t="s">
        <v>9402</v>
      </c>
      <c r="F31" s="236" t="s">
        <v>9353</v>
      </c>
      <c r="G31" s="115" t="s">
        <v>9324</v>
      </c>
      <c r="H31" s="115" t="s">
        <v>9323</v>
      </c>
      <c r="I31" s="7" t="s">
        <v>9342</v>
      </c>
      <c r="J31" s="110" t="s">
        <v>9343</v>
      </c>
      <c r="K31" s="7" t="s">
        <v>9341</v>
      </c>
      <c r="L31" s="109" t="s">
        <v>9341</v>
      </c>
    </row>
    <row r="32" spans="1:12" ht="14.85" customHeight="1" x14ac:dyDescent="0.25">
      <c r="A32" s="108" t="s">
        <v>9308</v>
      </c>
      <c r="B32" s="115" t="s">
        <v>9337</v>
      </c>
      <c r="C32" s="115" t="s">
        <v>9338</v>
      </c>
      <c r="D32" s="109" t="s">
        <v>9401</v>
      </c>
      <c r="E32" s="110" t="s">
        <v>9402</v>
      </c>
      <c r="F32" s="236" t="s">
        <v>9353</v>
      </c>
      <c r="G32" s="115" t="s">
        <v>9324</v>
      </c>
      <c r="H32" s="115" t="s">
        <v>9323</v>
      </c>
      <c r="I32" s="7" t="s">
        <v>9403</v>
      </c>
      <c r="J32" s="110" t="s">
        <v>9402</v>
      </c>
      <c r="K32" s="7" t="s">
        <v>9353</v>
      </c>
      <c r="L32" s="109" t="s">
        <v>9353</v>
      </c>
    </row>
    <row r="33" spans="1:12" ht="14.85" customHeight="1" x14ac:dyDescent="0.25">
      <c r="A33" s="108" t="s">
        <v>9308</v>
      </c>
      <c r="B33" s="115" t="s">
        <v>9337</v>
      </c>
      <c r="C33" s="115" t="s">
        <v>9338</v>
      </c>
      <c r="D33" s="109" t="s">
        <v>9401</v>
      </c>
      <c r="E33" s="110" t="s">
        <v>9402</v>
      </c>
      <c r="F33" s="236" t="s">
        <v>9353</v>
      </c>
      <c r="G33" s="115" t="s">
        <v>9324</v>
      </c>
      <c r="H33" s="115" t="s">
        <v>9323</v>
      </c>
      <c r="I33" s="7" t="s">
        <v>9351</v>
      </c>
      <c r="J33" s="110" t="s">
        <v>9352</v>
      </c>
      <c r="K33" s="7" t="s">
        <v>9353</v>
      </c>
      <c r="L33" s="109" t="s">
        <v>9353</v>
      </c>
    </row>
    <row r="34" spans="1:12" ht="14.85" customHeight="1" x14ac:dyDescent="0.25">
      <c r="A34" s="108" t="s">
        <v>9308</v>
      </c>
      <c r="B34" s="115" t="s">
        <v>9337</v>
      </c>
      <c r="C34" s="115" t="s">
        <v>9338</v>
      </c>
      <c r="D34" s="109" t="s">
        <v>9404</v>
      </c>
      <c r="E34" s="110" t="s">
        <v>9405</v>
      </c>
      <c r="F34" s="236" t="s">
        <v>9353</v>
      </c>
      <c r="G34" s="115" t="s">
        <v>9324</v>
      </c>
      <c r="H34" s="115" t="s">
        <v>9323</v>
      </c>
      <c r="I34" s="7" t="s">
        <v>9342</v>
      </c>
      <c r="J34" s="110" t="s">
        <v>9343</v>
      </c>
      <c r="K34" s="7" t="s">
        <v>9341</v>
      </c>
      <c r="L34" s="109" t="s">
        <v>9341</v>
      </c>
    </row>
    <row r="35" spans="1:12" ht="14.85" customHeight="1" x14ac:dyDescent="0.25">
      <c r="A35" s="108" t="s">
        <v>9308</v>
      </c>
      <c r="B35" s="115" t="s">
        <v>9337</v>
      </c>
      <c r="C35" s="115" t="s">
        <v>9338</v>
      </c>
      <c r="D35" s="109" t="s">
        <v>9404</v>
      </c>
      <c r="E35" s="110" t="s">
        <v>9405</v>
      </c>
      <c r="F35" s="236" t="s">
        <v>9353</v>
      </c>
      <c r="G35" s="115" t="s">
        <v>9324</v>
      </c>
      <c r="H35" s="115" t="s">
        <v>9323</v>
      </c>
      <c r="I35" s="7" t="s">
        <v>9406</v>
      </c>
      <c r="J35" s="110" t="s">
        <v>9405</v>
      </c>
      <c r="K35" s="7" t="s">
        <v>9353</v>
      </c>
      <c r="L35" s="109" t="s">
        <v>9353</v>
      </c>
    </row>
    <row r="36" spans="1:12" ht="14.85" customHeight="1" x14ac:dyDescent="0.25">
      <c r="A36" s="108" t="s">
        <v>9308</v>
      </c>
      <c r="B36" s="115" t="s">
        <v>9337</v>
      </c>
      <c r="C36" s="115" t="s">
        <v>9338</v>
      </c>
      <c r="D36" s="109" t="s">
        <v>9404</v>
      </c>
      <c r="E36" s="110" t="s">
        <v>9405</v>
      </c>
      <c r="F36" s="236" t="s">
        <v>9353</v>
      </c>
      <c r="G36" s="115" t="s">
        <v>9324</v>
      </c>
      <c r="H36" s="115" t="s">
        <v>9323</v>
      </c>
      <c r="I36" s="7" t="s">
        <v>9351</v>
      </c>
      <c r="J36" s="110" t="s">
        <v>9352</v>
      </c>
      <c r="K36" s="7" t="s">
        <v>9353</v>
      </c>
      <c r="L36" s="109" t="s">
        <v>9353</v>
      </c>
    </row>
    <row r="37" spans="1:12" ht="14.85" customHeight="1" x14ac:dyDescent="0.25">
      <c r="A37" s="108" t="s">
        <v>9308</v>
      </c>
      <c r="B37" s="115" t="s">
        <v>9337</v>
      </c>
      <c r="C37" s="115" t="s">
        <v>9338</v>
      </c>
      <c r="D37" s="109" t="s">
        <v>9407</v>
      </c>
      <c r="E37" s="110" t="s">
        <v>9408</v>
      </c>
      <c r="F37" s="236" t="s">
        <v>9353</v>
      </c>
      <c r="G37" s="115" t="s">
        <v>9324</v>
      </c>
      <c r="H37" s="115" t="s">
        <v>9323</v>
      </c>
      <c r="I37" s="7" t="s">
        <v>9342</v>
      </c>
      <c r="J37" s="110" t="s">
        <v>9343</v>
      </c>
      <c r="K37" s="7" t="s">
        <v>9341</v>
      </c>
      <c r="L37" s="109" t="s">
        <v>9341</v>
      </c>
    </row>
    <row r="38" spans="1:12" ht="14.85" customHeight="1" x14ac:dyDescent="0.25">
      <c r="A38" s="108" t="s">
        <v>9308</v>
      </c>
      <c r="B38" s="115" t="s">
        <v>9337</v>
      </c>
      <c r="C38" s="115" t="s">
        <v>9338</v>
      </c>
      <c r="D38" s="109" t="s">
        <v>9407</v>
      </c>
      <c r="E38" s="110" t="s">
        <v>9408</v>
      </c>
      <c r="F38" s="236" t="s">
        <v>9353</v>
      </c>
      <c r="G38" s="115" t="s">
        <v>9324</v>
      </c>
      <c r="H38" s="115" t="s">
        <v>9323</v>
      </c>
      <c r="I38" s="7" t="s">
        <v>9409</v>
      </c>
      <c r="J38" s="110" t="s">
        <v>9410</v>
      </c>
      <c r="K38" s="7" t="s">
        <v>9353</v>
      </c>
      <c r="L38" s="109" t="s">
        <v>9353</v>
      </c>
    </row>
    <row r="39" spans="1:12" ht="14.85" customHeight="1" x14ac:dyDescent="0.25">
      <c r="A39" s="108" t="s">
        <v>9308</v>
      </c>
      <c r="B39" s="115" t="s">
        <v>9337</v>
      </c>
      <c r="C39" s="115" t="s">
        <v>9338</v>
      </c>
      <c r="D39" s="109" t="s">
        <v>9407</v>
      </c>
      <c r="E39" s="110" t="s">
        <v>9408</v>
      </c>
      <c r="F39" s="236" t="s">
        <v>9353</v>
      </c>
      <c r="G39" s="115" t="s">
        <v>9324</v>
      </c>
      <c r="H39" s="115" t="s">
        <v>9323</v>
      </c>
      <c r="I39" s="7" t="s">
        <v>9351</v>
      </c>
      <c r="J39" s="110" t="s">
        <v>9352</v>
      </c>
      <c r="K39" s="7" t="s">
        <v>9353</v>
      </c>
      <c r="L39" s="109" t="s">
        <v>9353</v>
      </c>
    </row>
    <row r="40" spans="1:12" ht="14.85" customHeight="1" x14ac:dyDescent="0.25">
      <c r="A40" s="108" t="s">
        <v>9308</v>
      </c>
      <c r="B40" s="115" t="s">
        <v>9337</v>
      </c>
      <c r="C40" s="115" t="s">
        <v>9338</v>
      </c>
      <c r="D40" s="109" t="s">
        <v>9411</v>
      </c>
      <c r="E40" s="110" t="s">
        <v>9412</v>
      </c>
      <c r="F40" s="236" t="s">
        <v>9353</v>
      </c>
      <c r="G40" s="115" t="s">
        <v>9324</v>
      </c>
      <c r="H40" s="115" t="s">
        <v>9323</v>
      </c>
      <c r="I40" s="7" t="s">
        <v>9342</v>
      </c>
      <c r="J40" s="110" t="s">
        <v>9343</v>
      </c>
      <c r="K40" s="7" t="s">
        <v>9341</v>
      </c>
      <c r="L40" s="109" t="s">
        <v>9341</v>
      </c>
    </row>
    <row r="41" spans="1:12" ht="14.85" customHeight="1" x14ac:dyDescent="0.25">
      <c r="A41" s="108" t="s">
        <v>9308</v>
      </c>
      <c r="B41" s="115" t="s">
        <v>9337</v>
      </c>
      <c r="C41" s="115" t="s">
        <v>9338</v>
      </c>
      <c r="D41" s="109" t="s">
        <v>9411</v>
      </c>
      <c r="E41" s="110" t="s">
        <v>9412</v>
      </c>
      <c r="F41" s="236" t="s">
        <v>9353</v>
      </c>
      <c r="G41" s="115" t="s">
        <v>9324</v>
      </c>
      <c r="H41" s="115" t="s">
        <v>9323</v>
      </c>
      <c r="I41" s="7" t="s">
        <v>9413</v>
      </c>
      <c r="J41" s="110" t="s">
        <v>9414</v>
      </c>
      <c r="K41" s="7" t="s">
        <v>9353</v>
      </c>
      <c r="L41" s="109" t="s">
        <v>9353</v>
      </c>
    </row>
    <row r="42" spans="1:12" ht="14.85" customHeight="1" x14ac:dyDescent="0.25">
      <c r="A42" s="108" t="s">
        <v>9308</v>
      </c>
      <c r="B42" s="115" t="s">
        <v>9337</v>
      </c>
      <c r="C42" s="115" t="s">
        <v>9338</v>
      </c>
      <c r="D42" s="109" t="s">
        <v>9411</v>
      </c>
      <c r="E42" s="110" t="s">
        <v>9412</v>
      </c>
      <c r="F42" s="236" t="s">
        <v>9353</v>
      </c>
      <c r="G42" s="115" t="s">
        <v>9324</v>
      </c>
      <c r="H42" s="115" t="s">
        <v>9323</v>
      </c>
      <c r="I42" s="7" t="s">
        <v>9351</v>
      </c>
      <c r="J42" s="110" t="s">
        <v>9352</v>
      </c>
      <c r="K42" s="7" t="s">
        <v>9353</v>
      </c>
      <c r="L42" s="109" t="s">
        <v>9353</v>
      </c>
    </row>
    <row r="43" spans="1:12" ht="14.85" customHeight="1" x14ac:dyDescent="0.25">
      <c r="A43" s="108" t="s">
        <v>9308</v>
      </c>
      <c r="B43" s="115" t="s">
        <v>9337</v>
      </c>
      <c r="C43" s="115" t="s">
        <v>9338</v>
      </c>
      <c r="D43" s="109" t="s">
        <v>9415</v>
      </c>
      <c r="E43" s="110" t="s">
        <v>13393</v>
      </c>
      <c r="F43" s="236" t="s">
        <v>9416</v>
      </c>
      <c r="G43" s="115" t="s">
        <v>9324</v>
      </c>
      <c r="H43" s="115" t="s">
        <v>9323</v>
      </c>
      <c r="I43" s="7" t="s">
        <v>9342</v>
      </c>
      <c r="J43" s="110" t="s">
        <v>9343</v>
      </c>
      <c r="K43" s="7" t="s">
        <v>9341</v>
      </c>
      <c r="L43" s="109" t="s">
        <v>9416</v>
      </c>
    </row>
    <row r="44" spans="1:12" ht="14.85" customHeight="1" x14ac:dyDescent="0.25">
      <c r="A44" s="108" t="s">
        <v>9308</v>
      </c>
      <c r="B44" s="115" t="s">
        <v>9337</v>
      </c>
      <c r="C44" s="115" t="s">
        <v>9338</v>
      </c>
      <c r="D44" s="109" t="s">
        <v>9415</v>
      </c>
      <c r="E44" s="110" t="s">
        <v>13393</v>
      </c>
      <c r="F44" s="236" t="s">
        <v>9416</v>
      </c>
      <c r="G44" s="115" t="s">
        <v>9324</v>
      </c>
      <c r="H44" s="115" t="s">
        <v>9323</v>
      </c>
      <c r="I44" s="7" t="s">
        <v>9344</v>
      </c>
      <c r="J44" s="110" t="s">
        <v>9345</v>
      </c>
      <c r="K44" s="7" t="s">
        <v>9346</v>
      </c>
      <c r="L44" s="109" t="s">
        <v>9346</v>
      </c>
    </row>
    <row r="45" spans="1:12" ht="14.85" customHeight="1" x14ac:dyDescent="0.25">
      <c r="A45" s="108" t="s">
        <v>9308</v>
      </c>
      <c r="B45" s="115" t="s">
        <v>9337</v>
      </c>
      <c r="C45" s="115" t="s">
        <v>9338</v>
      </c>
      <c r="D45" s="109" t="s">
        <v>9415</v>
      </c>
      <c r="E45" s="110" t="s">
        <v>13393</v>
      </c>
      <c r="F45" s="236" t="s">
        <v>9416</v>
      </c>
      <c r="G45" s="115" t="s">
        <v>9324</v>
      </c>
      <c r="H45" s="115" t="s">
        <v>9323</v>
      </c>
      <c r="I45" s="7" t="s">
        <v>9347</v>
      </c>
      <c r="J45" s="110" t="s">
        <v>9348</v>
      </c>
      <c r="K45" s="7" t="s">
        <v>9349</v>
      </c>
      <c r="L45" s="109" t="s">
        <v>9350</v>
      </c>
    </row>
    <row r="46" spans="1:12" ht="14.85" customHeight="1" x14ac:dyDescent="0.25">
      <c r="A46" s="108" t="s">
        <v>9308</v>
      </c>
      <c r="B46" s="115" t="s">
        <v>9337</v>
      </c>
      <c r="C46" s="115" t="s">
        <v>9338</v>
      </c>
      <c r="D46" s="109" t="s">
        <v>9415</v>
      </c>
      <c r="E46" s="110" t="s">
        <v>13393</v>
      </c>
      <c r="F46" s="236" t="s">
        <v>9416</v>
      </c>
      <c r="G46" s="115" t="s">
        <v>9324</v>
      </c>
      <c r="H46" s="115" t="s">
        <v>9323</v>
      </c>
      <c r="I46" s="7" t="s">
        <v>9351</v>
      </c>
      <c r="J46" s="110" t="s">
        <v>9352</v>
      </c>
      <c r="K46" s="7" t="s">
        <v>9353</v>
      </c>
      <c r="L46" s="109" t="s">
        <v>9416</v>
      </c>
    </row>
    <row r="47" spans="1:12" ht="14.85" customHeight="1" x14ac:dyDescent="0.25">
      <c r="A47" s="108" t="s">
        <v>9308</v>
      </c>
      <c r="B47" s="115" t="s">
        <v>9337</v>
      </c>
      <c r="C47" s="115" t="s">
        <v>9338</v>
      </c>
      <c r="D47" s="109" t="s">
        <v>9417</v>
      </c>
      <c r="E47" s="110" t="s">
        <v>13432</v>
      </c>
      <c r="F47" s="236" t="s">
        <v>9353</v>
      </c>
      <c r="G47" s="115" t="s">
        <v>9324</v>
      </c>
      <c r="H47" s="115" t="s">
        <v>9323</v>
      </c>
      <c r="I47" s="7" t="s">
        <v>9342</v>
      </c>
      <c r="J47" s="110" t="s">
        <v>9343</v>
      </c>
      <c r="K47" s="7" t="s">
        <v>9341</v>
      </c>
      <c r="L47" s="109" t="s">
        <v>9341</v>
      </c>
    </row>
    <row r="48" spans="1:12" ht="14.85" customHeight="1" x14ac:dyDescent="0.25">
      <c r="A48" s="108" t="s">
        <v>9308</v>
      </c>
      <c r="B48" s="115" t="s">
        <v>9337</v>
      </c>
      <c r="C48" s="115" t="s">
        <v>9338</v>
      </c>
      <c r="D48" s="109" t="s">
        <v>9417</v>
      </c>
      <c r="E48" s="110" t="s">
        <v>13432</v>
      </c>
      <c r="F48" s="236" t="s">
        <v>9353</v>
      </c>
      <c r="G48" s="115" t="s">
        <v>9324</v>
      </c>
      <c r="H48" s="115" t="s">
        <v>9323</v>
      </c>
      <c r="I48" s="7" t="s">
        <v>9418</v>
      </c>
      <c r="J48" s="110" t="s">
        <v>9419</v>
      </c>
      <c r="K48" s="7" t="s">
        <v>9353</v>
      </c>
      <c r="L48" s="109" t="s">
        <v>9353</v>
      </c>
    </row>
    <row r="49" spans="1:12" ht="14.85" customHeight="1" x14ac:dyDescent="0.25">
      <c r="A49" s="108" t="s">
        <v>9308</v>
      </c>
      <c r="B49" s="115" t="s">
        <v>9337</v>
      </c>
      <c r="C49" s="115" t="s">
        <v>9338</v>
      </c>
      <c r="D49" s="109" t="s">
        <v>9417</v>
      </c>
      <c r="E49" s="110" t="s">
        <v>13432</v>
      </c>
      <c r="F49" s="236" t="s">
        <v>9353</v>
      </c>
      <c r="G49" s="115" t="s">
        <v>9324</v>
      </c>
      <c r="H49" s="115" t="s">
        <v>9323</v>
      </c>
      <c r="I49" s="7" t="s">
        <v>9351</v>
      </c>
      <c r="J49" s="110" t="s">
        <v>9352</v>
      </c>
      <c r="K49" s="7" t="s">
        <v>9353</v>
      </c>
      <c r="L49" s="109" t="s">
        <v>9353</v>
      </c>
    </row>
    <row r="50" spans="1:12" ht="14.85" customHeight="1" x14ac:dyDescent="0.25">
      <c r="A50" s="108" t="s">
        <v>9308</v>
      </c>
      <c r="B50" s="115" t="s">
        <v>9337</v>
      </c>
      <c r="C50" s="115" t="s">
        <v>9338</v>
      </c>
      <c r="D50" s="109" t="s">
        <v>9420</v>
      </c>
      <c r="E50" s="110" t="s">
        <v>9421</v>
      </c>
      <c r="F50" s="236" t="s">
        <v>9341</v>
      </c>
      <c r="G50" s="115" t="s">
        <v>9324</v>
      </c>
      <c r="H50" s="115" t="s">
        <v>9323</v>
      </c>
      <c r="I50" s="7" t="s">
        <v>9422</v>
      </c>
      <c r="J50" s="110" t="s">
        <v>9423</v>
      </c>
      <c r="K50" s="7" t="s">
        <v>9353</v>
      </c>
      <c r="L50" s="109" t="s">
        <v>9341</v>
      </c>
    </row>
    <row r="51" spans="1:12" ht="14.85" customHeight="1" x14ac:dyDescent="0.25">
      <c r="A51" s="108" t="s">
        <v>9308</v>
      </c>
      <c r="B51" s="115" t="s">
        <v>9337</v>
      </c>
      <c r="C51" s="115" t="s">
        <v>9338</v>
      </c>
      <c r="D51" s="109" t="s">
        <v>9420</v>
      </c>
      <c r="E51" s="110" t="s">
        <v>9421</v>
      </c>
      <c r="F51" s="236" t="s">
        <v>9341</v>
      </c>
      <c r="G51" s="115" t="s">
        <v>9324</v>
      </c>
      <c r="H51" s="115" t="s">
        <v>9323</v>
      </c>
      <c r="I51" s="7" t="s">
        <v>9424</v>
      </c>
      <c r="J51" s="110" t="s">
        <v>9425</v>
      </c>
      <c r="K51" s="7" t="s">
        <v>9341</v>
      </c>
      <c r="L51" s="109" t="s">
        <v>9341</v>
      </c>
    </row>
    <row r="52" spans="1:12" ht="14.85" customHeight="1" x14ac:dyDescent="0.25">
      <c r="A52" s="108" t="s">
        <v>9308</v>
      </c>
      <c r="B52" s="115" t="s">
        <v>9337</v>
      </c>
      <c r="C52" s="115" t="s">
        <v>9338</v>
      </c>
      <c r="D52" s="109" t="s">
        <v>9426</v>
      </c>
      <c r="E52" s="110" t="s">
        <v>9427</v>
      </c>
      <c r="F52" s="236" t="s">
        <v>9346</v>
      </c>
      <c r="G52" s="115" t="s">
        <v>9324</v>
      </c>
      <c r="H52" s="115" t="s">
        <v>9323</v>
      </c>
      <c r="I52" s="7" t="s">
        <v>9344</v>
      </c>
      <c r="J52" s="110" t="s">
        <v>9345</v>
      </c>
      <c r="K52" s="7" t="s">
        <v>9346</v>
      </c>
      <c r="L52" s="109" t="s">
        <v>9346</v>
      </c>
    </row>
    <row r="53" spans="1:12" ht="14.85" customHeight="1" x14ac:dyDescent="0.25">
      <c r="A53" s="108" t="s">
        <v>9308</v>
      </c>
      <c r="B53" s="115" t="s">
        <v>9337</v>
      </c>
      <c r="C53" s="115" t="s">
        <v>9338</v>
      </c>
      <c r="D53" s="109" t="s">
        <v>9428</v>
      </c>
      <c r="E53" s="110" t="s">
        <v>9429</v>
      </c>
      <c r="F53" s="236" t="s">
        <v>6668</v>
      </c>
      <c r="G53" s="115" t="s">
        <v>9324</v>
      </c>
      <c r="H53" s="115" t="s">
        <v>9323</v>
      </c>
      <c r="I53" s="7" t="s">
        <v>9430</v>
      </c>
      <c r="J53" s="110" t="s">
        <v>9431</v>
      </c>
      <c r="K53" s="7" t="s">
        <v>9349</v>
      </c>
      <c r="L53" s="109" t="s">
        <v>6668</v>
      </c>
    </row>
    <row r="54" spans="1:12" ht="14.85" customHeight="1" x14ac:dyDescent="0.25">
      <c r="A54" s="108" t="s">
        <v>9308</v>
      </c>
      <c r="B54" s="115" t="s">
        <v>9337</v>
      </c>
      <c r="C54" s="115" t="s">
        <v>9338</v>
      </c>
      <c r="D54" s="109" t="s">
        <v>9428</v>
      </c>
      <c r="E54" s="110" t="s">
        <v>9429</v>
      </c>
      <c r="F54" s="236" t="s">
        <v>6668</v>
      </c>
      <c r="G54" s="115" t="s">
        <v>9324</v>
      </c>
      <c r="H54" s="115" t="s">
        <v>9323</v>
      </c>
      <c r="I54" s="7" t="s">
        <v>9347</v>
      </c>
      <c r="J54" s="110" t="s">
        <v>9348</v>
      </c>
      <c r="K54" s="7" t="s">
        <v>9349</v>
      </c>
      <c r="L54" s="109" t="s">
        <v>6668</v>
      </c>
    </row>
    <row r="55" spans="1:12" ht="14.85" customHeight="1" x14ac:dyDescent="0.25">
      <c r="A55" s="108" t="s">
        <v>9308</v>
      </c>
      <c r="B55" s="115" t="s">
        <v>9337</v>
      </c>
      <c r="C55" s="115" t="s">
        <v>9338</v>
      </c>
      <c r="D55" s="109" t="s">
        <v>9432</v>
      </c>
      <c r="E55" s="110" t="s">
        <v>9433</v>
      </c>
      <c r="F55" s="236" t="s">
        <v>9350</v>
      </c>
      <c r="G55" s="115" t="s">
        <v>9324</v>
      </c>
      <c r="H55" s="115" t="s">
        <v>9323</v>
      </c>
      <c r="I55" s="7" t="s">
        <v>9430</v>
      </c>
      <c r="J55" s="110" t="s">
        <v>9431</v>
      </c>
      <c r="K55" s="7" t="s">
        <v>9349</v>
      </c>
      <c r="L55" s="109" t="s">
        <v>9350</v>
      </c>
    </row>
    <row r="56" spans="1:12" ht="14.85" customHeight="1" x14ac:dyDescent="0.25">
      <c r="A56" s="108" t="s">
        <v>9308</v>
      </c>
      <c r="B56" s="115" t="s">
        <v>9337</v>
      </c>
      <c r="C56" s="115" t="s">
        <v>9338</v>
      </c>
      <c r="D56" s="109" t="s">
        <v>9432</v>
      </c>
      <c r="E56" s="110" t="s">
        <v>9433</v>
      </c>
      <c r="F56" s="236" t="s">
        <v>9350</v>
      </c>
      <c r="G56" s="115" t="s">
        <v>9324</v>
      </c>
      <c r="H56" s="115" t="s">
        <v>9323</v>
      </c>
      <c r="I56" s="7" t="s">
        <v>9422</v>
      </c>
      <c r="J56" s="110" t="s">
        <v>9423</v>
      </c>
      <c r="K56" s="7" t="s">
        <v>9353</v>
      </c>
      <c r="L56" s="109" t="s">
        <v>9350</v>
      </c>
    </row>
    <row r="57" spans="1:12" ht="14.85" customHeight="1" x14ac:dyDescent="0.25">
      <c r="A57" s="108" t="s">
        <v>9308</v>
      </c>
      <c r="B57" s="115" t="s">
        <v>9337</v>
      </c>
      <c r="C57" s="115" t="s">
        <v>9338</v>
      </c>
      <c r="D57" s="109" t="s">
        <v>9432</v>
      </c>
      <c r="E57" s="110" t="s">
        <v>9433</v>
      </c>
      <c r="F57" s="236" t="s">
        <v>9350</v>
      </c>
      <c r="G57" s="115" t="s">
        <v>9324</v>
      </c>
      <c r="H57" s="115" t="s">
        <v>9323</v>
      </c>
      <c r="I57" s="7" t="s">
        <v>9424</v>
      </c>
      <c r="J57" s="110" t="s">
        <v>9425</v>
      </c>
      <c r="K57" s="7" t="s">
        <v>9341</v>
      </c>
      <c r="L57" s="109" t="s">
        <v>9350</v>
      </c>
    </row>
    <row r="58" spans="1:12" ht="14.85" customHeight="1" x14ac:dyDescent="0.25">
      <c r="A58" s="108" t="s">
        <v>9308</v>
      </c>
      <c r="B58" s="115" t="s">
        <v>9337</v>
      </c>
      <c r="C58" s="115" t="s">
        <v>9338</v>
      </c>
      <c r="D58" s="109" t="s">
        <v>9432</v>
      </c>
      <c r="E58" s="110" t="s">
        <v>9433</v>
      </c>
      <c r="F58" s="236" t="s">
        <v>9350</v>
      </c>
      <c r="G58" s="115" t="s">
        <v>9324</v>
      </c>
      <c r="H58" s="115" t="s">
        <v>9323</v>
      </c>
      <c r="I58" s="7" t="s">
        <v>9347</v>
      </c>
      <c r="J58" s="110" t="s">
        <v>9348</v>
      </c>
      <c r="K58" s="7" t="s">
        <v>9349</v>
      </c>
      <c r="L58" s="109" t="s">
        <v>9350</v>
      </c>
    </row>
    <row r="59" spans="1:12" ht="14.85" customHeight="1" x14ac:dyDescent="0.25">
      <c r="A59" s="108" t="s">
        <v>9308</v>
      </c>
      <c r="B59" s="115" t="s">
        <v>9337</v>
      </c>
      <c r="C59" s="115" t="s">
        <v>9338</v>
      </c>
      <c r="D59" s="109" t="s">
        <v>9434</v>
      </c>
      <c r="E59" s="110" t="s">
        <v>9435</v>
      </c>
      <c r="F59" s="236" t="s">
        <v>9341</v>
      </c>
      <c r="G59" s="115" t="s">
        <v>9324</v>
      </c>
      <c r="H59" s="115" t="s">
        <v>9323</v>
      </c>
      <c r="I59" s="7" t="s">
        <v>9342</v>
      </c>
      <c r="J59" s="110" t="s">
        <v>9343</v>
      </c>
      <c r="K59" s="7" t="s">
        <v>9341</v>
      </c>
      <c r="L59" s="109" t="s">
        <v>9341</v>
      </c>
    </row>
    <row r="60" spans="1:12" ht="14.85" customHeight="1" x14ac:dyDescent="0.25">
      <c r="A60" s="108" t="s">
        <v>9308</v>
      </c>
      <c r="B60" s="115" t="s">
        <v>9337</v>
      </c>
      <c r="C60" s="115" t="s">
        <v>9338</v>
      </c>
      <c r="D60" s="109" t="s">
        <v>9436</v>
      </c>
      <c r="E60" s="110" t="s">
        <v>9437</v>
      </c>
      <c r="F60" s="236" t="s">
        <v>132</v>
      </c>
      <c r="G60" s="115" t="s">
        <v>9324</v>
      </c>
      <c r="H60" s="115" t="s">
        <v>9323</v>
      </c>
      <c r="I60" s="7" t="s">
        <v>9438</v>
      </c>
      <c r="J60" s="110" t="s">
        <v>9439</v>
      </c>
      <c r="K60" s="7" t="s">
        <v>9440</v>
      </c>
      <c r="L60" s="109" t="s">
        <v>132</v>
      </c>
    </row>
    <row r="61" spans="1:12" ht="14.85" customHeight="1" x14ac:dyDescent="0.25">
      <c r="A61" s="108" t="s">
        <v>9308</v>
      </c>
      <c r="B61" s="115" t="s">
        <v>9337</v>
      </c>
      <c r="C61" s="115" t="s">
        <v>9338</v>
      </c>
      <c r="D61" s="109" t="s">
        <v>9436</v>
      </c>
      <c r="E61" s="110" t="s">
        <v>9437</v>
      </c>
      <c r="F61" s="236" t="s">
        <v>132</v>
      </c>
      <c r="G61" s="115" t="s">
        <v>9324</v>
      </c>
      <c r="H61" s="115" t="s">
        <v>9323</v>
      </c>
      <c r="I61" s="7" t="s">
        <v>9441</v>
      </c>
      <c r="J61" s="110" t="s">
        <v>9442</v>
      </c>
      <c r="K61" s="7" t="s">
        <v>9443</v>
      </c>
      <c r="L61" s="109" t="s">
        <v>132</v>
      </c>
    </row>
    <row r="62" spans="1:12" ht="14.85" customHeight="1" x14ac:dyDescent="0.25">
      <c r="A62" s="108" t="s">
        <v>9308</v>
      </c>
      <c r="B62" s="115" t="s">
        <v>9337</v>
      </c>
      <c r="C62" s="115" t="s">
        <v>9338</v>
      </c>
      <c r="D62" s="109" t="s">
        <v>9436</v>
      </c>
      <c r="E62" s="110" t="s">
        <v>9437</v>
      </c>
      <c r="F62" s="236" t="s">
        <v>132</v>
      </c>
      <c r="G62" s="115" t="s">
        <v>9324</v>
      </c>
      <c r="H62" s="115" t="s">
        <v>9323</v>
      </c>
      <c r="I62" s="7" t="s">
        <v>9351</v>
      </c>
      <c r="J62" s="110" t="s">
        <v>9352</v>
      </c>
      <c r="K62" s="7" t="s">
        <v>9353</v>
      </c>
      <c r="L62" s="109" t="s">
        <v>132</v>
      </c>
    </row>
    <row r="63" spans="1:12" ht="14.85" customHeight="1" x14ac:dyDescent="0.25">
      <c r="A63" s="108" t="s">
        <v>9308</v>
      </c>
      <c r="B63" s="115" t="s">
        <v>9337</v>
      </c>
      <c r="C63" s="115" t="s">
        <v>9338</v>
      </c>
      <c r="D63" s="109" t="s">
        <v>9444</v>
      </c>
      <c r="E63" s="110" t="s">
        <v>9445</v>
      </c>
      <c r="F63" s="236" t="s">
        <v>136</v>
      </c>
      <c r="G63" s="115" t="s">
        <v>9324</v>
      </c>
      <c r="H63" s="115" t="s">
        <v>9323</v>
      </c>
      <c r="I63" s="7" t="s">
        <v>9438</v>
      </c>
      <c r="J63" s="110" t="s">
        <v>9439</v>
      </c>
      <c r="K63" s="7" t="s">
        <v>9440</v>
      </c>
      <c r="L63" s="109" t="s">
        <v>136</v>
      </c>
    </row>
    <row r="64" spans="1:12" ht="14.85" customHeight="1" x14ac:dyDescent="0.25">
      <c r="A64" s="108" t="s">
        <v>9308</v>
      </c>
      <c r="B64" s="115" t="s">
        <v>9337</v>
      </c>
      <c r="C64" s="115" t="s">
        <v>9338</v>
      </c>
      <c r="D64" s="109" t="s">
        <v>9444</v>
      </c>
      <c r="E64" s="110" t="s">
        <v>9445</v>
      </c>
      <c r="F64" s="236" t="s">
        <v>136</v>
      </c>
      <c r="G64" s="115" t="s">
        <v>9324</v>
      </c>
      <c r="H64" s="115" t="s">
        <v>9323</v>
      </c>
      <c r="I64" s="7" t="s">
        <v>9351</v>
      </c>
      <c r="J64" s="110" t="s">
        <v>9352</v>
      </c>
      <c r="K64" s="7" t="s">
        <v>9353</v>
      </c>
      <c r="L64" s="109" t="s">
        <v>136</v>
      </c>
    </row>
    <row r="65" spans="1:12" ht="14.85" customHeight="1" x14ac:dyDescent="0.25">
      <c r="A65" s="108" t="s">
        <v>9308</v>
      </c>
      <c r="B65" s="115" t="s">
        <v>9337</v>
      </c>
      <c r="C65" s="115" t="s">
        <v>9338</v>
      </c>
      <c r="D65" s="109" t="s">
        <v>9446</v>
      </c>
      <c r="E65" s="110" t="s">
        <v>9447</v>
      </c>
      <c r="F65" s="236" t="s">
        <v>142</v>
      </c>
      <c r="G65" s="115" t="s">
        <v>9324</v>
      </c>
      <c r="H65" s="115" t="s">
        <v>9323</v>
      </c>
      <c r="I65" s="7" t="s">
        <v>9438</v>
      </c>
      <c r="J65" s="110" t="s">
        <v>9439</v>
      </c>
      <c r="K65" s="7" t="s">
        <v>9440</v>
      </c>
      <c r="L65" s="109" t="s">
        <v>142</v>
      </c>
    </row>
    <row r="66" spans="1:12" ht="14.85" customHeight="1" x14ac:dyDescent="0.25">
      <c r="A66" s="108" t="s">
        <v>9308</v>
      </c>
      <c r="B66" s="115" t="s">
        <v>9337</v>
      </c>
      <c r="C66" s="115" t="s">
        <v>9338</v>
      </c>
      <c r="D66" s="109" t="s">
        <v>9446</v>
      </c>
      <c r="E66" s="110" t="s">
        <v>9447</v>
      </c>
      <c r="F66" s="236" t="s">
        <v>142</v>
      </c>
      <c r="G66" s="115" t="s">
        <v>9324</v>
      </c>
      <c r="H66" s="115" t="s">
        <v>9323</v>
      </c>
      <c r="I66" s="7" t="s">
        <v>9351</v>
      </c>
      <c r="J66" s="110" t="s">
        <v>9352</v>
      </c>
      <c r="K66" s="7" t="s">
        <v>9353</v>
      </c>
      <c r="L66" s="109" t="s">
        <v>142</v>
      </c>
    </row>
    <row r="67" spans="1:12" ht="14.85" customHeight="1" x14ac:dyDescent="0.25">
      <c r="A67" s="108" t="s">
        <v>9308</v>
      </c>
      <c r="B67" s="115" t="s">
        <v>9337</v>
      </c>
      <c r="C67" s="115" t="s">
        <v>9338</v>
      </c>
      <c r="D67" s="109" t="s">
        <v>9448</v>
      </c>
      <c r="E67" s="110" t="s">
        <v>9449</v>
      </c>
      <c r="F67" s="236" t="s">
        <v>146</v>
      </c>
      <c r="G67" s="115" t="s">
        <v>9324</v>
      </c>
      <c r="H67" s="115" t="s">
        <v>9323</v>
      </c>
      <c r="I67" s="7" t="s">
        <v>9438</v>
      </c>
      <c r="J67" s="110" t="s">
        <v>9439</v>
      </c>
      <c r="K67" s="7" t="s">
        <v>9440</v>
      </c>
      <c r="L67" s="109" t="s">
        <v>146</v>
      </c>
    </row>
    <row r="68" spans="1:12" ht="14.85" customHeight="1" x14ac:dyDescent="0.25">
      <c r="A68" s="108" t="s">
        <v>9308</v>
      </c>
      <c r="B68" s="115" t="s">
        <v>9337</v>
      </c>
      <c r="C68" s="115" t="s">
        <v>9338</v>
      </c>
      <c r="D68" s="109" t="s">
        <v>9448</v>
      </c>
      <c r="E68" s="110" t="s">
        <v>9449</v>
      </c>
      <c r="F68" s="236" t="s">
        <v>146</v>
      </c>
      <c r="G68" s="115" t="s">
        <v>9324</v>
      </c>
      <c r="H68" s="115" t="s">
        <v>9323</v>
      </c>
      <c r="I68" s="7" t="s">
        <v>9351</v>
      </c>
      <c r="J68" s="110" t="s">
        <v>9352</v>
      </c>
      <c r="K68" s="7" t="s">
        <v>9353</v>
      </c>
      <c r="L68" s="109" t="s">
        <v>146</v>
      </c>
    </row>
    <row r="69" spans="1:12" ht="14.85" customHeight="1" x14ac:dyDescent="0.25">
      <c r="A69" s="108" t="s">
        <v>13512</v>
      </c>
      <c r="B69" s="161" t="s">
        <v>9337</v>
      </c>
      <c r="C69" s="115" t="s">
        <v>9338</v>
      </c>
      <c r="D69" s="109" t="s">
        <v>9450</v>
      </c>
      <c r="E69" s="323" t="s">
        <v>13441</v>
      </c>
      <c r="F69" s="236" t="s">
        <v>9451</v>
      </c>
      <c r="G69" s="115" t="s">
        <v>9324</v>
      </c>
      <c r="H69" s="115" t="s">
        <v>9323</v>
      </c>
      <c r="I69" s="7" t="s">
        <v>9438</v>
      </c>
      <c r="J69" s="110" t="s">
        <v>9439</v>
      </c>
      <c r="K69" s="7" t="s">
        <v>9440</v>
      </c>
      <c r="L69" s="109" t="s">
        <v>9451</v>
      </c>
    </row>
    <row r="70" spans="1:12" ht="14.85" customHeight="1" x14ac:dyDescent="0.25">
      <c r="A70" s="108" t="s">
        <v>13512</v>
      </c>
      <c r="B70" s="161" t="s">
        <v>9337</v>
      </c>
      <c r="C70" s="115" t="s">
        <v>9338</v>
      </c>
      <c r="D70" s="109" t="s">
        <v>9450</v>
      </c>
      <c r="E70" s="323" t="s">
        <v>13441</v>
      </c>
      <c r="F70" s="236" t="s">
        <v>9451</v>
      </c>
      <c r="G70" s="115" t="s">
        <v>9324</v>
      </c>
      <c r="H70" s="115" t="s">
        <v>9323</v>
      </c>
      <c r="I70" s="7" t="s">
        <v>9351</v>
      </c>
      <c r="J70" s="110" t="s">
        <v>9352</v>
      </c>
      <c r="K70" s="7" t="s">
        <v>9353</v>
      </c>
      <c r="L70" s="109" t="s">
        <v>9451</v>
      </c>
    </row>
    <row r="71" spans="1:12" ht="14.85" customHeight="1" x14ac:dyDescent="0.25">
      <c r="A71" s="108" t="s">
        <v>13512</v>
      </c>
      <c r="B71" s="161" t="s">
        <v>9337</v>
      </c>
      <c r="C71" s="115" t="s">
        <v>9338</v>
      </c>
      <c r="D71" s="109" t="s">
        <v>9452</v>
      </c>
      <c r="E71" s="323" t="s">
        <v>13442</v>
      </c>
      <c r="F71" s="236" t="s">
        <v>9451</v>
      </c>
      <c r="G71" s="115" t="s">
        <v>9324</v>
      </c>
      <c r="H71" s="115" t="s">
        <v>9323</v>
      </c>
      <c r="I71" s="7" t="s">
        <v>9438</v>
      </c>
      <c r="J71" s="110" t="s">
        <v>9439</v>
      </c>
      <c r="K71" s="7" t="s">
        <v>9440</v>
      </c>
      <c r="L71" s="109" t="s">
        <v>9451</v>
      </c>
    </row>
    <row r="72" spans="1:12" ht="14.85" customHeight="1" x14ac:dyDescent="0.25">
      <c r="A72" s="108" t="s">
        <v>13512</v>
      </c>
      <c r="B72" s="161" t="s">
        <v>9337</v>
      </c>
      <c r="C72" s="115" t="s">
        <v>9338</v>
      </c>
      <c r="D72" s="109" t="s">
        <v>9452</v>
      </c>
      <c r="E72" s="323" t="s">
        <v>13442</v>
      </c>
      <c r="F72" s="236" t="s">
        <v>9451</v>
      </c>
      <c r="G72" s="115" t="s">
        <v>9324</v>
      </c>
      <c r="H72" s="115" t="s">
        <v>9323</v>
      </c>
      <c r="I72" s="7" t="s">
        <v>9351</v>
      </c>
      <c r="J72" s="110" t="s">
        <v>9352</v>
      </c>
      <c r="K72" s="7" t="s">
        <v>9353</v>
      </c>
      <c r="L72" s="109" t="s">
        <v>9451</v>
      </c>
    </row>
    <row r="73" spans="1:12" ht="14.85" customHeight="1" x14ac:dyDescent="0.25">
      <c r="A73" s="108" t="s">
        <v>13512</v>
      </c>
      <c r="B73" s="161" t="s">
        <v>9337</v>
      </c>
      <c r="C73" s="115" t="s">
        <v>9338</v>
      </c>
      <c r="D73" s="109" t="s">
        <v>9453</v>
      </c>
      <c r="E73" s="323" t="s">
        <v>13443</v>
      </c>
      <c r="F73" s="236" t="s">
        <v>9451</v>
      </c>
      <c r="G73" s="115" t="s">
        <v>9324</v>
      </c>
      <c r="H73" s="115" t="s">
        <v>9323</v>
      </c>
      <c r="I73" s="7" t="s">
        <v>9438</v>
      </c>
      <c r="J73" s="110" t="s">
        <v>9439</v>
      </c>
      <c r="K73" s="7" t="s">
        <v>9440</v>
      </c>
      <c r="L73" s="109" t="s">
        <v>9451</v>
      </c>
    </row>
    <row r="74" spans="1:12" ht="14.85" customHeight="1" x14ac:dyDescent="0.25">
      <c r="A74" s="108" t="s">
        <v>13512</v>
      </c>
      <c r="B74" s="161" t="s">
        <v>9337</v>
      </c>
      <c r="C74" s="115" t="s">
        <v>9338</v>
      </c>
      <c r="D74" s="109" t="s">
        <v>9453</v>
      </c>
      <c r="E74" s="323" t="s">
        <v>13443</v>
      </c>
      <c r="F74" s="236" t="s">
        <v>9451</v>
      </c>
      <c r="G74" s="115" t="s">
        <v>9324</v>
      </c>
      <c r="H74" s="115" t="s">
        <v>9323</v>
      </c>
      <c r="I74" s="7" t="s">
        <v>9351</v>
      </c>
      <c r="J74" s="110" t="s">
        <v>9352</v>
      </c>
      <c r="K74" s="7" t="s">
        <v>9353</v>
      </c>
      <c r="L74" s="109" t="s">
        <v>9451</v>
      </c>
    </row>
    <row r="75" spans="1:12" ht="14.85" customHeight="1" x14ac:dyDescent="0.25">
      <c r="A75" s="108" t="s">
        <v>9308</v>
      </c>
      <c r="B75" s="115" t="s">
        <v>9337</v>
      </c>
      <c r="C75" s="115" t="s">
        <v>9338</v>
      </c>
      <c r="D75" s="109" t="s">
        <v>9454</v>
      </c>
      <c r="E75" s="110" t="s">
        <v>9455</v>
      </c>
      <c r="F75" s="236" t="s">
        <v>9353</v>
      </c>
      <c r="G75" s="115" t="s">
        <v>9324</v>
      </c>
      <c r="H75" s="115" t="s">
        <v>9323</v>
      </c>
      <c r="I75" s="7" t="s">
        <v>9456</v>
      </c>
      <c r="J75" s="110" t="s">
        <v>9457</v>
      </c>
      <c r="K75" s="7" t="s">
        <v>9353</v>
      </c>
      <c r="L75" s="109" t="s">
        <v>9353</v>
      </c>
    </row>
    <row r="76" spans="1:12" ht="14.85" customHeight="1" x14ac:dyDescent="0.25">
      <c r="A76" s="108" t="s">
        <v>9308</v>
      </c>
      <c r="B76" s="115" t="s">
        <v>9337</v>
      </c>
      <c r="C76" s="115" t="s">
        <v>9338</v>
      </c>
      <c r="D76" s="109" t="s">
        <v>9454</v>
      </c>
      <c r="E76" s="110" t="s">
        <v>9455</v>
      </c>
      <c r="F76" s="236" t="s">
        <v>9353</v>
      </c>
      <c r="G76" s="115" t="s">
        <v>9324</v>
      </c>
      <c r="H76" s="115" t="s">
        <v>9323</v>
      </c>
      <c r="I76" s="7" t="s">
        <v>9458</v>
      </c>
      <c r="J76" s="110" t="s">
        <v>9459</v>
      </c>
      <c r="K76" s="7" t="s">
        <v>9353</v>
      </c>
      <c r="L76" s="109" t="s">
        <v>9353</v>
      </c>
    </row>
    <row r="77" spans="1:12" ht="14.85" customHeight="1" x14ac:dyDescent="0.25">
      <c r="A77" s="108" t="s">
        <v>9308</v>
      </c>
      <c r="B77" s="115" t="s">
        <v>9337</v>
      </c>
      <c r="C77" s="115" t="s">
        <v>9338</v>
      </c>
      <c r="D77" s="109" t="s">
        <v>9454</v>
      </c>
      <c r="E77" s="110" t="s">
        <v>9455</v>
      </c>
      <c r="F77" s="236" t="s">
        <v>9353</v>
      </c>
      <c r="G77" s="115" t="s">
        <v>9324</v>
      </c>
      <c r="H77" s="115" t="s">
        <v>9323</v>
      </c>
      <c r="I77" s="7" t="s">
        <v>9351</v>
      </c>
      <c r="J77" s="110" t="s">
        <v>9352</v>
      </c>
      <c r="K77" s="7" t="s">
        <v>9353</v>
      </c>
      <c r="L77" s="109" t="s">
        <v>9353</v>
      </c>
    </row>
    <row r="78" spans="1:12" ht="14.85" customHeight="1" x14ac:dyDescent="0.25">
      <c r="A78" s="108" t="s">
        <v>9308</v>
      </c>
      <c r="B78" s="115" t="s">
        <v>9337</v>
      </c>
      <c r="C78" s="115" t="s">
        <v>9338</v>
      </c>
      <c r="D78" s="109" t="s">
        <v>9460</v>
      </c>
      <c r="E78" s="110" t="s">
        <v>9461</v>
      </c>
      <c r="F78" s="236" t="s">
        <v>9353</v>
      </c>
      <c r="G78" s="115" t="s">
        <v>9324</v>
      </c>
      <c r="H78" s="115" t="s">
        <v>9323</v>
      </c>
      <c r="I78" s="7" t="s">
        <v>9456</v>
      </c>
      <c r="J78" s="110" t="s">
        <v>9457</v>
      </c>
      <c r="K78" s="7" t="s">
        <v>9353</v>
      </c>
      <c r="L78" s="109" t="s">
        <v>9353</v>
      </c>
    </row>
    <row r="79" spans="1:12" ht="14.85" customHeight="1" x14ac:dyDescent="0.25">
      <c r="A79" s="108" t="s">
        <v>9308</v>
      </c>
      <c r="B79" s="115" t="s">
        <v>9337</v>
      </c>
      <c r="C79" s="115" t="s">
        <v>9338</v>
      </c>
      <c r="D79" s="109" t="s">
        <v>9460</v>
      </c>
      <c r="E79" s="110" t="s">
        <v>9461</v>
      </c>
      <c r="F79" s="236" t="s">
        <v>9353</v>
      </c>
      <c r="G79" s="115" t="s">
        <v>9324</v>
      </c>
      <c r="H79" s="115" t="s">
        <v>9323</v>
      </c>
      <c r="I79" s="7" t="s">
        <v>9458</v>
      </c>
      <c r="J79" s="110" t="s">
        <v>9459</v>
      </c>
      <c r="K79" s="7" t="s">
        <v>9353</v>
      </c>
      <c r="L79" s="109" t="s">
        <v>9353</v>
      </c>
    </row>
    <row r="80" spans="1:12" ht="14.85" customHeight="1" x14ac:dyDescent="0.25">
      <c r="A80" s="108" t="s">
        <v>9308</v>
      </c>
      <c r="B80" s="115" t="s">
        <v>9337</v>
      </c>
      <c r="C80" s="115" t="s">
        <v>9338</v>
      </c>
      <c r="D80" s="109" t="s">
        <v>9460</v>
      </c>
      <c r="E80" s="110" t="s">
        <v>9461</v>
      </c>
      <c r="F80" s="236" t="s">
        <v>9353</v>
      </c>
      <c r="G80" s="115" t="s">
        <v>9324</v>
      </c>
      <c r="H80" s="115" t="s">
        <v>9323</v>
      </c>
      <c r="I80" s="7" t="s">
        <v>9351</v>
      </c>
      <c r="J80" s="110" t="s">
        <v>9352</v>
      </c>
      <c r="K80" s="7" t="s">
        <v>9353</v>
      </c>
      <c r="L80" s="109" t="s">
        <v>9353</v>
      </c>
    </row>
    <row r="81" spans="1:12" ht="14.85" customHeight="1" x14ac:dyDescent="0.25">
      <c r="A81" s="108" t="s">
        <v>9308</v>
      </c>
      <c r="B81" s="115" t="s">
        <v>9337</v>
      </c>
      <c r="C81" s="115" t="s">
        <v>9338</v>
      </c>
      <c r="D81" s="109" t="s">
        <v>9462</v>
      </c>
      <c r="E81" s="110" t="s">
        <v>9457</v>
      </c>
      <c r="F81" s="236" t="s">
        <v>9353</v>
      </c>
      <c r="G81" s="115" t="s">
        <v>9324</v>
      </c>
      <c r="H81" s="115" t="s">
        <v>9323</v>
      </c>
      <c r="I81" s="7" t="s">
        <v>9456</v>
      </c>
      <c r="J81" s="110" t="s">
        <v>9457</v>
      </c>
      <c r="K81" s="7" t="s">
        <v>9353</v>
      </c>
      <c r="L81" s="109" t="s">
        <v>9353</v>
      </c>
    </row>
    <row r="82" spans="1:12" ht="14.85" customHeight="1" x14ac:dyDescent="0.25">
      <c r="A82" s="108" t="s">
        <v>9308</v>
      </c>
      <c r="B82" s="115" t="s">
        <v>9337</v>
      </c>
      <c r="C82" s="115" t="s">
        <v>9338</v>
      </c>
      <c r="D82" s="109" t="s">
        <v>9462</v>
      </c>
      <c r="E82" s="110" t="s">
        <v>9457</v>
      </c>
      <c r="F82" s="236" t="s">
        <v>9353</v>
      </c>
      <c r="G82" s="115" t="s">
        <v>9324</v>
      </c>
      <c r="H82" s="115" t="s">
        <v>9323</v>
      </c>
      <c r="I82" s="7" t="s">
        <v>9351</v>
      </c>
      <c r="J82" s="110" t="s">
        <v>9352</v>
      </c>
      <c r="K82" s="7" t="s">
        <v>9353</v>
      </c>
      <c r="L82" s="109" t="s">
        <v>9353</v>
      </c>
    </row>
    <row r="83" spans="1:12" ht="14.85" customHeight="1" x14ac:dyDescent="0.25">
      <c r="A83" s="108" t="s">
        <v>9308</v>
      </c>
      <c r="B83" s="115" t="s">
        <v>9337</v>
      </c>
      <c r="C83" s="115" t="s">
        <v>9338</v>
      </c>
      <c r="D83" s="109" t="s">
        <v>9463</v>
      </c>
      <c r="E83" s="110" t="s">
        <v>9464</v>
      </c>
      <c r="F83" s="236" t="s">
        <v>9353</v>
      </c>
      <c r="G83" s="115" t="s">
        <v>9324</v>
      </c>
      <c r="H83" s="115" t="s">
        <v>9323</v>
      </c>
      <c r="I83" s="7" t="s">
        <v>9456</v>
      </c>
      <c r="J83" s="110" t="s">
        <v>9457</v>
      </c>
      <c r="K83" s="7" t="s">
        <v>9353</v>
      </c>
      <c r="L83" s="109" t="s">
        <v>9353</v>
      </c>
    </row>
    <row r="84" spans="1:12" ht="14.85" customHeight="1" x14ac:dyDescent="0.25">
      <c r="A84" s="108" t="s">
        <v>9308</v>
      </c>
      <c r="B84" s="115" t="s">
        <v>9337</v>
      </c>
      <c r="C84" s="115" t="s">
        <v>9338</v>
      </c>
      <c r="D84" s="109" t="s">
        <v>9463</v>
      </c>
      <c r="E84" s="110" t="s">
        <v>9464</v>
      </c>
      <c r="F84" s="236" t="s">
        <v>9353</v>
      </c>
      <c r="G84" s="115" t="s">
        <v>9324</v>
      </c>
      <c r="H84" s="115" t="s">
        <v>9323</v>
      </c>
      <c r="I84" s="7" t="s">
        <v>9351</v>
      </c>
      <c r="J84" s="110" t="s">
        <v>9352</v>
      </c>
      <c r="K84" s="7" t="s">
        <v>9353</v>
      </c>
      <c r="L84" s="109" t="s">
        <v>9353</v>
      </c>
    </row>
    <row r="85" spans="1:12" ht="14.85" customHeight="1" x14ac:dyDescent="0.25">
      <c r="A85" s="108" t="s">
        <v>9308</v>
      </c>
      <c r="B85" s="115" t="s">
        <v>9337</v>
      </c>
      <c r="C85" s="115" t="s">
        <v>9338</v>
      </c>
      <c r="D85" s="109" t="s">
        <v>9465</v>
      </c>
      <c r="E85" s="110" t="s">
        <v>9466</v>
      </c>
      <c r="F85" s="236" t="s">
        <v>9467</v>
      </c>
      <c r="G85" s="115" t="s">
        <v>9324</v>
      </c>
      <c r="H85" s="115" t="s">
        <v>9323</v>
      </c>
      <c r="I85" s="7" t="s">
        <v>9438</v>
      </c>
      <c r="J85" s="110" t="s">
        <v>9439</v>
      </c>
      <c r="K85" s="7" t="s">
        <v>9440</v>
      </c>
      <c r="L85" s="109" t="s">
        <v>9440</v>
      </c>
    </row>
    <row r="86" spans="1:12" ht="14.85" customHeight="1" x14ac:dyDescent="0.25">
      <c r="A86" s="108" t="s">
        <v>9308</v>
      </c>
      <c r="B86" s="115" t="s">
        <v>9337</v>
      </c>
      <c r="C86" s="115" t="s">
        <v>9338</v>
      </c>
      <c r="D86" s="109" t="s">
        <v>9465</v>
      </c>
      <c r="E86" s="110" t="s">
        <v>9466</v>
      </c>
      <c r="F86" s="236" t="s">
        <v>9467</v>
      </c>
      <c r="G86" s="115" t="s">
        <v>9324</v>
      </c>
      <c r="H86" s="115" t="s">
        <v>9323</v>
      </c>
      <c r="I86" s="7" t="s">
        <v>9441</v>
      </c>
      <c r="J86" s="110" t="s">
        <v>9442</v>
      </c>
      <c r="K86" s="7" t="s">
        <v>9443</v>
      </c>
      <c r="L86" s="109" t="s">
        <v>9443</v>
      </c>
    </row>
    <row r="87" spans="1:12" ht="14.85" customHeight="1" x14ac:dyDescent="0.25">
      <c r="A87" s="108" t="s">
        <v>9308</v>
      </c>
      <c r="B87" s="115" t="s">
        <v>9337</v>
      </c>
      <c r="C87" s="115" t="s">
        <v>9338</v>
      </c>
      <c r="D87" s="109" t="s">
        <v>9465</v>
      </c>
      <c r="E87" s="110" t="s">
        <v>9466</v>
      </c>
      <c r="F87" s="236" t="s">
        <v>9467</v>
      </c>
      <c r="G87" s="115" t="s">
        <v>9324</v>
      </c>
      <c r="H87" s="115" t="s">
        <v>9323</v>
      </c>
      <c r="I87" s="7" t="s">
        <v>9351</v>
      </c>
      <c r="J87" s="110" t="s">
        <v>9352</v>
      </c>
      <c r="K87" s="7" t="s">
        <v>9353</v>
      </c>
      <c r="L87" s="109" t="s">
        <v>9467</v>
      </c>
    </row>
    <row r="88" spans="1:12" ht="14.85" customHeight="1" x14ac:dyDescent="0.25">
      <c r="A88" s="108" t="s">
        <v>9308</v>
      </c>
      <c r="B88" s="115" t="s">
        <v>9337</v>
      </c>
      <c r="C88" s="115" t="s">
        <v>9338</v>
      </c>
      <c r="D88" s="109" t="s">
        <v>9468</v>
      </c>
      <c r="E88" s="110" t="s">
        <v>9469</v>
      </c>
      <c r="F88" s="236" t="s">
        <v>9467</v>
      </c>
      <c r="G88" s="115" t="s">
        <v>9324</v>
      </c>
      <c r="H88" s="115" t="s">
        <v>9323</v>
      </c>
      <c r="I88" s="7" t="s">
        <v>9438</v>
      </c>
      <c r="J88" s="110" t="s">
        <v>9439</v>
      </c>
      <c r="K88" s="7" t="s">
        <v>9440</v>
      </c>
      <c r="L88" s="109" t="s">
        <v>9440</v>
      </c>
    </row>
    <row r="89" spans="1:12" ht="14.85" customHeight="1" x14ac:dyDescent="0.25">
      <c r="A89" s="108" t="s">
        <v>9308</v>
      </c>
      <c r="B89" s="115" t="s">
        <v>9337</v>
      </c>
      <c r="C89" s="115" t="s">
        <v>9338</v>
      </c>
      <c r="D89" s="109" t="s">
        <v>9468</v>
      </c>
      <c r="E89" s="110" t="s">
        <v>9469</v>
      </c>
      <c r="F89" s="236" t="s">
        <v>9467</v>
      </c>
      <c r="G89" s="115" t="s">
        <v>9324</v>
      </c>
      <c r="H89" s="115" t="s">
        <v>9323</v>
      </c>
      <c r="I89" s="7" t="s">
        <v>9441</v>
      </c>
      <c r="J89" s="110" t="s">
        <v>9442</v>
      </c>
      <c r="K89" s="7" t="s">
        <v>9443</v>
      </c>
      <c r="L89" s="109" t="s">
        <v>9443</v>
      </c>
    </row>
    <row r="90" spans="1:12" ht="14.85" customHeight="1" x14ac:dyDescent="0.25">
      <c r="A90" s="108" t="s">
        <v>9308</v>
      </c>
      <c r="B90" s="115" t="s">
        <v>9337</v>
      </c>
      <c r="C90" s="115" t="s">
        <v>9338</v>
      </c>
      <c r="D90" s="109" t="s">
        <v>9468</v>
      </c>
      <c r="E90" s="110" t="s">
        <v>9469</v>
      </c>
      <c r="F90" s="236" t="s">
        <v>9467</v>
      </c>
      <c r="G90" s="115" t="s">
        <v>9324</v>
      </c>
      <c r="H90" s="115" t="s">
        <v>9323</v>
      </c>
      <c r="I90" s="7" t="s">
        <v>9351</v>
      </c>
      <c r="J90" s="110" t="s">
        <v>9352</v>
      </c>
      <c r="K90" s="7" t="s">
        <v>9353</v>
      </c>
      <c r="L90" s="109" t="s">
        <v>9467</v>
      </c>
    </row>
    <row r="91" spans="1:12" ht="14.85" customHeight="1" x14ac:dyDescent="0.25">
      <c r="A91" s="108" t="s">
        <v>9308</v>
      </c>
      <c r="B91" s="115" t="s">
        <v>9337</v>
      </c>
      <c r="C91" s="115" t="s">
        <v>9338</v>
      </c>
      <c r="D91" s="109" t="s">
        <v>9470</v>
      </c>
      <c r="E91" s="110" t="s">
        <v>9471</v>
      </c>
      <c r="F91" s="236" t="s">
        <v>9467</v>
      </c>
      <c r="G91" s="115" t="s">
        <v>9324</v>
      </c>
      <c r="H91" s="115" t="s">
        <v>9323</v>
      </c>
      <c r="I91" s="7" t="s">
        <v>9438</v>
      </c>
      <c r="J91" s="110" t="s">
        <v>9439</v>
      </c>
      <c r="K91" s="7" t="s">
        <v>9440</v>
      </c>
      <c r="L91" s="109" t="s">
        <v>9440</v>
      </c>
    </row>
    <row r="92" spans="1:12" ht="14.85" customHeight="1" x14ac:dyDescent="0.25">
      <c r="A92" s="108" t="s">
        <v>9308</v>
      </c>
      <c r="B92" s="115" t="s">
        <v>9337</v>
      </c>
      <c r="C92" s="115" t="s">
        <v>9338</v>
      </c>
      <c r="D92" s="109" t="s">
        <v>9470</v>
      </c>
      <c r="E92" s="110" t="s">
        <v>9471</v>
      </c>
      <c r="F92" s="236" t="s">
        <v>9467</v>
      </c>
      <c r="G92" s="115" t="s">
        <v>9324</v>
      </c>
      <c r="H92" s="115" t="s">
        <v>9323</v>
      </c>
      <c r="I92" s="7" t="s">
        <v>9472</v>
      </c>
      <c r="J92" s="110" t="s">
        <v>9473</v>
      </c>
      <c r="K92" s="7" t="s">
        <v>9440</v>
      </c>
      <c r="L92" s="109" t="s">
        <v>9440</v>
      </c>
    </row>
    <row r="93" spans="1:12" ht="14.85" customHeight="1" x14ac:dyDescent="0.25">
      <c r="A93" s="108" t="s">
        <v>9308</v>
      </c>
      <c r="B93" s="115" t="s">
        <v>9337</v>
      </c>
      <c r="C93" s="115" t="s">
        <v>9338</v>
      </c>
      <c r="D93" s="109" t="s">
        <v>9470</v>
      </c>
      <c r="E93" s="110" t="s">
        <v>9471</v>
      </c>
      <c r="F93" s="236" t="s">
        <v>9467</v>
      </c>
      <c r="G93" s="115" t="s">
        <v>9324</v>
      </c>
      <c r="H93" s="115" t="s">
        <v>9323</v>
      </c>
      <c r="I93" s="7" t="s">
        <v>9474</v>
      </c>
      <c r="J93" s="110" t="s">
        <v>9475</v>
      </c>
      <c r="K93" s="7" t="s">
        <v>9440</v>
      </c>
      <c r="L93" s="109" t="s">
        <v>9440</v>
      </c>
    </row>
    <row r="94" spans="1:12" ht="14.85" customHeight="1" x14ac:dyDescent="0.25">
      <c r="A94" s="108" t="s">
        <v>9308</v>
      </c>
      <c r="B94" s="115" t="s">
        <v>9337</v>
      </c>
      <c r="C94" s="115" t="s">
        <v>9338</v>
      </c>
      <c r="D94" s="109" t="s">
        <v>9470</v>
      </c>
      <c r="E94" s="110" t="s">
        <v>9471</v>
      </c>
      <c r="F94" s="236" t="s">
        <v>9467</v>
      </c>
      <c r="G94" s="115" t="s">
        <v>9324</v>
      </c>
      <c r="H94" s="115" t="s">
        <v>9323</v>
      </c>
      <c r="I94" s="7" t="s">
        <v>9351</v>
      </c>
      <c r="J94" s="110" t="s">
        <v>9352</v>
      </c>
      <c r="K94" s="7" t="s">
        <v>9353</v>
      </c>
      <c r="L94" s="109" t="s">
        <v>9467</v>
      </c>
    </row>
    <row r="95" spans="1:12" ht="14.85" customHeight="1" x14ac:dyDescent="0.25">
      <c r="A95" s="108" t="s">
        <v>9308</v>
      </c>
      <c r="B95" s="115" t="s">
        <v>9337</v>
      </c>
      <c r="C95" s="115" t="s">
        <v>9338</v>
      </c>
      <c r="D95" s="109" t="s">
        <v>9470</v>
      </c>
      <c r="E95" s="110" t="s">
        <v>9471</v>
      </c>
      <c r="F95" s="236" t="s">
        <v>9467</v>
      </c>
      <c r="G95" s="115" t="s">
        <v>9324</v>
      </c>
      <c r="H95" s="115" t="s">
        <v>9323</v>
      </c>
      <c r="I95" s="7" t="s">
        <v>9441</v>
      </c>
      <c r="J95" s="110" t="s">
        <v>9442</v>
      </c>
      <c r="K95" s="7" t="s">
        <v>9443</v>
      </c>
      <c r="L95" s="109" t="s">
        <v>9443</v>
      </c>
    </row>
    <row r="96" spans="1:12" ht="14.85" customHeight="1" x14ac:dyDescent="0.25">
      <c r="A96" s="108" t="s">
        <v>9308</v>
      </c>
      <c r="B96" s="115" t="s">
        <v>9337</v>
      </c>
      <c r="C96" s="115" t="s">
        <v>9338</v>
      </c>
      <c r="D96" s="109" t="s">
        <v>9470</v>
      </c>
      <c r="E96" s="110" t="s">
        <v>9471</v>
      </c>
      <c r="F96" s="236" t="s">
        <v>9467</v>
      </c>
      <c r="G96" s="115" t="s">
        <v>9324</v>
      </c>
      <c r="H96" s="115" t="s">
        <v>9323</v>
      </c>
      <c r="I96" s="7" t="s">
        <v>9476</v>
      </c>
      <c r="J96" s="110" t="s">
        <v>9477</v>
      </c>
      <c r="K96" s="7" t="s">
        <v>9443</v>
      </c>
      <c r="L96" s="109" t="s">
        <v>9443</v>
      </c>
    </row>
    <row r="97" spans="1:12" ht="14.85" customHeight="1" x14ac:dyDescent="0.25">
      <c r="A97" s="108" t="s">
        <v>9308</v>
      </c>
      <c r="B97" s="115" t="s">
        <v>9337</v>
      </c>
      <c r="C97" s="115" t="s">
        <v>9338</v>
      </c>
      <c r="D97" s="109" t="s">
        <v>9470</v>
      </c>
      <c r="E97" s="110" t="s">
        <v>9471</v>
      </c>
      <c r="F97" s="236" t="s">
        <v>9467</v>
      </c>
      <c r="G97" s="115" t="s">
        <v>9324</v>
      </c>
      <c r="H97" s="115" t="s">
        <v>9323</v>
      </c>
      <c r="I97" s="7" t="s">
        <v>9478</v>
      </c>
      <c r="J97" s="110" t="s">
        <v>9479</v>
      </c>
      <c r="K97" s="7" t="s">
        <v>9443</v>
      </c>
      <c r="L97" s="109" t="s">
        <v>9443</v>
      </c>
    </row>
    <row r="98" spans="1:12" ht="14.85" customHeight="1" x14ac:dyDescent="0.25">
      <c r="A98" s="108" t="s">
        <v>9308</v>
      </c>
      <c r="B98" s="115" t="s">
        <v>9337</v>
      </c>
      <c r="C98" s="115" t="s">
        <v>9338</v>
      </c>
      <c r="D98" s="109" t="s">
        <v>9480</v>
      </c>
      <c r="E98" s="110" t="s">
        <v>9481</v>
      </c>
      <c r="F98" s="236" t="s">
        <v>9467</v>
      </c>
      <c r="G98" s="115" t="s">
        <v>9324</v>
      </c>
      <c r="H98" s="115" t="s">
        <v>9323</v>
      </c>
      <c r="I98" s="7" t="s">
        <v>9438</v>
      </c>
      <c r="J98" s="110" t="s">
        <v>9439</v>
      </c>
      <c r="K98" s="7" t="s">
        <v>9440</v>
      </c>
      <c r="L98" s="109" t="s">
        <v>9440</v>
      </c>
    </row>
    <row r="99" spans="1:12" ht="14.85" customHeight="1" x14ac:dyDescent="0.25">
      <c r="A99" s="108" t="s">
        <v>9308</v>
      </c>
      <c r="B99" s="115" t="s">
        <v>9337</v>
      </c>
      <c r="C99" s="115" t="s">
        <v>9338</v>
      </c>
      <c r="D99" s="109" t="s">
        <v>9480</v>
      </c>
      <c r="E99" s="110" t="s">
        <v>9481</v>
      </c>
      <c r="F99" s="236" t="s">
        <v>9467</v>
      </c>
      <c r="G99" s="115" t="s">
        <v>9324</v>
      </c>
      <c r="H99" s="115" t="s">
        <v>9323</v>
      </c>
      <c r="I99" s="7" t="s">
        <v>9474</v>
      </c>
      <c r="J99" s="110" t="s">
        <v>9475</v>
      </c>
      <c r="K99" s="7" t="s">
        <v>9440</v>
      </c>
      <c r="L99" s="109" t="s">
        <v>9440</v>
      </c>
    </row>
    <row r="100" spans="1:12" ht="14.85" customHeight="1" x14ac:dyDescent="0.25">
      <c r="A100" s="108" t="s">
        <v>9308</v>
      </c>
      <c r="B100" s="115" t="s">
        <v>9337</v>
      </c>
      <c r="C100" s="115" t="s">
        <v>9338</v>
      </c>
      <c r="D100" s="109" t="s">
        <v>9480</v>
      </c>
      <c r="E100" s="110" t="s">
        <v>9481</v>
      </c>
      <c r="F100" s="236" t="s">
        <v>9467</v>
      </c>
      <c r="G100" s="115" t="s">
        <v>9324</v>
      </c>
      <c r="H100" s="115" t="s">
        <v>9323</v>
      </c>
      <c r="I100" s="7" t="s">
        <v>9351</v>
      </c>
      <c r="J100" s="110" t="s">
        <v>9352</v>
      </c>
      <c r="K100" s="7" t="s">
        <v>9353</v>
      </c>
      <c r="L100" s="109" t="s">
        <v>9467</v>
      </c>
    </row>
    <row r="101" spans="1:12" ht="14.85" customHeight="1" x14ac:dyDescent="0.25">
      <c r="A101" s="108" t="s">
        <v>9308</v>
      </c>
      <c r="B101" s="115" t="s">
        <v>9337</v>
      </c>
      <c r="C101" s="115" t="s">
        <v>9338</v>
      </c>
      <c r="D101" s="109" t="s">
        <v>9480</v>
      </c>
      <c r="E101" s="110" t="s">
        <v>9481</v>
      </c>
      <c r="F101" s="236" t="s">
        <v>9467</v>
      </c>
      <c r="G101" s="115" t="s">
        <v>9324</v>
      </c>
      <c r="H101" s="115" t="s">
        <v>9323</v>
      </c>
      <c r="I101" s="7" t="s">
        <v>9441</v>
      </c>
      <c r="J101" s="110" t="s">
        <v>9442</v>
      </c>
      <c r="K101" s="7" t="s">
        <v>9443</v>
      </c>
      <c r="L101" s="109" t="s">
        <v>9443</v>
      </c>
    </row>
    <row r="102" spans="1:12" ht="14.85" customHeight="1" x14ac:dyDescent="0.25">
      <c r="A102" s="108" t="s">
        <v>9308</v>
      </c>
      <c r="B102" s="115" t="s">
        <v>9337</v>
      </c>
      <c r="C102" s="115" t="s">
        <v>9338</v>
      </c>
      <c r="D102" s="109" t="s">
        <v>9480</v>
      </c>
      <c r="E102" s="110" t="s">
        <v>9481</v>
      </c>
      <c r="F102" s="236" t="s">
        <v>9467</v>
      </c>
      <c r="G102" s="115" t="s">
        <v>9324</v>
      </c>
      <c r="H102" s="115" t="s">
        <v>9323</v>
      </c>
      <c r="I102" s="7" t="s">
        <v>9478</v>
      </c>
      <c r="J102" s="110" t="s">
        <v>9479</v>
      </c>
      <c r="K102" s="7" t="s">
        <v>9443</v>
      </c>
      <c r="L102" s="109" t="s">
        <v>9443</v>
      </c>
    </row>
    <row r="103" spans="1:12" ht="14.85" customHeight="1" x14ac:dyDescent="0.25">
      <c r="A103" s="108" t="s">
        <v>9308</v>
      </c>
      <c r="B103" s="115" t="s">
        <v>9337</v>
      </c>
      <c r="C103" s="115" t="s">
        <v>9338</v>
      </c>
      <c r="D103" s="109" t="s">
        <v>9482</v>
      </c>
      <c r="E103" s="110" t="s">
        <v>9483</v>
      </c>
      <c r="F103" s="236" t="s">
        <v>9484</v>
      </c>
      <c r="G103" s="115" t="s">
        <v>9324</v>
      </c>
      <c r="H103" s="115" t="s">
        <v>9323</v>
      </c>
      <c r="I103" s="7" t="s">
        <v>9342</v>
      </c>
      <c r="J103" s="110" t="s">
        <v>9343</v>
      </c>
      <c r="K103" s="7" t="s">
        <v>9341</v>
      </c>
      <c r="L103" s="109" t="s">
        <v>9484</v>
      </c>
    </row>
    <row r="104" spans="1:12" ht="14.85" customHeight="1" x14ac:dyDescent="0.25">
      <c r="A104" s="108" t="s">
        <v>9308</v>
      </c>
      <c r="B104" s="115" t="s">
        <v>9337</v>
      </c>
      <c r="C104" s="115" t="s">
        <v>9338</v>
      </c>
      <c r="D104" s="109" t="s">
        <v>9482</v>
      </c>
      <c r="E104" s="110" t="s">
        <v>9483</v>
      </c>
      <c r="F104" s="236" t="s">
        <v>9484</v>
      </c>
      <c r="G104" s="115" t="s">
        <v>9324</v>
      </c>
      <c r="H104" s="115" t="s">
        <v>9323</v>
      </c>
      <c r="I104" s="7" t="s">
        <v>9485</v>
      </c>
      <c r="J104" s="110" t="s">
        <v>9486</v>
      </c>
      <c r="K104" s="7" t="s">
        <v>9440</v>
      </c>
      <c r="L104" s="109" t="s">
        <v>9484</v>
      </c>
    </row>
    <row r="105" spans="1:12" ht="14.85" customHeight="1" x14ac:dyDescent="0.25">
      <c r="A105" s="108" t="s">
        <v>9308</v>
      </c>
      <c r="B105" s="115" t="s">
        <v>9337</v>
      </c>
      <c r="C105" s="115" t="s">
        <v>9338</v>
      </c>
      <c r="D105" s="109" t="s">
        <v>9482</v>
      </c>
      <c r="E105" s="110" t="s">
        <v>9483</v>
      </c>
      <c r="F105" s="236" t="s">
        <v>9484</v>
      </c>
      <c r="G105" s="115" t="s">
        <v>9324</v>
      </c>
      <c r="H105" s="115" t="s">
        <v>9323</v>
      </c>
      <c r="I105" s="7" t="s">
        <v>9351</v>
      </c>
      <c r="J105" s="110" t="s">
        <v>9352</v>
      </c>
      <c r="K105" s="7" t="s">
        <v>9353</v>
      </c>
      <c r="L105" s="109" t="s">
        <v>9484</v>
      </c>
    </row>
    <row r="106" spans="1:12" ht="14.85" customHeight="1" x14ac:dyDescent="0.25">
      <c r="A106" s="108" t="s">
        <v>9308</v>
      </c>
      <c r="B106" s="115" t="s">
        <v>9337</v>
      </c>
      <c r="C106" s="115" t="s">
        <v>9338</v>
      </c>
      <c r="D106" s="109" t="s">
        <v>9482</v>
      </c>
      <c r="E106" s="110" t="s">
        <v>9483</v>
      </c>
      <c r="F106" s="236" t="s">
        <v>9484</v>
      </c>
      <c r="G106" s="115" t="s">
        <v>9324</v>
      </c>
      <c r="H106" s="115" t="s">
        <v>9323</v>
      </c>
      <c r="I106" s="7" t="s">
        <v>9487</v>
      </c>
      <c r="J106" s="110" t="s">
        <v>9488</v>
      </c>
      <c r="K106" s="7" t="s">
        <v>9443</v>
      </c>
      <c r="L106" s="109" t="s">
        <v>9484</v>
      </c>
    </row>
    <row r="107" spans="1:12" ht="14.85" customHeight="1" x14ac:dyDescent="0.25">
      <c r="A107" s="108" t="s">
        <v>9308</v>
      </c>
      <c r="B107" s="115" t="s">
        <v>9337</v>
      </c>
      <c r="C107" s="115" t="s">
        <v>9338</v>
      </c>
      <c r="D107" s="109" t="s">
        <v>9489</v>
      </c>
      <c r="E107" s="110" t="s">
        <v>9490</v>
      </c>
      <c r="F107" s="236" t="s">
        <v>116</v>
      </c>
      <c r="G107" s="115" t="s">
        <v>9324</v>
      </c>
      <c r="H107" s="115" t="s">
        <v>9323</v>
      </c>
      <c r="I107" s="7" t="s">
        <v>9342</v>
      </c>
      <c r="J107" s="110" t="s">
        <v>9343</v>
      </c>
      <c r="K107" s="7" t="s">
        <v>9341</v>
      </c>
      <c r="L107" s="109" t="s">
        <v>116</v>
      </c>
    </row>
    <row r="108" spans="1:12" ht="14.85" customHeight="1" x14ac:dyDescent="0.25">
      <c r="A108" s="108" t="s">
        <v>9308</v>
      </c>
      <c r="B108" s="115" t="s">
        <v>9337</v>
      </c>
      <c r="C108" s="115" t="s">
        <v>9338</v>
      </c>
      <c r="D108" s="109" t="s">
        <v>9489</v>
      </c>
      <c r="E108" s="110" t="s">
        <v>9490</v>
      </c>
      <c r="F108" s="236" t="s">
        <v>116</v>
      </c>
      <c r="G108" s="115" t="s">
        <v>9324</v>
      </c>
      <c r="H108" s="115" t="s">
        <v>9323</v>
      </c>
      <c r="I108" s="7" t="s">
        <v>9485</v>
      </c>
      <c r="J108" s="110" t="s">
        <v>9486</v>
      </c>
      <c r="K108" s="7" t="s">
        <v>9440</v>
      </c>
      <c r="L108" s="109" t="s">
        <v>116</v>
      </c>
    </row>
    <row r="109" spans="1:12" ht="14.85" customHeight="1" x14ac:dyDescent="0.25">
      <c r="A109" s="108" t="s">
        <v>9308</v>
      </c>
      <c r="B109" s="115" t="s">
        <v>9337</v>
      </c>
      <c r="C109" s="115" t="s">
        <v>9338</v>
      </c>
      <c r="D109" s="109" t="s">
        <v>9489</v>
      </c>
      <c r="E109" s="110" t="s">
        <v>9490</v>
      </c>
      <c r="F109" s="236" t="s">
        <v>116</v>
      </c>
      <c r="G109" s="115" t="s">
        <v>9324</v>
      </c>
      <c r="H109" s="115" t="s">
        <v>9323</v>
      </c>
      <c r="I109" s="7" t="s">
        <v>9351</v>
      </c>
      <c r="J109" s="110" t="s">
        <v>9352</v>
      </c>
      <c r="K109" s="7" t="s">
        <v>9353</v>
      </c>
      <c r="L109" s="109" t="s">
        <v>116</v>
      </c>
    </row>
    <row r="110" spans="1:12" ht="14.85" customHeight="1" x14ac:dyDescent="0.25">
      <c r="A110" s="108" t="s">
        <v>9308</v>
      </c>
      <c r="B110" s="115" t="s">
        <v>9337</v>
      </c>
      <c r="C110" s="115" t="s">
        <v>9338</v>
      </c>
      <c r="D110" s="109" t="s">
        <v>9489</v>
      </c>
      <c r="E110" s="110" t="s">
        <v>9490</v>
      </c>
      <c r="F110" s="236" t="s">
        <v>116</v>
      </c>
      <c r="G110" s="115" t="s">
        <v>9324</v>
      </c>
      <c r="H110" s="115" t="s">
        <v>9323</v>
      </c>
      <c r="I110" s="7" t="s">
        <v>9487</v>
      </c>
      <c r="J110" s="110" t="s">
        <v>9488</v>
      </c>
      <c r="K110" s="7" t="s">
        <v>9443</v>
      </c>
      <c r="L110" s="109" t="s">
        <v>116</v>
      </c>
    </row>
    <row r="111" spans="1:12" ht="14.85" customHeight="1" x14ac:dyDescent="0.25">
      <c r="A111" s="108" t="s">
        <v>9308</v>
      </c>
      <c r="B111" s="115" t="s">
        <v>9337</v>
      </c>
      <c r="C111" s="115" t="s">
        <v>9338</v>
      </c>
      <c r="D111" s="109" t="s">
        <v>9491</v>
      </c>
      <c r="E111" s="110" t="s">
        <v>9492</v>
      </c>
      <c r="F111" s="236" t="s">
        <v>121</v>
      </c>
      <c r="G111" s="115" t="s">
        <v>9324</v>
      </c>
      <c r="H111" s="115" t="s">
        <v>9323</v>
      </c>
      <c r="I111" s="7" t="s">
        <v>9342</v>
      </c>
      <c r="J111" s="110" t="s">
        <v>9343</v>
      </c>
      <c r="K111" s="7" t="s">
        <v>9341</v>
      </c>
      <c r="L111" s="109" t="s">
        <v>121</v>
      </c>
    </row>
    <row r="112" spans="1:12" ht="14.85" customHeight="1" x14ac:dyDescent="0.25">
      <c r="A112" s="108" t="s">
        <v>9308</v>
      </c>
      <c r="B112" s="115" t="s">
        <v>9337</v>
      </c>
      <c r="C112" s="115" t="s">
        <v>9338</v>
      </c>
      <c r="D112" s="109" t="s">
        <v>9491</v>
      </c>
      <c r="E112" s="110" t="s">
        <v>9492</v>
      </c>
      <c r="F112" s="236" t="s">
        <v>121</v>
      </c>
      <c r="G112" s="115" t="s">
        <v>9324</v>
      </c>
      <c r="H112" s="115" t="s">
        <v>9323</v>
      </c>
      <c r="I112" s="7" t="s">
        <v>9485</v>
      </c>
      <c r="J112" s="110" t="s">
        <v>9486</v>
      </c>
      <c r="K112" s="7" t="s">
        <v>9440</v>
      </c>
      <c r="L112" s="109" t="s">
        <v>121</v>
      </c>
    </row>
    <row r="113" spans="1:12" ht="14.85" customHeight="1" x14ac:dyDescent="0.25">
      <c r="A113" s="108" t="s">
        <v>9308</v>
      </c>
      <c r="B113" s="115" t="s">
        <v>9337</v>
      </c>
      <c r="C113" s="115" t="s">
        <v>9338</v>
      </c>
      <c r="D113" s="109" t="s">
        <v>9491</v>
      </c>
      <c r="E113" s="110" t="s">
        <v>9492</v>
      </c>
      <c r="F113" s="236" t="s">
        <v>121</v>
      </c>
      <c r="G113" s="115" t="s">
        <v>9324</v>
      </c>
      <c r="H113" s="115" t="s">
        <v>9323</v>
      </c>
      <c r="I113" s="7" t="s">
        <v>9351</v>
      </c>
      <c r="J113" s="110" t="s">
        <v>9352</v>
      </c>
      <c r="K113" s="7" t="s">
        <v>9353</v>
      </c>
      <c r="L113" s="109" t="s">
        <v>121</v>
      </c>
    </row>
    <row r="114" spans="1:12" ht="14.85" customHeight="1" x14ac:dyDescent="0.25">
      <c r="A114" s="108" t="s">
        <v>9308</v>
      </c>
      <c r="B114" s="115" t="s">
        <v>9337</v>
      </c>
      <c r="C114" s="115" t="s">
        <v>9338</v>
      </c>
      <c r="D114" s="109" t="s">
        <v>9491</v>
      </c>
      <c r="E114" s="110" t="s">
        <v>9492</v>
      </c>
      <c r="F114" s="236" t="s">
        <v>121</v>
      </c>
      <c r="G114" s="115" t="s">
        <v>9324</v>
      </c>
      <c r="H114" s="115" t="s">
        <v>9323</v>
      </c>
      <c r="I114" s="7" t="s">
        <v>9487</v>
      </c>
      <c r="J114" s="110" t="s">
        <v>9488</v>
      </c>
      <c r="K114" s="7" t="s">
        <v>9443</v>
      </c>
      <c r="L114" s="109" t="s">
        <v>121</v>
      </c>
    </row>
    <row r="115" spans="1:12" ht="14.85" customHeight="1" x14ac:dyDescent="0.25">
      <c r="A115" s="108" t="s">
        <v>9308</v>
      </c>
      <c r="B115" s="115" t="s">
        <v>9337</v>
      </c>
      <c r="C115" s="115" t="s">
        <v>9338</v>
      </c>
      <c r="D115" s="109" t="s">
        <v>9493</v>
      </c>
      <c r="E115" s="110" t="s">
        <v>9494</v>
      </c>
      <c r="F115" s="236" t="s">
        <v>127</v>
      </c>
      <c r="G115" s="115" t="s">
        <v>9324</v>
      </c>
      <c r="H115" s="115" t="s">
        <v>9323</v>
      </c>
      <c r="I115" s="7" t="s">
        <v>9342</v>
      </c>
      <c r="J115" s="110" t="s">
        <v>9343</v>
      </c>
      <c r="K115" s="7" t="s">
        <v>9341</v>
      </c>
      <c r="L115" s="109" t="s">
        <v>127</v>
      </c>
    </row>
    <row r="116" spans="1:12" ht="14.85" customHeight="1" x14ac:dyDescent="0.25">
      <c r="A116" s="108" t="s">
        <v>9308</v>
      </c>
      <c r="B116" s="115" t="s">
        <v>9337</v>
      </c>
      <c r="C116" s="115" t="s">
        <v>9338</v>
      </c>
      <c r="D116" s="109" t="s">
        <v>9493</v>
      </c>
      <c r="E116" s="110" t="s">
        <v>9494</v>
      </c>
      <c r="F116" s="236" t="s">
        <v>127</v>
      </c>
      <c r="G116" s="115" t="s">
        <v>9324</v>
      </c>
      <c r="H116" s="115" t="s">
        <v>9323</v>
      </c>
      <c r="I116" s="7" t="s">
        <v>9485</v>
      </c>
      <c r="J116" s="110" t="s">
        <v>9486</v>
      </c>
      <c r="K116" s="7" t="s">
        <v>9440</v>
      </c>
      <c r="L116" s="109" t="s">
        <v>127</v>
      </c>
    </row>
    <row r="117" spans="1:12" ht="14.85" customHeight="1" x14ac:dyDescent="0.25">
      <c r="A117" s="108" t="s">
        <v>9308</v>
      </c>
      <c r="B117" s="115" t="s">
        <v>9337</v>
      </c>
      <c r="C117" s="115" t="s">
        <v>9338</v>
      </c>
      <c r="D117" s="109" t="s">
        <v>9493</v>
      </c>
      <c r="E117" s="110" t="s">
        <v>9494</v>
      </c>
      <c r="F117" s="236" t="s">
        <v>127</v>
      </c>
      <c r="G117" s="115" t="s">
        <v>9324</v>
      </c>
      <c r="H117" s="115" t="s">
        <v>9323</v>
      </c>
      <c r="I117" s="7" t="s">
        <v>9351</v>
      </c>
      <c r="J117" s="110" t="s">
        <v>9352</v>
      </c>
      <c r="K117" s="7" t="s">
        <v>9353</v>
      </c>
      <c r="L117" s="109" t="s">
        <v>127</v>
      </c>
    </row>
    <row r="118" spans="1:12" ht="14.85" customHeight="1" x14ac:dyDescent="0.25">
      <c r="A118" s="108" t="s">
        <v>9308</v>
      </c>
      <c r="B118" s="115" t="s">
        <v>9337</v>
      </c>
      <c r="C118" s="115" t="s">
        <v>9338</v>
      </c>
      <c r="D118" s="109" t="s">
        <v>9493</v>
      </c>
      <c r="E118" s="110" t="s">
        <v>9494</v>
      </c>
      <c r="F118" s="236" t="s">
        <v>127</v>
      </c>
      <c r="G118" s="115" t="s">
        <v>9324</v>
      </c>
      <c r="H118" s="115" t="s">
        <v>9323</v>
      </c>
      <c r="I118" s="7" t="s">
        <v>9487</v>
      </c>
      <c r="J118" s="110" t="s">
        <v>9488</v>
      </c>
      <c r="K118" s="7" t="s">
        <v>9443</v>
      </c>
      <c r="L118" s="109" t="s">
        <v>127</v>
      </c>
    </row>
    <row r="119" spans="1:12" ht="14.85" customHeight="1" x14ac:dyDescent="0.25">
      <c r="A119" s="108" t="s">
        <v>13512</v>
      </c>
      <c r="B119" s="161" t="s">
        <v>9337</v>
      </c>
      <c r="C119" s="115" t="s">
        <v>9338</v>
      </c>
      <c r="D119" s="109" t="s">
        <v>9495</v>
      </c>
      <c r="E119" s="323" t="s">
        <v>13444</v>
      </c>
      <c r="F119" s="236" t="s">
        <v>9496</v>
      </c>
      <c r="G119" s="115" t="s">
        <v>9324</v>
      </c>
      <c r="H119" s="115" t="s">
        <v>9323</v>
      </c>
      <c r="I119" s="7" t="s">
        <v>9485</v>
      </c>
      <c r="J119" s="110" t="s">
        <v>9486</v>
      </c>
      <c r="K119" s="7" t="s">
        <v>9440</v>
      </c>
      <c r="L119" s="109" t="s">
        <v>9496</v>
      </c>
    </row>
    <row r="120" spans="1:12" ht="14.85" customHeight="1" x14ac:dyDescent="0.25">
      <c r="A120" s="108" t="s">
        <v>13512</v>
      </c>
      <c r="B120" s="161" t="s">
        <v>9337</v>
      </c>
      <c r="C120" s="115" t="s">
        <v>9338</v>
      </c>
      <c r="D120" s="109" t="s">
        <v>9495</v>
      </c>
      <c r="E120" s="323" t="s">
        <v>13444</v>
      </c>
      <c r="F120" s="236" t="s">
        <v>9496</v>
      </c>
      <c r="G120" s="115" t="s">
        <v>9324</v>
      </c>
      <c r="H120" s="115" t="s">
        <v>9323</v>
      </c>
      <c r="I120" s="7" t="s">
        <v>9351</v>
      </c>
      <c r="J120" s="110" t="s">
        <v>9352</v>
      </c>
      <c r="K120" s="7" t="s">
        <v>9353</v>
      </c>
      <c r="L120" s="109" t="s">
        <v>9496</v>
      </c>
    </row>
    <row r="121" spans="1:12" ht="14.85" customHeight="1" x14ac:dyDescent="0.25">
      <c r="A121" s="108" t="s">
        <v>13512</v>
      </c>
      <c r="B121" s="161" t="s">
        <v>9337</v>
      </c>
      <c r="C121" s="115" t="s">
        <v>9338</v>
      </c>
      <c r="D121" s="109" t="s">
        <v>9495</v>
      </c>
      <c r="E121" s="323" t="s">
        <v>13444</v>
      </c>
      <c r="F121" s="236" t="s">
        <v>9496</v>
      </c>
      <c r="G121" s="115" t="s">
        <v>9324</v>
      </c>
      <c r="H121" s="115" t="s">
        <v>9323</v>
      </c>
      <c r="I121" s="7" t="s">
        <v>9487</v>
      </c>
      <c r="J121" s="110" t="s">
        <v>9488</v>
      </c>
      <c r="K121" s="7" t="s">
        <v>9443</v>
      </c>
      <c r="L121" s="109" t="s">
        <v>132</v>
      </c>
    </row>
    <row r="122" spans="1:12" ht="14.85" customHeight="1" x14ac:dyDescent="0.25">
      <c r="A122" s="108" t="s">
        <v>13512</v>
      </c>
      <c r="B122" s="161" t="s">
        <v>9337</v>
      </c>
      <c r="C122" s="115" t="s">
        <v>9338</v>
      </c>
      <c r="D122" s="109" t="s">
        <v>9497</v>
      </c>
      <c r="E122" s="323" t="s">
        <v>13445</v>
      </c>
      <c r="F122" s="236" t="s">
        <v>9496</v>
      </c>
      <c r="G122" s="115" t="s">
        <v>9324</v>
      </c>
      <c r="H122" s="115" t="s">
        <v>9323</v>
      </c>
      <c r="I122" s="7" t="s">
        <v>9485</v>
      </c>
      <c r="J122" s="110" t="s">
        <v>9486</v>
      </c>
      <c r="K122" s="7" t="s">
        <v>9440</v>
      </c>
      <c r="L122" s="109" t="s">
        <v>9496</v>
      </c>
    </row>
    <row r="123" spans="1:12" ht="14.85" customHeight="1" x14ac:dyDescent="0.25">
      <c r="A123" s="108" t="s">
        <v>13512</v>
      </c>
      <c r="B123" s="161" t="s">
        <v>9337</v>
      </c>
      <c r="C123" s="115" t="s">
        <v>9338</v>
      </c>
      <c r="D123" s="109" t="s">
        <v>9497</v>
      </c>
      <c r="E123" s="323" t="s">
        <v>13445</v>
      </c>
      <c r="F123" s="236" t="s">
        <v>9496</v>
      </c>
      <c r="G123" s="115" t="s">
        <v>9324</v>
      </c>
      <c r="H123" s="115" t="s">
        <v>9323</v>
      </c>
      <c r="I123" s="7" t="s">
        <v>9351</v>
      </c>
      <c r="J123" s="110" t="s">
        <v>9352</v>
      </c>
      <c r="K123" s="7" t="s">
        <v>9353</v>
      </c>
      <c r="L123" s="109" t="s">
        <v>9496</v>
      </c>
    </row>
    <row r="124" spans="1:12" ht="14.85" customHeight="1" x14ac:dyDescent="0.25">
      <c r="A124" s="108" t="s">
        <v>13512</v>
      </c>
      <c r="B124" s="161" t="s">
        <v>9337</v>
      </c>
      <c r="C124" s="115" t="s">
        <v>9338</v>
      </c>
      <c r="D124" s="109" t="s">
        <v>9498</v>
      </c>
      <c r="E124" s="323" t="s">
        <v>13446</v>
      </c>
      <c r="F124" s="236" t="s">
        <v>9496</v>
      </c>
      <c r="G124" s="115" t="s">
        <v>9324</v>
      </c>
      <c r="H124" s="115" t="s">
        <v>9323</v>
      </c>
      <c r="I124" s="7" t="s">
        <v>9485</v>
      </c>
      <c r="J124" s="110" t="s">
        <v>9486</v>
      </c>
      <c r="K124" s="7" t="s">
        <v>9440</v>
      </c>
      <c r="L124" s="109" t="s">
        <v>9496</v>
      </c>
    </row>
    <row r="125" spans="1:12" ht="14.85" customHeight="1" x14ac:dyDescent="0.25">
      <c r="A125" s="108" t="s">
        <v>13512</v>
      </c>
      <c r="B125" s="161" t="s">
        <v>9337</v>
      </c>
      <c r="C125" s="115" t="s">
        <v>9338</v>
      </c>
      <c r="D125" s="109" t="s">
        <v>9498</v>
      </c>
      <c r="E125" s="323" t="s">
        <v>13446</v>
      </c>
      <c r="F125" s="236" t="s">
        <v>9496</v>
      </c>
      <c r="G125" s="115" t="s">
        <v>9324</v>
      </c>
      <c r="H125" s="115" t="s">
        <v>9323</v>
      </c>
      <c r="I125" s="7" t="s">
        <v>9351</v>
      </c>
      <c r="J125" s="110" t="s">
        <v>9352</v>
      </c>
      <c r="K125" s="7" t="s">
        <v>9353</v>
      </c>
      <c r="L125" s="109" t="s">
        <v>9496</v>
      </c>
    </row>
    <row r="126" spans="1:12" ht="14.85" customHeight="1" x14ac:dyDescent="0.25">
      <c r="A126" s="108" t="s">
        <v>13512</v>
      </c>
      <c r="B126" s="161" t="s">
        <v>9337</v>
      </c>
      <c r="C126" s="115" t="s">
        <v>9338</v>
      </c>
      <c r="D126" s="109" t="s">
        <v>9498</v>
      </c>
      <c r="E126" s="323" t="s">
        <v>13446</v>
      </c>
      <c r="F126" s="236" t="s">
        <v>9496</v>
      </c>
      <c r="G126" s="115" t="s">
        <v>9324</v>
      </c>
      <c r="H126" s="115" t="s">
        <v>9323</v>
      </c>
      <c r="I126" s="7" t="s">
        <v>9487</v>
      </c>
      <c r="J126" s="110" t="s">
        <v>9488</v>
      </c>
      <c r="K126" s="7" t="s">
        <v>9443</v>
      </c>
      <c r="L126" s="109" t="s">
        <v>132</v>
      </c>
    </row>
    <row r="127" spans="1:12" ht="14.85" customHeight="1" x14ac:dyDescent="0.25">
      <c r="A127" s="108" t="s">
        <v>13512</v>
      </c>
      <c r="B127" s="161" t="s">
        <v>9337</v>
      </c>
      <c r="C127" s="115" t="s">
        <v>9338</v>
      </c>
      <c r="D127" s="109" t="s">
        <v>9499</v>
      </c>
      <c r="E127" s="323" t="s">
        <v>13447</v>
      </c>
      <c r="F127" s="236" t="s">
        <v>9496</v>
      </c>
      <c r="G127" s="115" t="s">
        <v>9324</v>
      </c>
      <c r="H127" s="115" t="s">
        <v>9323</v>
      </c>
      <c r="I127" s="7" t="s">
        <v>9485</v>
      </c>
      <c r="J127" s="110" t="s">
        <v>9486</v>
      </c>
      <c r="K127" s="7" t="s">
        <v>9440</v>
      </c>
      <c r="L127" s="109" t="s">
        <v>9496</v>
      </c>
    </row>
    <row r="128" spans="1:12" ht="14.85" customHeight="1" x14ac:dyDescent="0.25">
      <c r="A128" s="108" t="s">
        <v>13512</v>
      </c>
      <c r="B128" s="161" t="s">
        <v>9337</v>
      </c>
      <c r="C128" s="115" t="s">
        <v>9338</v>
      </c>
      <c r="D128" s="109" t="s">
        <v>9499</v>
      </c>
      <c r="E128" s="323" t="s">
        <v>13447</v>
      </c>
      <c r="F128" s="236" t="s">
        <v>9496</v>
      </c>
      <c r="G128" s="115" t="s">
        <v>9324</v>
      </c>
      <c r="H128" s="115" t="s">
        <v>9323</v>
      </c>
      <c r="I128" s="7" t="s">
        <v>9351</v>
      </c>
      <c r="J128" s="110" t="s">
        <v>9352</v>
      </c>
      <c r="K128" s="7" t="s">
        <v>9353</v>
      </c>
      <c r="L128" s="109" t="s">
        <v>9496</v>
      </c>
    </row>
    <row r="129" spans="1:12" ht="14.85" customHeight="1" x14ac:dyDescent="0.25">
      <c r="A129" s="108" t="s">
        <v>13512</v>
      </c>
      <c r="B129" s="161" t="s">
        <v>9337</v>
      </c>
      <c r="C129" s="115" t="s">
        <v>9338</v>
      </c>
      <c r="D129" s="109" t="s">
        <v>9499</v>
      </c>
      <c r="E129" s="323" t="s">
        <v>13447</v>
      </c>
      <c r="F129" s="236" t="s">
        <v>9496</v>
      </c>
      <c r="G129" s="115" t="s">
        <v>9324</v>
      </c>
      <c r="H129" s="115" t="s">
        <v>9323</v>
      </c>
      <c r="I129" s="7" t="s">
        <v>9487</v>
      </c>
      <c r="J129" s="110" t="s">
        <v>9488</v>
      </c>
      <c r="K129" s="7" t="s">
        <v>9443</v>
      </c>
      <c r="L129" s="109" t="s">
        <v>132</v>
      </c>
    </row>
    <row r="130" spans="1:12" ht="14.85" customHeight="1" x14ac:dyDescent="0.25">
      <c r="A130" s="108" t="s">
        <v>13512</v>
      </c>
      <c r="B130" s="161" t="s">
        <v>9337</v>
      </c>
      <c r="C130" s="115" t="s">
        <v>9338</v>
      </c>
      <c r="D130" s="109" t="s">
        <v>9500</v>
      </c>
      <c r="E130" s="323" t="s">
        <v>13448</v>
      </c>
      <c r="F130" s="236" t="s">
        <v>9496</v>
      </c>
      <c r="G130" s="115" t="s">
        <v>9324</v>
      </c>
      <c r="H130" s="115" t="s">
        <v>9323</v>
      </c>
      <c r="I130" s="7" t="s">
        <v>9485</v>
      </c>
      <c r="J130" s="110" t="s">
        <v>9486</v>
      </c>
      <c r="K130" s="7" t="s">
        <v>9440</v>
      </c>
      <c r="L130" s="109" t="s">
        <v>9496</v>
      </c>
    </row>
    <row r="131" spans="1:12" ht="14.85" customHeight="1" x14ac:dyDescent="0.25">
      <c r="A131" s="108" t="s">
        <v>13512</v>
      </c>
      <c r="B131" s="161" t="s">
        <v>9337</v>
      </c>
      <c r="C131" s="115" t="s">
        <v>9338</v>
      </c>
      <c r="D131" s="109" t="s">
        <v>9500</v>
      </c>
      <c r="E131" s="323" t="s">
        <v>13448</v>
      </c>
      <c r="F131" s="236" t="s">
        <v>9496</v>
      </c>
      <c r="G131" s="115" t="s">
        <v>9324</v>
      </c>
      <c r="H131" s="115" t="s">
        <v>9323</v>
      </c>
      <c r="I131" s="7" t="s">
        <v>9351</v>
      </c>
      <c r="J131" s="110" t="s">
        <v>9352</v>
      </c>
      <c r="K131" s="7" t="s">
        <v>9353</v>
      </c>
      <c r="L131" s="109" t="s">
        <v>9496</v>
      </c>
    </row>
    <row r="132" spans="1:12" ht="14.55" customHeight="1" x14ac:dyDescent="0.25">
      <c r="A132" s="108" t="s">
        <v>13512</v>
      </c>
      <c r="B132" s="161" t="s">
        <v>9337</v>
      </c>
      <c r="C132" s="115" t="s">
        <v>9338</v>
      </c>
      <c r="D132" s="109" t="s">
        <v>9501</v>
      </c>
      <c r="E132" s="323" t="s">
        <v>13449</v>
      </c>
      <c r="F132" s="236" t="s">
        <v>9496</v>
      </c>
      <c r="G132" s="115" t="s">
        <v>9324</v>
      </c>
      <c r="H132" s="115" t="s">
        <v>9323</v>
      </c>
      <c r="I132" s="7" t="s">
        <v>9485</v>
      </c>
      <c r="J132" s="110" t="s">
        <v>9486</v>
      </c>
      <c r="K132" s="7" t="s">
        <v>9440</v>
      </c>
      <c r="L132" s="109" t="s">
        <v>9496</v>
      </c>
    </row>
    <row r="133" spans="1:12" ht="14.85" customHeight="1" x14ac:dyDescent="0.25">
      <c r="A133" s="108" t="s">
        <v>13512</v>
      </c>
      <c r="B133" s="161" t="s">
        <v>9337</v>
      </c>
      <c r="C133" s="115" t="s">
        <v>9338</v>
      </c>
      <c r="D133" s="109" t="s">
        <v>9501</v>
      </c>
      <c r="E133" s="323" t="s">
        <v>13449</v>
      </c>
      <c r="F133" s="236" t="s">
        <v>9496</v>
      </c>
      <c r="G133" s="115" t="s">
        <v>9324</v>
      </c>
      <c r="H133" s="115" t="s">
        <v>9323</v>
      </c>
      <c r="I133" s="7" t="s">
        <v>9351</v>
      </c>
      <c r="J133" s="110" t="s">
        <v>9352</v>
      </c>
      <c r="K133" s="7" t="s">
        <v>9353</v>
      </c>
      <c r="L133" s="109" t="s">
        <v>9496</v>
      </c>
    </row>
    <row r="134" spans="1:12" ht="14.85" customHeight="1" x14ac:dyDescent="0.25">
      <c r="A134" s="108" t="s">
        <v>13512</v>
      </c>
      <c r="B134" s="161" t="s">
        <v>9337</v>
      </c>
      <c r="C134" s="115" t="s">
        <v>9338</v>
      </c>
      <c r="D134" s="109" t="s">
        <v>9501</v>
      </c>
      <c r="E134" s="323" t="s">
        <v>13449</v>
      </c>
      <c r="F134" s="236" t="s">
        <v>9496</v>
      </c>
      <c r="G134" s="115" t="s">
        <v>9324</v>
      </c>
      <c r="H134" s="115" t="s">
        <v>9323</v>
      </c>
      <c r="I134" s="7" t="s">
        <v>9487</v>
      </c>
      <c r="J134" s="110" t="s">
        <v>9488</v>
      </c>
      <c r="K134" s="7" t="s">
        <v>9443</v>
      </c>
      <c r="L134" s="109" t="s">
        <v>132</v>
      </c>
    </row>
    <row r="135" spans="1:12" ht="14.85" customHeight="1" x14ac:dyDescent="0.25">
      <c r="A135" s="108" t="s">
        <v>13512</v>
      </c>
      <c r="B135" s="161" t="s">
        <v>9337</v>
      </c>
      <c r="C135" s="115" t="s">
        <v>9338</v>
      </c>
      <c r="D135" s="109" t="s">
        <v>9502</v>
      </c>
      <c r="E135" s="323" t="s">
        <v>13450</v>
      </c>
      <c r="F135" s="236" t="s">
        <v>9451</v>
      </c>
      <c r="G135" s="115" t="s">
        <v>9324</v>
      </c>
      <c r="H135" s="115" t="s">
        <v>9323</v>
      </c>
      <c r="I135" s="7" t="s">
        <v>9485</v>
      </c>
      <c r="J135" s="110" t="s">
        <v>9486</v>
      </c>
      <c r="K135" s="7" t="s">
        <v>9440</v>
      </c>
      <c r="L135" s="109" t="s">
        <v>9451</v>
      </c>
    </row>
    <row r="136" spans="1:12" ht="14.85" customHeight="1" x14ac:dyDescent="0.25">
      <c r="A136" s="108" t="s">
        <v>13512</v>
      </c>
      <c r="B136" s="161" t="s">
        <v>9337</v>
      </c>
      <c r="C136" s="115" t="s">
        <v>9338</v>
      </c>
      <c r="D136" s="109" t="s">
        <v>9502</v>
      </c>
      <c r="E136" s="323" t="s">
        <v>13450</v>
      </c>
      <c r="F136" s="236" t="s">
        <v>9451</v>
      </c>
      <c r="G136" s="115" t="s">
        <v>9324</v>
      </c>
      <c r="H136" s="115" t="s">
        <v>9323</v>
      </c>
      <c r="I136" s="7" t="s">
        <v>9351</v>
      </c>
      <c r="J136" s="110" t="s">
        <v>9352</v>
      </c>
      <c r="K136" s="7" t="s">
        <v>9353</v>
      </c>
      <c r="L136" s="109" t="s">
        <v>9451</v>
      </c>
    </row>
    <row r="137" spans="1:12" ht="14.85" customHeight="1" x14ac:dyDescent="0.25">
      <c r="A137" s="108" t="s">
        <v>13512</v>
      </c>
      <c r="B137" s="161" t="s">
        <v>9337</v>
      </c>
      <c r="C137" s="115" t="s">
        <v>9338</v>
      </c>
      <c r="D137" s="109" t="s">
        <v>9503</v>
      </c>
      <c r="E137" s="323" t="s">
        <v>13451</v>
      </c>
      <c r="F137" s="236" t="s">
        <v>9451</v>
      </c>
      <c r="G137" s="115" t="s">
        <v>9324</v>
      </c>
      <c r="H137" s="115" t="s">
        <v>9323</v>
      </c>
      <c r="I137" s="7" t="s">
        <v>9485</v>
      </c>
      <c r="J137" s="110" t="s">
        <v>9486</v>
      </c>
      <c r="K137" s="7" t="s">
        <v>9440</v>
      </c>
      <c r="L137" s="109" t="s">
        <v>9451</v>
      </c>
    </row>
    <row r="138" spans="1:12" ht="14.85" customHeight="1" x14ac:dyDescent="0.25">
      <c r="A138" s="108" t="s">
        <v>13512</v>
      </c>
      <c r="B138" s="161" t="s">
        <v>9337</v>
      </c>
      <c r="C138" s="115" t="s">
        <v>9338</v>
      </c>
      <c r="D138" s="109" t="s">
        <v>9503</v>
      </c>
      <c r="E138" s="323" t="s">
        <v>13451</v>
      </c>
      <c r="F138" s="236" t="s">
        <v>9451</v>
      </c>
      <c r="G138" s="115" t="s">
        <v>9324</v>
      </c>
      <c r="H138" s="115" t="s">
        <v>9323</v>
      </c>
      <c r="I138" s="7" t="s">
        <v>9351</v>
      </c>
      <c r="J138" s="110" t="s">
        <v>9352</v>
      </c>
      <c r="K138" s="7" t="s">
        <v>9353</v>
      </c>
      <c r="L138" s="109" t="s">
        <v>9451</v>
      </c>
    </row>
    <row r="139" spans="1:12" ht="14.85" customHeight="1" x14ac:dyDescent="0.25">
      <c r="A139" s="108" t="s">
        <v>13512</v>
      </c>
      <c r="B139" s="161" t="s">
        <v>9337</v>
      </c>
      <c r="C139" s="115" t="s">
        <v>9338</v>
      </c>
      <c r="D139" s="109" t="s">
        <v>9504</v>
      </c>
      <c r="E139" s="323" t="s">
        <v>13452</v>
      </c>
      <c r="F139" s="236" t="s">
        <v>9505</v>
      </c>
      <c r="G139" s="115" t="s">
        <v>9324</v>
      </c>
      <c r="H139" s="115" t="s">
        <v>9323</v>
      </c>
      <c r="I139" s="7" t="s">
        <v>9485</v>
      </c>
      <c r="J139" s="110" t="s">
        <v>9486</v>
      </c>
      <c r="K139" s="7" t="s">
        <v>9440</v>
      </c>
      <c r="L139" s="236" t="s">
        <v>9505</v>
      </c>
    </row>
    <row r="140" spans="1:12" ht="14.85" customHeight="1" x14ac:dyDescent="0.25">
      <c r="A140" s="108" t="s">
        <v>13512</v>
      </c>
      <c r="B140" s="161" t="s">
        <v>9337</v>
      </c>
      <c r="C140" s="115" t="s">
        <v>9338</v>
      </c>
      <c r="D140" s="109" t="s">
        <v>9504</v>
      </c>
      <c r="E140" s="323" t="s">
        <v>13452</v>
      </c>
      <c r="F140" s="236" t="s">
        <v>9505</v>
      </c>
      <c r="G140" s="115" t="s">
        <v>9324</v>
      </c>
      <c r="H140" s="115" t="s">
        <v>9323</v>
      </c>
      <c r="I140" s="7" t="s">
        <v>9351</v>
      </c>
      <c r="J140" s="110" t="s">
        <v>9352</v>
      </c>
      <c r="K140" s="7" t="s">
        <v>9353</v>
      </c>
      <c r="L140" s="236" t="s">
        <v>9505</v>
      </c>
    </row>
    <row r="141" spans="1:12" ht="14.85" customHeight="1" x14ac:dyDescent="0.25">
      <c r="A141" s="108" t="s">
        <v>13512</v>
      </c>
      <c r="B141" s="161" t="s">
        <v>9337</v>
      </c>
      <c r="C141" s="115" t="s">
        <v>9338</v>
      </c>
      <c r="D141" s="109" t="s">
        <v>9506</v>
      </c>
      <c r="E141" s="323" t="s">
        <v>13453</v>
      </c>
      <c r="F141" s="236" t="s">
        <v>9505</v>
      </c>
      <c r="G141" s="115" t="s">
        <v>9324</v>
      </c>
      <c r="H141" s="115" t="s">
        <v>9323</v>
      </c>
      <c r="I141" s="7" t="s">
        <v>9485</v>
      </c>
      <c r="J141" s="110" t="s">
        <v>9486</v>
      </c>
      <c r="K141" s="7" t="s">
        <v>9440</v>
      </c>
      <c r="L141" s="236" t="s">
        <v>9505</v>
      </c>
    </row>
    <row r="142" spans="1:12" ht="14.85" customHeight="1" x14ac:dyDescent="0.25">
      <c r="A142" s="108" t="s">
        <v>13512</v>
      </c>
      <c r="B142" s="161" t="s">
        <v>9337</v>
      </c>
      <c r="C142" s="115" t="s">
        <v>9338</v>
      </c>
      <c r="D142" s="109" t="s">
        <v>9506</v>
      </c>
      <c r="E142" s="323" t="s">
        <v>13453</v>
      </c>
      <c r="F142" s="236" t="s">
        <v>9505</v>
      </c>
      <c r="G142" s="115" t="s">
        <v>9324</v>
      </c>
      <c r="H142" s="115" t="s">
        <v>9323</v>
      </c>
      <c r="I142" s="7" t="s">
        <v>9351</v>
      </c>
      <c r="J142" s="110" t="s">
        <v>9352</v>
      </c>
      <c r="K142" s="7" t="s">
        <v>9353</v>
      </c>
      <c r="L142" s="236" t="s">
        <v>9505</v>
      </c>
    </row>
    <row r="143" spans="1:12" ht="14.85" customHeight="1" x14ac:dyDescent="0.25">
      <c r="A143" s="108" t="s">
        <v>13512</v>
      </c>
      <c r="B143" s="161" t="s">
        <v>9337</v>
      </c>
      <c r="C143" s="115" t="s">
        <v>9338</v>
      </c>
      <c r="D143" s="109" t="s">
        <v>9507</v>
      </c>
      <c r="E143" s="323" t="s">
        <v>13454</v>
      </c>
      <c r="F143" s="236" t="s">
        <v>9451</v>
      </c>
      <c r="G143" s="115" t="s">
        <v>9324</v>
      </c>
      <c r="H143" s="115" t="s">
        <v>9323</v>
      </c>
      <c r="I143" s="7" t="s">
        <v>9485</v>
      </c>
      <c r="J143" s="110" t="s">
        <v>9486</v>
      </c>
      <c r="K143" s="7" t="s">
        <v>9440</v>
      </c>
      <c r="L143" s="236" t="s">
        <v>9451</v>
      </c>
    </row>
    <row r="144" spans="1:12" ht="14.85" customHeight="1" x14ac:dyDescent="0.25">
      <c r="A144" s="108" t="s">
        <v>13512</v>
      </c>
      <c r="B144" s="161" t="s">
        <v>9337</v>
      </c>
      <c r="C144" s="115" t="s">
        <v>9338</v>
      </c>
      <c r="D144" s="109" t="s">
        <v>9507</v>
      </c>
      <c r="E144" s="323" t="s">
        <v>13454</v>
      </c>
      <c r="F144" s="236" t="s">
        <v>9451</v>
      </c>
      <c r="G144" s="115" t="s">
        <v>9324</v>
      </c>
      <c r="H144" s="115" t="s">
        <v>9323</v>
      </c>
      <c r="I144" s="7" t="s">
        <v>9351</v>
      </c>
      <c r="J144" s="110" t="s">
        <v>9352</v>
      </c>
      <c r="K144" s="7" t="s">
        <v>9353</v>
      </c>
      <c r="L144" s="236" t="s">
        <v>9451</v>
      </c>
    </row>
    <row r="145" spans="1:12" ht="14.85" customHeight="1" x14ac:dyDescent="0.25">
      <c r="A145" s="108" t="s">
        <v>13512</v>
      </c>
      <c r="B145" s="161" t="s">
        <v>9337</v>
      </c>
      <c r="C145" s="115" t="s">
        <v>9338</v>
      </c>
      <c r="D145" s="109" t="s">
        <v>9508</v>
      </c>
      <c r="E145" s="323" t="s">
        <v>13455</v>
      </c>
      <c r="F145" s="236" t="s">
        <v>9451</v>
      </c>
      <c r="G145" s="115" t="s">
        <v>9324</v>
      </c>
      <c r="H145" s="115" t="s">
        <v>9323</v>
      </c>
      <c r="I145" s="7" t="s">
        <v>9485</v>
      </c>
      <c r="J145" s="110" t="s">
        <v>9486</v>
      </c>
      <c r="K145" s="7" t="s">
        <v>9440</v>
      </c>
      <c r="L145" s="109" t="s">
        <v>9451</v>
      </c>
    </row>
    <row r="146" spans="1:12" ht="14.85" customHeight="1" x14ac:dyDescent="0.25">
      <c r="A146" s="108" t="s">
        <v>13512</v>
      </c>
      <c r="B146" s="161" t="s">
        <v>9337</v>
      </c>
      <c r="C146" s="115" t="s">
        <v>9338</v>
      </c>
      <c r="D146" s="109" t="s">
        <v>9508</v>
      </c>
      <c r="E146" s="323" t="s">
        <v>13455</v>
      </c>
      <c r="F146" s="236" t="s">
        <v>9451</v>
      </c>
      <c r="G146" s="115" t="s">
        <v>9324</v>
      </c>
      <c r="H146" s="115" t="s">
        <v>9323</v>
      </c>
      <c r="I146" s="7" t="s">
        <v>9351</v>
      </c>
      <c r="J146" s="110" t="s">
        <v>9352</v>
      </c>
      <c r="K146" s="7" t="s">
        <v>9353</v>
      </c>
      <c r="L146" s="109" t="s">
        <v>9451</v>
      </c>
    </row>
    <row r="147" spans="1:12" ht="14.85" customHeight="1" x14ac:dyDescent="0.25">
      <c r="A147" s="108" t="s">
        <v>13512</v>
      </c>
      <c r="B147" s="161" t="s">
        <v>9337</v>
      </c>
      <c r="C147" s="115" t="s">
        <v>9338</v>
      </c>
      <c r="D147" s="109" t="s">
        <v>9509</v>
      </c>
      <c r="E147" s="323" t="s">
        <v>13456</v>
      </c>
      <c r="F147" s="236" t="s">
        <v>9451</v>
      </c>
      <c r="G147" s="115" t="s">
        <v>9324</v>
      </c>
      <c r="H147" s="115" t="s">
        <v>9323</v>
      </c>
      <c r="I147" s="7" t="s">
        <v>9485</v>
      </c>
      <c r="J147" s="110" t="s">
        <v>9486</v>
      </c>
      <c r="K147" s="7" t="s">
        <v>9440</v>
      </c>
      <c r="L147" s="109" t="s">
        <v>9451</v>
      </c>
    </row>
    <row r="148" spans="1:12" ht="14.85" customHeight="1" x14ac:dyDescent="0.25">
      <c r="A148" s="108" t="s">
        <v>13512</v>
      </c>
      <c r="B148" s="161" t="s">
        <v>9337</v>
      </c>
      <c r="C148" s="115" t="s">
        <v>9338</v>
      </c>
      <c r="D148" s="109" t="s">
        <v>9509</v>
      </c>
      <c r="E148" s="323" t="s">
        <v>13456</v>
      </c>
      <c r="F148" s="236" t="s">
        <v>9451</v>
      </c>
      <c r="G148" s="115" t="s">
        <v>9324</v>
      </c>
      <c r="H148" s="115" t="s">
        <v>9323</v>
      </c>
      <c r="I148" s="7" t="s">
        <v>9351</v>
      </c>
      <c r="J148" s="110" t="s">
        <v>9352</v>
      </c>
      <c r="K148" s="7" t="s">
        <v>9353</v>
      </c>
      <c r="L148" s="109" t="s">
        <v>9451</v>
      </c>
    </row>
    <row r="149" spans="1:12" ht="14.85" customHeight="1" x14ac:dyDescent="0.25">
      <c r="A149" s="108" t="s">
        <v>13512</v>
      </c>
      <c r="B149" s="161" t="s">
        <v>9337</v>
      </c>
      <c r="C149" s="115" t="s">
        <v>9338</v>
      </c>
      <c r="D149" s="109" t="s">
        <v>9510</v>
      </c>
      <c r="E149" s="323" t="s">
        <v>13457</v>
      </c>
      <c r="F149" s="236" t="s">
        <v>9451</v>
      </c>
      <c r="G149" s="115" t="s">
        <v>9324</v>
      </c>
      <c r="H149" s="115" t="s">
        <v>9323</v>
      </c>
      <c r="I149" s="7" t="s">
        <v>9485</v>
      </c>
      <c r="J149" s="110" t="s">
        <v>9486</v>
      </c>
      <c r="K149" s="7" t="s">
        <v>9440</v>
      </c>
      <c r="L149" s="109" t="s">
        <v>9451</v>
      </c>
    </row>
    <row r="150" spans="1:12" ht="14.85" customHeight="1" x14ac:dyDescent="0.25">
      <c r="A150" s="108" t="s">
        <v>13512</v>
      </c>
      <c r="B150" s="161" t="s">
        <v>9337</v>
      </c>
      <c r="C150" s="115" t="s">
        <v>9338</v>
      </c>
      <c r="D150" s="109" t="s">
        <v>9510</v>
      </c>
      <c r="E150" s="323" t="s">
        <v>13457</v>
      </c>
      <c r="F150" s="236" t="s">
        <v>9451</v>
      </c>
      <c r="G150" s="115" t="s">
        <v>9324</v>
      </c>
      <c r="H150" s="115" t="s">
        <v>9323</v>
      </c>
      <c r="I150" s="7" t="s">
        <v>9351</v>
      </c>
      <c r="J150" s="110" t="s">
        <v>9352</v>
      </c>
      <c r="K150" s="7" t="s">
        <v>9353</v>
      </c>
      <c r="L150" s="109" t="s">
        <v>9451</v>
      </c>
    </row>
    <row r="151" spans="1:12" ht="14.85" customHeight="1" x14ac:dyDescent="0.25">
      <c r="A151" s="108" t="s">
        <v>13512</v>
      </c>
      <c r="B151" s="161" t="s">
        <v>9337</v>
      </c>
      <c r="C151" s="115" t="s">
        <v>9338</v>
      </c>
      <c r="D151" s="109" t="s">
        <v>9511</v>
      </c>
      <c r="E151" s="323" t="s">
        <v>13458</v>
      </c>
      <c r="F151" s="236" t="s">
        <v>9451</v>
      </c>
      <c r="G151" s="115" t="s">
        <v>9324</v>
      </c>
      <c r="H151" s="115" t="s">
        <v>9323</v>
      </c>
      <c r="I151" s="7" t="s">
        <v>9485</v>
      </c>
      <c r="J151" s="110" t="s">
        <v>9486</v>
      </c>
      <c r="K151" s="7" t="s">
        <v>9440</v>
      </c>
      <c r="L151" s="109" t="s">
        <v>9451</v>
      </c>
    </row>
    <row r="152" spans="1:12" ht="14.85" customHeight="1" x14ac:dyDescent="0.25">
      <c r="A152" s="108" t="s">
        <v>13512</v>
      </c>
      <c r="B152" s="161" t="s">
        <v>9337</v>
      </c>
      <c r="C152" s="115" t="s">
        <v>9338</v>
      </c>
      <c r="D152" s="109" t="s">
        <v>9511</v>
      </c>
      <c r="E152" s="323" t="s">
        <v>13458</v>
      </c>
      <c r="F152" s="236" t="s">
        <v>9451</v>
      </c>
      <c r="G152" s="115" t="s">
        <v>9324</v>
      </c>
      <c r="H152" s="115" t="s">
        <v>9323</v>
      </c>
      <c r="I152" s="7" t="s">
        <v>9351</v>
      </c>
      <c r="J152" s="110" t="s">
        <v>9352</v>
      </c>
      <c r="K152" s="7" t="s">
        <v>9353</v>
      </c>
      <c r="L152" s="109" t="s">
        <v>9451</v>
      </c>
    </row>
    <row r="153" spans="1:12" ht="14.85" customHeight="1" x14ac:dyDescent="0.25">
      <c r="A153" s="108" t="s">
        <v>9308</v>
      </c>
      <c r="B153" s="115" t="s">
        <v>9337</v>
      </c>
      <c r="C153" s="115" t="s">
        <v>9338</v>
      </c>
      <c r="D153" s="109" t="s">
        <v>9512</v>
      </c>
      <c r="E153" s="110" t="s">
        <v>9513</v>
      </c>
      <c r="F153" s="236" t="s">
        <v>9496</v>
      </c>
      <c r="G153" s="115" t="s">
        <v>9324</v>
      </c>
      <c r="H153" s="115" t="s">
        <v>9323</v>
      </c>
      <c r="I153" s="7" t="s">
        <v>9485</v>
      </c>
      <c r="J153" s="110" t="s">
        <v>9486</v>
      </c>
      <c r="K153" s="7" t="s">
        <v>9440</v>
      </c>
      <c r="L153" s="109" t="s">
        <v>9496</v>
      </c>
    </row>
    <row r="154" spans="1:12" ht="14.85" customHeight="1" x14ac:dyDescent="0.25">
      <c r="A154" s="108" t="s">
        <v>9308</v>
      </c>
      <c r="B154" s="115" t="s">
        <v>9337</v>
      </c>
      <c r="C154" s="115" t="s">
        <v>9338</v>
      </c>
      <c r="D154" s="109" t="s">
        <v>9512</v>
      </c>
      <c r="E154" s="110" t="s">
        <v>9513</v>
      </c>
      <c r="F154" s="236" t="s">
        <v>9496</v>
      </c>
      <c r="G154" s="115" t="s">
        <v>9324</v>
      </c>
      <c r="H154" s="115" t="s">
        <v>9323</v>
      </c>
      <c r="I154" s="7" t="s">
        <v>9351</v>
      </c>
      <c r="J154" s="110" t="s">
        <v>9352</v>
      </c>
      <c r="K154" s="7" t="s">
        <v>9353</v>
      </c>
      <c r="L154" s="109" t="s">
        <v>9496</v>
      </c>
    </row>
    <row r="155" spans="1:12" ht="14.85" customHeight="1" x14ac:dyDescent="0.25">
      <c r="A155" s="108" t="s">
        <v>9308</v>
      </c>
      <c r="B155" s="115" t="s">
        <v>9337</v>
      </c>
      <c r="C155" s="115" t="s">
        <v>9338</v>
      </c>
      <c r="D155" s="109" t="s">
        <v>9512</v>
      </c>
      <c r="E155" s="110" t="s">
        <v>9513</v>
      </c>
      <c r="F155" s="236" t="s">
        <v>9496</v>
      </c>
      <c r="G155" s="115" t="s">
        <v>9324</v>
      </c>
      <c r="H155" s="115" t="s">
        <v>9323</v>
      </c>
      <c r="I155" s="7" t="s">
        <v>9487</v>
      </c>
      <c r="J155" s="110" t="s">
        <v>9488</v>
      </c>
      <c r="K155" s="7" t="s">
        <v>9443</v>
      </c>
      <c r="L155" s="109" t="s">
        <v>132</v>
      </c>
    </row>
    <row r="156" spans="1:12" ht="14.85" customHeight="1" x14ac:dyDescent="0.25">
      <c r="A156" s="108" t="s">
        <v>13512</v>
      </c>
      <c r="B156" s="161" t="s">
        <v>9337</v>
      </c>
      <c r="C156" s="115" t="s">
        <v>9338</v>
      </c>
      <c r="D156" s="109" t="s">
        <v>9514</v>
      </c>
      <c r="E156" s="323" t="s">
        <v>13438</v>
      </c>
      <c r="F156" s="236" t="s">
        <v>9496</v>
      </c>
      <c r="G156" s="115" t="s">
        <v>9324</v>
      </c>
      <c r="H156" s="115" t="s">
        <v>9323</v>
      </c>
      <c r="I156" s="7" t="s">
        <v>9485</v>
      </c>
      <c r="J156" s="110" t="s">
        <v>9486</v>
      </c>
      <c r="K156" s="7" t="s">
        <v>9440</v>
      </c>
      <c r="L156" s="109" t="s">
        <v>9496</v>
      </c>
    </row>
    <row r="157" spans="1:12" ht="14.85" customHeight="1" x14ac:dyDescent="0.25">
      <c r="A157" s="108" t="s">
        <v>13512</v>
      </c>
      <c r="B157" s="161" t="s">
        <v>9337</v>
      </c>
      <c r="C157" s="115" t="s">
        <v>9338</v>
      </c>
      <c r="D157" s="109" t="s">
        <v>9514</v>
      </c>
      <c r="E157" s="323" t="s">
        <v>13438</v>
      </c>
      <c r="F157" s="236" t="s">
        <v>9496</v>
      </c>
      <c r="G157" s="115" t="s">
        <v>9324</v>
      </c>
      <c r="H157" s="115" t="s">
        <v>9323</v>
      </c>
      <c r="I157" s="7" t="s">
        <v>9351</v>
      </c>
      <c r="J157" s="110" t="s">
        <v>9352</v>
      </c>
      <c r="K157" s="7" t="s">
        <v>9353</v>
      </c>
      <c r="L157" s="109" t="s">
        <v>9496</v>
      </c>
    </row>
    <row r="158" spans="1:12" ht="14.85" customHeight="1" x14ac:dyDescent="0.25">
      <c r="A158" s="108" t="s">
        <v>13512</v>
      </c>
      <c r="B158" s="161" t="s">
        <v>9337</v>
      </c>
      <c r="C158" s="115" t="s">
        <v>9338</v>
      </c>
      <c r="D158" s="109" t="s">
        <v>9514</v>
      </c>
      <c r="E158" s="323" t="s">
        <v>13438</v>
      </c>
      <c r="F158" s="236" t="s">
        <v>9496</v>
      </c>
      <c r="G158" s="115" t="s">
        <v>9324</v>
      </c>
      <c r="H158" s="115" t="s">
        <v>9323</v>
      </c>
      <c r="I158" s="7" t="s">
        <v>9487</v>
      </c>
      <c r="J158" s="110" t="s">
        <v>9488</v>
      </c>
      <c r="K158" s="7" t="s">
        <v>9443</v>
      </c>
      <c r="L158" s="109" t="s">
        <v>132</v>
      </c>
    </row>
    <row r="159" spans="1:12" s="319" customFormat="1" ht="14.85" customHeight="1" x14ac:dyDescent="0.25">
      <c r="A159" s="108" t="s">
        <v>13513</v>
      </c>
      <c r="B159" s="164" t="s">
        <v>9337</v>
      </c>
      <c r="C159" s="166" t="s">
        <v>9338</v>
      </c>
      <c r="D159" s="167" t="s">
        <v>13498</v>
      </c>
      <c r="E159" s="320" t="s">
        <v>13433</v>
      </c>
      <c r="F159" s="321" t="s">
        <v>9496</v>
      </c>
      <c r="G159" s="166" t="s">
        <v>9324</v>
      </c>
      <c r="H159" s="166" t="s">
        <v>9323</v>
      </c>
      <c r="I159" s="322" t="s">
        <v>9485</v>
      </c>
      <c r="J159" s="320" t="s">
        <v>9486</v>
      </c>
      <c r="K159" s="322" t="s">
        <v>9440</v>
      </c>
      <c r="L159" s="167" t="s">
        <v>9496</v>
      </c>
    </row>
    <row r="160" spans="1:12" s="319" customFormat="1" ht="14.85" customHeight="1" x14ac:dyDescent="0.25">
      <c r="A160" s="108" t="s">
        <v>13513</v>
      </c>
      <c r="B160" s="164" t="s">
        <v>9337</v>
      </c>
      <c r="C160" s="166" t="s">
        <v>9338</v>
      </c>
      <c r="D160" s="167" t="s">
        <v>13498</v>
      </c>
      <c r="E160" s="320" t="s">
        <v>13433</v>
      </c>
      <c r="F160" s="321" t="s">
        <v>9496</v>
      </c>
      <c r="G160" s="166" t="s">
        <v>9324</v>
      </c>
      <c r="H160" s="166" t="s">
        <v>9323</v>
      </c>
      <c r="I160" s="322" t="s">
        <v>9351</v>
      </c>
      <c r="J160" s="320" t="s">
        <v>9352</v>
      </c>
      <c r="K160" s="322" t="s">
        <v>9353</v>
      </c>
      <c r="L160" s="167" t="s">
        <v>9496</v>
      </c>
    </row>
    <row r="161" spans="1:12" s="319" customFormat="1" ht="14.85" customHeight="1" x14ac:dyDescent="0.25">
      <c r="A161" s="108" t="s">
        <v>13513</v>
      </c>
      <c r="B161" s="164" t="s">
        <v>9337</v>
      </c>
      <c r="C161" s="166" t="s">
        <v>9338</v>
      </c>
      <c r="D161" s="167" t="s">
        <v>13498</v>
      </c>
      <c r="E161" s="320" t="s">
        <v>13433</v>
      </c>
      <c r="F161" s="321" t="s">
        <v>9496</v>
      </c>
      <c r="G161" s="166" t="s">
        <v>9324</v>
      </c>
      <c r="H161" s="166" t="s">
        <v>9323</v>
      </c>
      <c r="I161" s="322" t="s">
        <v>9487</v>
      </c>
      <c r="J161" s="320" t="s">
        <v>9488</v>
      </c>
      <c r="K161" s="322" t="s">
        <v>9443</v>
      </c>
      <c r="L161" s="167" t="s">
        <v>132</v>
      </c>
    </row>
    <row r="162" spans="1:12" ht="14.85" customHeight="1" x14ac:dyDescent="0.25">
      <c r="A162" s="108" t="s">
        <v>13512</v>
      </c>
      <c r="B162" s="161" t="s">
        <v>9337</v>
      </c>
      <c r="C162" s="115" t="s">
        <v>9338</v>
      </c>
      <c r="D162" s="109" t="s">
        <v>9515</v>
      </c>
      <c r="E162" s="323" t="s">
        <v>13440</v>
      </c>
      <c r="F162" s="236" t="s">
        <v>9496</v>
      </c>
      <c r="G162" s="115" t="s">
        <v>9324</v>
      </c>
      <c r="H162" s="115" t="s">
        <v>9323</v>
      </c>
      <c r="I162" s="7" t="s">
        <v>9485</v>
      </c>
      <c r="J162" s="110" t="s">
        <v>9486</v>
      </c>
      <c r="K162" s="7" t="s">
        <v>9440</v>
      </c>
      <c r="L162" s="109" t="s">
        <v>9440</v>
      </c>
    </row>
    <row r="163" spans="1:12" ht="14.85" customHeight="1" x14ac:dyDescent="0.25">
      <c r="A163" s="108" t="s">
        <v>13512</v>
      </c>
      <c r="B163" s="161" t="s">
        <v>9337</v>
      </c>
      <c r="C163" s="115" t="s">
        <v>9338</v>
      </c>
      <c r="D163" s="109" t="s">
        <v>9515</v>
      </c>
      <c r="E163" s="323" t="s">
        <v>13440</v>
      </c>
      <c r="F163" s="236" t="s">
        <v>9496</v>
      </c>
      <c r="G163" s="115" t="s">
        <v>9324</v>
      </c>
      <c r="H163" s="115" t="s">
        <v>9323</v>
      </c>
      <c r="I163" s="7" t="s">
        <v>9351</v>
      </c>
      <c r="J163" s="110" t="s">
        <v>9352</v>
      </c>
      <c r="K163" s="7" t="s">
        <v>9353</v>
      </c>
      <c r="L163" s="109" t="s">
        <v>9467</v>
      </c>
    </row>
    <row r="164" spans="1:12" ht="14.85" customHeight="1" x14ac:dyDescent="0.25">
      <c r="A164" s="108" t="s">
        <v>13512</v>
      </c>
      <c r="B164" s="161" t="s">
        <v>9337</v>
      </c>
      <c r="C164" s="115" t="s">
        <v>9338</v>
      </c>
      <c r="D164" s="109" t="s">
        <v>9516</v>
      </c>
      <c r="E164" s="323" t="s">
        <v>13439</v>
      </c>
      <c r="F164" s="236" t="s">
        <v>9451</v>
      </c>
      <c r="G164" s="115" t="s">
        <v>9324</v>
      </c>
      <c r="H164" s="115" t="s">
        <v>9323</v>
      </c>
      <c r="I164" s="7" t="s">
        <v>9485</v>
      </c>
      <c r="J164" s="110" t="s">
        <v>9486</v>
      </c>
      <c r="K164" s="7" t="s">
        <v>9440</v>
      </c>
      <c r="L164" s="109" t="s">
        <v>9451</v>
      </c>
    </row>
    <row r="165" spans="1:12" ht="14.85" customHeight="1" x14ac:dyDescent="0.25">
      <c r="A165" s="108" t="s">
        <v>13512</v>
      </c>
      <c r="B165" s="161" t="s">
        <v>9337</v>
      </c>
      <c r="C165" s="115" t="s">
        <v>9338</v>
      </c>
      <c r="D165" s="109" t="s">
        <v>9516</v>
      </c>
      <c r="E165" s="323" t="s">
        <v>13439</v>
      </c>
      <c r="F165" s="236" t="s">
        <v>9451</v>
      </c>
      <c r="G165" s="115" t="s">
        <v>9324</v>
      </c>
      <c r="H165" s="115" t="s">
        <v>9323</v>
      </c>
      <c r="I165" s="7" t="s">
        <v>9351</v>
      </c>
      <c r="J165" s="110" t="s">
        <v>9352</v>
      </c>
      <c r="K165" s="7" t="s">
        <v>9353</v>
      </c>
      <c r="L165" s="109" t="s">
        <v>9451</v>
      </c>
    </row>
    <row r="166" spans="1:12" ht="14.85" customHeight="1" x14ac:dyDescent="0.25">
      <c r="A166" s="108" t="s">
        <v>9308</v>
      </c>
      <c r="B166" s="115" t="s">
        <v>9337</v>
      </c>
      <c r="C166" s="115" t="s">
        <v>9338</v>
      </c>
      <c r="D166" s="109" t="s">
        <v>9517</v>
      </c>
      <c r="E166" s="110" t="s">
        <v>9518</v>
      </c>
      <c r="F166" s="236" t="s">
        <v>9451</v>
      </c>
      <c r="G166" s="115" t="s">
        <v>9324</v>
      </c>
      <c r="H166" s="115" t="s">
        <v>9323</v>
      </c>
      <c r="I166" s="7" t="s">
        <v>9485</v>
      </c>
      <c r="J166" s="110" t="s">
        <v>9486</v>
      </c>
      <c r="K166" s="7" t="s">
        <v>9440</v>
      </c>
      <c r="L166" s="109" t="s">
        <v>9451</v>
      </c>
    </row>
    <row r="167" spans="1:12" ht="14.85" customHeight="1" x14ac:dyDescent="0.25">
      <c r="A167" s="108" t="s">
        <v>9308</v>
      </c>
      <c r="B167" s="115" t="s">
        <v>9337</v>
      </c>
      <c r="C167" s="115" t="s">
        <v>9338</v>
      </c>
      <c r="D167" s="109" t="s">
        <v>9517</v>
      </c>
      <c r="E167" s="110" t="s">
        <v>9518</v>
      </c>
      <c r="F167" s="236" t="s">
        <v>9451</v>
      </c>
      <c r="G167" s="115" t="s">
        <v>9324</v>
      </c>
      <c r="H167" s="115" t="s">
        <v>9323</v>
      </c>
      <c r="I167" s="7" t="s">
        <v>9519</v>
      </c>
      <c r="J167" s="110" t="s">
        <v>9520</v>
      </c>
      <c r="K167" s="7" t="s">
        <v>9440</v>
      </c>
      <c r="L167" s="109" t="s">
        <v>9451</v>
      </c>
    </row>
    <row r="168" spans="1:12" ht="14.85" customHeight="1" x14ac:dyDescent="0.25">
      <c r="A168" s="108" t="s">
        <v>9308</v>
      </c>
      <c r="B168" s="115" t="s">
        <v>9337</v>
      </c>
      <c r="C168" s="115" t="s">
        <v>9338</v>
      </c>
      <c r="D168" s="109" t="s">
        <v>9517</v>
      </c>
      <c r="E168" s="110" t="s">
        <v>9518</v>
      </c>
      <c r="F168" s="236" t="s">
        <v>9451</v>
      </c>
      <c r="G168" s="115" t="s">
        <v>9324</v>
      </c>
      <c r="H168" s="115" t="s">
        <v>9323</v>
      </c>
      <c r="I168" s="7" t="s">
        <v>9351</v>
      </c>
      <c r="J168" s="110" t="s">
        <v>9352</v>
      </c>
      <c r="K168" s="7" t="s">
        <v>9353</v>
      </c>
      <c r="L168" s="109" t="s">
        <v>9451</v>
      </c>
    </row>
    <row r="169" spans="1:12" ht="14.85" customHeight="1" x14ac:dyDescent="0.25">
      <c r="A169" s="108" t="s">
        <v>9308</v>
      </c>
      <c r="B169" s="115" t="s">
        <v>9337</v>
      </c>
      <c r="C169" s="115" t="s">
        <v>9338</v>
      </c>
      <c r="D169" s="109" t="s">
        <v>9521</v>
      </c>
      <c r="E169" s="110" t="s">
        <v>10993</v>
      </c>
      <c r="F169" s="236" t="s">
        <v>9451</v>
      </c>
      <c r="G169" s="115" t="s">
        <v>9324</v>
      </c>
      <c r="H169" s="115" t="s">
        <v>9323</v>
      </c>
      <c r="I169" s="7" t="s">
        <v>9485</v>
      </c>
      <c r="J169" s="110" t="s">
        <v>9486</v>
      </c>
      <c r="K169" s="7" t="s">
        <v>9440</v>
      </c>
      <c r="L169" s="109" t="s">
        <v>9451</v>
      </c>
    </row>
    <row r="170" spans="1:12" ht="14.85" customHeight="1" x14ac:dyDescent="0.25">
      <c r="A170" s="108" t="s">
        <v>9308</v>
      </c>
      <c r="B170" s="115" t="s">
        <v>9337</v>
      </c>
      <c r="C170" s="115" t="s">
        <v>9338</v>
      </c>
      <c r="D170" s="109" t="s">
        <v>9521</v>
      </c>
      <c r="E170" s="110" t="s">
        <v>10993</v>
      </c>
      <c r="F170" s="236" t="s">
        <v>9451</v>
      </c>
      <c r="G170" s="115" t="s">
        <v>9324</v>
      </c>
      <c r="H170" s="115" t="s">
        <v>9323</v>
      </c>
      <c r="I170" s="7" t="s">
        <v>9522</v>
      </c>
      <c r="J170" s="110" t="s">
        <v>9523</v>
      </c>
      <c r="K170" s="7" t="s">
        <v>9440</v>
      </c>
      <c r="L170" s="109" t="s">
        <v>9451</v>
      </c>
    </row>
    <row r="171" spans="1:12" ht="14.85" customHeight="1" x14ac:dyDescent="0.25">
      <c r="A171" s="108" t="s">
        <v>9308</v>
      </c>
      <c r="B171" s="115" t="s">
        <v>9337</v>
      </c>
      <c r="C171" s="115" t="s">
        <v>9338</v>
      </c>
      <c r="D171" s="109" t="s">
        <v>9521</v>
      </c>
      <c r="E171" s="110" t="s">
        <v>10993</v>
      </c>
      <c r="F171" s="236" t="s">
        <v>9451</v>
      </c>
      <c r="G171" s="115" t="s">
        <v>9324</v>
      </c>
      <c r="H171" s="115" t="s">
        <v>9323</v>
      </c>
      <c r="I171" s="7" t="s">
        <v>9351</v>
      </c>
      <c r="J171" s="110" t="s">
        <v>9352</v>
      </c>
      <c r="K171" s="7" t="s">
        <v>9353</v>
      </c>
      <c r="L171" s="109" t="s">
        <v>9451</v>
      </c>
    </row>
    <row r="172" spans="1:12" ht="14.85" customHeight="1" x14ac:dyDescent="0.25">
      <c r="A172" s="108" t="s">
        <v>9308</v>
      </c>
      <c r="B172" s="115" t="s">
        <v>9337</v>
      </c>
      <c r="C172" s="115" t="s">
        <v>9338</v>
      </c>
      <c r="D172" s="109" t="s">
        <v>9524</v>
      </c>
      <c r="E172" s="110" t="s">
        <v>9525</v>
      </c>
      <c r="F172" s="236" t="s">
        <v>9467</v>
      </c>
      <c r="G172" s="115" t="s">
        <v>9324</v>
      </c>
      <c r="H172" s="115" t="s">
        <v>9323</v>
      </c>
      <c r="I172" s="7" t="s">
        <v>9526</v>
      </c>
      <c r="J172" s="110" t="s">
        <v>9527</v>
      </c>
      <c r="K172" s="7" t="s">
        <v>9440</v>
      </c>
      <c r="L172" s="109" t="s">
        <v>9440</v>
      </c>
    </row>
    <row r="173" spans="1:12" ht="14.85" customHeight="1" x14ac:dyDescent="0.25">
      <c r="A173" s="108" t="s">
        <v>9308</v>
      </c>
      <c r="B173" s="115" t="s">
        <v>9337</v>
      </c>
      <c r="C173" s="115" t="s">
        <v>9338</v>
      </c>
      <c r="D173" s="109" t="s">
        <v>9524</v>
      </c>
      <c r="E173" s="110" t="s">
        <v>9525</v>
      </c>
      <c r="F173" s="236" t="s">
        <v>9467</v>
      </c>
      <c r="G173" s="115" t="s">
        <v>9324</v>
      </c>
      <c r="H173" s="115" t="s">
        <v>9323</v>
      </c>
      <c r="I173" s="7" t="s">
        <v>9528</v>
      </c>
      <c r="J173" s="110" t="s">
        <v>9529</v>
      </c>
      <c r="K173" s="7" t="s">
        <v>9440</v>
      </c>
      <c r="L173" s="109" t="s">
        <v>9440</v>
      </c>
    </row>
    <row r="174" spans="1:12" ht="14.85" customHeight="1" x14ac:dyDescent="0.25">
      <c r="A174" s="108" t="s">
        <v>9308</v>
      </c>
      <c r="B174" s="115" t="s">
        <v>9337</v>
      </c>
      <c r="C174" s="115" t="s">
        <v>9338</v>
      </c>
      <c r="D174" s="109" t="s">
        <v>9524</v>
      </c>
      <c r="E174" s="110" t="s">
        <v>9525</v>
      </c>
      <c r="F174" s="236" t="s">
        <v>9467</v>
      </c>
      <c r="G174" s="115" t="s">
        <v>9324</v>
      </c>
      <c r="H174" s="115" t="s">
        <v>9323</v>
      </c>
      <c r="I174" s="7" t="s">
        <v>9530</v>
      </c>
      <c r="J174" s="110" t="s">
        <v>9531</v>
      </c>
      <c r="K174" s="7" t="s">
        <v>9440</v>
      </c>
      <c r="L174" s="109" t="s">
        <v>9440</v>
      </c>
    </row>
    <row r="175" spans="1:12" ht="14.85" customHeight="1" x14ac:dyDescent="0.25">
      <c r="A175" s="108" t="s">
        <v>9308</v>
      </c>
      <c r="B175" s="115" t="s">
        <v>9337</v>
      </c>
      <c r="C175" s="115" t="s">
        <v>9338</v>
      </c>
      <c r="D175" s="109" t="s">
        <v>9524</v>
      </c>
      <c r="E175" s="110" t="s">
        <v>9525</v>
      </c>
      <c r="F175" s="236" t="s">
        <v>9467</v>
      </c>
      <c r="G175" s="115" t="s">
        <v>9324</v>
      </c>
      <c r="H175" s="115" t="s">
        <v>9323</v>
      </c>
      <c r="I175" s="7" t="s">
        <v>9351</v>
      </c>
      <c r="J175" s="110" t="s">
        <v>9352</v>
      </c>
      <c r="K175" s="7" t="s">
        <v>9353</v>
      </c>
      <c r="L175" s="109" t="s">
        <v>9467</v>
      </c>
    </row>
    <row r="176" spans="1:12" ht="14.85" customHeight="1" x14ac:dyDescent="0.25">
      <c r="A176" s="108" t="s">
        <v>9308</v>
      </c>
      <c r="B176" s="115" t="s">
        <v>9337</v>
      </c>
      <c r="C176" s="115" t="s">
        <v>9338</v>
      </c>
      <c r="D176" s="109" t="s">
        <v>9524</v>
      </c>
      <c r="E176" s="110" t="s">
        <v>9525</v>
      </c>
      <c r="F176" s="236" t="s">
        <v>9467</v>
      </c>
      <c r="G176" s="115" t="s">
        <v>9324</v>
      </c>
      <c r="H176" s="115" t="s">
        <v>9323</v>
      </c>
      <c r="I176" s="7" t="s">
        <v>9532</v>
      </c>
      <c r="J176" s="110" t="s">
        <v>9533</v>
      </c>
      <c r="K176" s="7" t="s">
        <v>9443</v>
      </c>
      <c r="L176" s="109" t="s">
        <v>9443</v>
      </c>
    </row>
    <row r="177" spans="1:12" ht="14.85" customHeight="1" x14ac:dyDescent="0.25">
      <c r="A177" s="108" t="s">
        <v>9308</v>
      </c>
      <c r="B177" s="115" t="s">
        <v>9337</v>
      </c>
      <c r="C177" s="115" t="s">
        <v>9338</v>
      </c>
      <c r="D177" s="109" t="s">
        <v>9524</v>
      </c>
      <c r="E177" s="110" t="s">
        <v>9525</v>
      </c>
      <c r="F177" s="236" t="s">
        <v>9467</v>
      </c>
      <c r="G177" s="115" t="s">
        <v>9324</v>
      </c>
      <c r="H177" s="115" t="s">
        <v>9323</v>
      </c>
      <c r="I177" s="7" t="s">
        <v>9534</v>
      </c>
      <c r="J177" s="110" t="s">
        <v>9535</v>
      </c>
      <c r="K177" s="7" t="s">
        <v>9443</v>
      </c>
      <c r="L177" s="109" t="s">
        <v>9443</v>
      </c>
    </row>
    <row r="178" spans="1:12" ht="14.85" customHeight="1" x14ac:dyDescent="0.25">
      <c r="A178" s="108" t="s">
        <v>9308</v>
      </c>
      <c r="B178" s="115" t="s">
        <v>9337</v>
      </c>
      <c r="C178" s="115" t="s">
        <v>9338</v>
      </c>
      <c r="D178" s="109" t="s">
        <v>9524</v>
      </c>
      <c r="E178" s="110" t="s">
        <v>9525</v>
      </c>
      <c r="F178" s="236" t="s">
        <v>9467</v>
      </c>
      <c r="G178" s="115" t="s">
        <v>9324</v>
      </c>
      <c r="H178" s="115" t="s">
        <v>9323</v>
      </c>
      <c r="I178" s="7" t="s">
        <v>9536</v>
      </c>
      <c r="J178" s="110" t="s">
        <v>9537</v>
      </c>
      <c r="K178" s="7" t="s">
        <v>9443</v>
      </c>
      <c r="L178" s="109" t="s">
        <v>9443</v>
      </c>
    </row>
    <row r="179" spans="1:12" ht="14.85" customHeight="1" x14ac:dyDescent="0.25">
      <c r="A179" s="108" t="s">
        <v>9308</v>
      </c>
      <c r="B179" s="115" t="s">
        <v>9337</v>
      </c>
      <c r="C179" s="115" t="s">
        <v>9338</v>
      </c>
      <c r="D179" s="109" t="s">
        <v>9538</v>
      </c>
      <c r="E179" s="110" t="s">
        <v>9539</v>
      </c>
      <c r="F179" s="236" t="s">
        <v>9467</v>
      </c>
      <c r="G179" s="115" t="s">
        <v>9324</v>
      </c>
      <c r="H179" s="115" t="s">
        <v>9323</v>
      </c>
      <c r="I179" s="7" t="s">
        <v>9526</v>
      </c>
      <c r="J179" s="110" t="s">
        <v>9527</v>
      </c>
      <c r="K179" s="7" t="s">
        <v>9440</v>
      </c>
      <c r="L179" s="109" t="s">
        <v>9440</v>
      </c>
    </row>
    <row r="180" spans="1:12" ht="14.85" customHeight="1" x14ac:dyDescent="0.25">
      <c r="A180" s="108" t="s">
        <v>9308</v>
      </c>
      <c r="B180" s="115" t="s">
        <v>9337</v>
      </c>
      <c r="C180" s="115" t="s">
        <v>9338</v>
      </c>
      <c r="D180" s="109" t="s">
        <v>9538</v>
      </c>
      <c r="E180" s="110" t="s">
        <v>9539</v>
      </c>
      <c r="F180" s="236" t="s">
        <v>9467</v>
      </c>
      <c r="G180" s="115" t="s">
        <v>9324</v>
      </c>
      <c r="H180" s="115" t="s">
        <v>9323</v>
      </c>
      <c r="I180" s="7" t="s">
        <v>9528</v>
      </c>
      <c r="J180" s="110" t="s">
        <v>9529</v>
      </c>
      <c r="K180" s="7" t="s">
        <v>9440</v>
      </c>
      <c r="L180" s="109" t="s">
        <v>9440</v>
      </c>
    </row>
    <row r="181" spans="1:12" ht="14.85" customHeight="1" x14ac:dyDescent="0.25">
      <c r="A181" s="108" t="s">
        <v>9308</v>
      </c>
      <c r="B181" s="115" t="s">
        <v>9337</v>
      </c>
      <c r="C181" s="115" t="s">
        <v>9338</v>
      </c>
      <c r="D181" s="109" t="s">
        <v>9538</v>
      </c>
      <c r="E181" s="110" t="s">
        <v>9539</v>
      </c>
      <c r="F181" s="236" t="s">
        <v>9467</v>
      </c>
      <c r="G181" s="115" t="s">
        <v>9324</v>
      </c>
      <c r="H181" s="115" t="s">
        <v>9323</v>
      </c>
      <c r="I181" s="7" t="s">
        <v>9530</v>
      </c>
      <c r="J181" s="110" t="s">
        <v>9531</v>
      </c>
      <c r="K181" s="7" t="s">
        <v>9440</v>
      </c>
      <c r="L181" s="109" t="s">
        <v>9440</v>
      </c>
    </row>
    <row r="182" spans="1:12" ht="14.85" customHeight="1" x14ac:dyDescent="0.25">
      <c r="A182" s="108" t="s">
        <v>9308</v>
      </c>
      <c r="B182" s="115" t="s">
        <v>9337</v>
      </c>
      <c r="C182" s="115" t="s">
        <v>9338</v>
      </c>
      <c r="D182" s="109" t="s">
        <v>9538</v>
      </c>
      <c r="E182" s="110" t="s">
        <v>9539</v>
      </c>
      <c r="F182" s="236" t="s">
        <v>9467</v>
      </c>
      <c r="G182" s="115" t="s">
        <v>9324</v>
      </c>
      <c r="H182" s="115" t="s">
        <v>9323</v>
      </c>
      <c r="I182" s="7" t="s">
        <v>9351</v>
      </c>
      <c r="J182" s="110" t="s">
        <v>9352</v>
      </c>
      <c r="K182" s="7" t="s">
        <v>9353</v>
      </c>
      <c r="L182" s="109" t="s">
        <v>9467</v>
      </c>
    </row>
    <row r="183" spans="1:12" ht="14.85" customHeight="1" x14ac:dyDescent="0.25">
      <c r="A183" s="108" t="s">
        <v>9308</v>
      </c>
      <c r="B183" s="115" t="s">
        <v>9337</v>
      </c>
      <c r="C183" s="115" t="s">
        <v>9338</v>
      </c>
      <c r="D183" s="109" t="s">
        <v>9538</v>
      </c>
      <c r="E183" s="110" t="s">
        <v>9539</v>
      </c>
      <c r="F183" s="236" t="s">
        <v>9467</v>
      </c>
      <c r="G183" s="115" t="s">
        <v>9324</v>
      </c>
      <c r="H183" s="115" t="s">
        <v>9323</v>
      </c>
      <c r="I183" s="7" t="s">
        <v>9532</v>
      </c>
      <c r="J183" s="110" t="s">
        <v>9533</v>
      </c>
      <c r="K183" s="7" t="s">
        <v>9443</v>
      </c>
      <c r="L183" s="109" t="s">
        <v>9443</v>
      </c>
    </row>
    <row r="184" spans="1:12" ht="14.85" customHeight="1" x14ac:dyDescent="0.25">
      <c r="A184" s="108" t="s">
        <v>9308</v>
      </c>
      <c r="B184" s="115" t="s">
        <v>9337</v>
      </c>
      <c r="C184" s="115" t="s">
        <v>9338</v>
      </c>
      <c r="D184" s="109" t="s">
        <v>9538</v>
      </c>
      <c r="E184" s="110" t="s">
        <v>9539</v>
      </c>
      <c r="F184" s="236" t="s">
        <v>9467</v>
      </c>
      <c r="G184" s="115" t="s">
        <v>9324</v>
      </c>
      <c r="H184" s="115" t="s">
        <v>9323</v>
      </c>
      <c r="I184" s="7" t="s">
        <v>9534</v>
      </c>
      <c r="J184" s="110" t="s">
        <v>9535</v>
      </c>
      <c r="K184" s="7" t="s">
        <v>9443</v>
      </c>
      <c r="L184" s="109" t="s">
        <v>9443</v>
      </c>
    </row>
    <row r="185" spans="1:12" ht="14.85" customHeight="1" x14ac:dyDescent="0.25">
      <c r="A185" s="108" t="s">
        <v>9308</v>
      </c>
      <c r="B185" s="115" t="s">
        <v>9337</v>
      </c>
      <c r="C185" s="115" t="s">
        <v>9338</v>
      </c>
      <c r="D185" s="109" t="s">
        <v>9538</v>
      </c>
      <c r="E185" s="110" t="s">
        <v>9539</v>
      </c>
      <c r="F185" s="236" t="s">
        <v>9467</v>
      </c>
      <c r="G185" s="115" t="s">
        <v>9324</v>
      </c>
      <c r="H185" s="115" t="s">
        <v>9323</v>
      </c>
      <c r="I185" s="7" t="s">
        <v>9536</v>
      </c>
      <c r="J185" s="110" t="s">
        <v>9537</v>
      </c>
      <c r="K185" s="7" t="s">
        <v>9443</v>
      </c>
      <c r="L185" s="109" t="s">
        <v>9443</v>
      </c>
    </row>
    <row r="186" spans="1:12" ht="14.85" customHeight="1" x14ac:dyDescent="0.25">
      <c r="A186" s="108" t="s">
        <v>9308</v>
      </c>
      <c r="B186" s="115" t="s">
        <v>9337</v>
      </c>
      <c r="C186" s="115" t="s">
        <v>9338</v>
      </c>
      <c r="D186" s="109" t="s">
        <v>9540</v>
      </c>
      <c r="E186" s="110" t="s">
        <v>9541</v>
      </c>
      <c r="F186" s="236" t="s">
        <v>9467</v>
      </c>
      <c r="G186" s="115" t="s">
        <v>9324</v>
      </c>
      <c r="H186" s="115" t="s">
        <v>9323</v>
      </c>
      <c r="I186" s="7" t="s">
        <v>9526</v>
      </c>
      <c r="J186" s="110" t="s">
        <v>9527</v>
      </c>
      <c r="K186" s="7" t="s">
        <v>9440</v>
      </c>
      <c r="L186" s="109" t="s">
        <v>9440</v>
      </c>
    </row>
    <row r="187" spans="1:12" ht="14.85" customHeight="1" x14ac:dyDescent="0.25">
      <c r="A187" s="108" t="s">
        <v>9308</v>
      </c>
      <c r="B187" s="115" t="s">
        <v>9337</v>
      </c>
      <c r="C187" s="115" t="s">
        <v>9338</v>
      </c>
      <c r="D187" s="109" t="s">
        <v>9540</v>
      </c>
      <c r="E187" s="110" t="s">
        <v>9541</v>
      </c>
      <c r="F187" s="236" t="s">
        <v>9467</v>
      </c>
      <c r="G187" s="115" t="s">
        <v>9324</v>
      </c>
      <c r="H187" s="115" t="s">
        <v>9323</v>
      </c>
      <c r="I187" s="7" t="s">
        <v>9542</v>
      </c>
      <c r="J187" s="110" t="s">
        <v>9543</v>
      </c>
      <c r="K187" s="7" t="s">
        <v>9440</v>
      </c>
      <c r="L187" s="109" t="s">
        <v>9440</v>
      </c>
    </row>
    <row r="188" spans="1:12" ht="14.85" customHeight="1" x14ac:dyDescent="0.25">
      <c r="A188" s="108" t="s">
        <v>9308</v>
      </c>
      <c r="B188" s="115" t="s">
        <v>9337</v>
      </c>
      <c r="C188" s="115" t="s">
        <v>9338</v>
      </c>
      <c r="D188" s="109" t="s">
        <v>9540</v>
      </c>
      <c r="E188" s="110" t="s">
        <v>9541</v>
      </c>
      <c r="F188" s="236" t="s">
        <v>9467</v>
      </c>
      <c r="G188" s="115" t="s">
        <v>9324</v>
      </c>
      <c r="H188" s="115" t="s">
        <v>9323</v>
      </c>
      <c r="I188" s="7" t="s">
        <v>9544</v>
      </c>
      <c r="J188" s="110" t="s">
        <v>9545</v>
      </c>
      <c r="K188" s="7" t="s">
        <v>9440</v>
      </c>
      <c r="L188" s="109" t="s">
        <v>9440</v>
      </c>
    </row>
    <row r="189" spans="1:12" ht="14.85" customHeight="1" x14ac:dyDescent="0.25">
      <c r="A189" s="108" t="s">
        <v>9308</v>
      </c>
      <c r="B189" s="115" t="s">
        <v>9337</v>
      </c>
      <c r="C189" s="115" t="s">
        <v>9338</v>
      </c>
      <c r="D189" s="109" t="s">
        <v>9540</v>
      </c>
      <c r="E189" s="110" t="s">
        <v>9541</v>
      </c>
      <c r="F189" s="236" t="s">
        <v>9467</v>
      </c>
      <c r="G189" s="115" t="s">
        <v>9324</v>
      </c>
      <c r="H189" s="115" t="s">
        <v>9323</v>
      </c>
      <c r="I189" s="7" t="s">
        <v>9546</v>
      </c>
      <c r="J189" s="110" t="s">
        <v>9547</v>
      </c>
      <c r="K189" s="7" t="s">
        <v>9440</v>
      </c>
      <c r="L189" s="109" t="s">
        <v>9440</v>
      </c>
    </row>
    <row r="190" spans="1:12" ht="14.85" customHeight="1" x14ac:dyDescent="0.25">
      <c r="A190" s="108" t="s">
        <v>9308</v>
      </c>
      <c r="B190" s="115" t="s">
        <v>9337</v>
      </c>
      <c r="C190" s="115" t="s">
        <v>9338</v>
      </c>
      <c r="D190" s="109" t="s">
        <v>9540</v>
      </c>
      <c r="E190" s="110" t="s">
        <v>9541</v>
      </c>
      <c r="F190" s="236" t="s">
        <v>9467</v>
      </c>
      <c r="G190" s="115" t="s">
        <v>9324</v>
      </c>
      <c r="H190" s="115" t="s">
        <v>9323</v>
      </c>
      <c r="I190" s="7" t="s">
        <v>9528</v>
      </c>
      <c r="J190" s="110" t="s">
        <v>9529</v>
      </c>
      <c r="K190" s="7" t="s">
        <v>9440</v>
      </c>
      <c r="L190" s="109" t="s">
        <v>9440</v>
      </c>
    </row>
    <row r="191" spans="1:12" ht="14.85" customHeight="1" x14ac:dyDescent="0.25">
      <c r="A191" s="108" t="s">
        <v>9308</v>
      </c>
      <c r="B191" s="115" t="s">
        <v>9337</v>
      </c>
      <c r="C191" s="115" t="s">
        <v>9338</v>
      </c>
      <c r="D191" s="109" t="s">
        <v>9540</v>
      </c>
      <c r="E191" s="110" t="s">
        <v>9541</v>
      </c>
      <c r="F191" s="236" t="s">
        <v>9467</v>
      </c>
      <c r="G191" s="115" t="s">
        <v>9324</v>
      </c>
      <c r="H191" s="115" t="s">
        <v>9323</v>
      </c>
      <c r="I191" s="7" t="s">
        <v>9530</v>
      </c>
      <c r="J191" s="110" t="s">
        <v>9531</v>
      </c>
      <c r="K191" s="7" t="s">
        <v>9440</v>
      </c>
      <c r="L191" s="109" t="s">
        <v>9440</v>
      </c>
    </row>
    <row r="192" spans="1:12" ht="14.85" customHeight="1" x14ac:dyDescent="0.25">
      <c r="A192" s="108" t="s">
        <v>9308</v>
      </c>
      <c r="B192" s="115" t="s">
        <v>9337</v>
      </c>
      <c r="C192" s="115" t="s">
        <v>9338</v>
      </c>
      <c r="D192" s="109" t="s">
        <v>9540</v>
      </c>
      <c r="E192" s="110" t="s">
        <v>9541</v>
      </c>
      <c r="F192" s="236" t="s">
        <v>9467</v>
      </c>
      <c r="G192" s="115" t="s">
        <v>9324</v>
      </c>
      <c r="H192" s="115" t="s">
        <v>9323</v>
      </c>
      <c r="I192" s="7" t="s">
        <v>9351</v>
      </c>
      <c r="J192" s="110" t="s">
        <v>9352</v>
      </c>
      <c r="K192" s="7" t="s">
        <v>9353</v>
      </c>
      <c r="L192" s="109" t="s">
        <v>9467</v>
      </c>
    </row>
    <row r="193" spans="1:12" ht="14.85" customHeight="1" x14ac:dyDescent="0.25">
      <c r="A193" s="108" t="s">
        <v>9308</v>
      </c>
      <c r="B193" s="115" t="s">
        <v>9337</v>
      </c>
      <c r="C193" s="115" t="s">
        <v>9338</v>
      </c>
      <c r="D193" s="109" t="s">
        <v>9540</v>
      </c>
      <c r="E193" s="110" t="s">
        <v>9541</v>
      </c>
      <c r="F193" s="236" t="s">
        <v>9467</v>
      </c>
      <c r="G193" s="115" t="s">
        <v>9324</v>
      </c>
      <c r="H193" s="115" t="s">
        <v>9323</v>
      </c>
      <c r="I193" s="7" t="s">
        <v>9548</v>
      </c>
      <c r="J193" s="110" t="s">
        <v>9549</v>
      </c>
      <c r="K193" s="7" t="s">
        <v>9443</v>
      </c>
      <c r="L193" s="7" t="s">
        <v>9443</v>
      </c>
    </row>
    <row r="194" spans="1:12" ht="14.85" customHeight="1" x14ac:dyDescent="0.25">
      <c r="A194" s="108" t="s">
        <v>9308</v>
      </c>
      <c r="B194" s="115" t="s">
        <v>9337</v>
      </c>
      <c r="C194" s="115" t="s">
        <v>9338</v>
      </c>
      <c r="D194" s="109" t="s">
        <v>9540</v>
      </c>
      <c r="E194" s="110" t="s">
        <v>9541</v>
      </c>
      <c r="F194" s="236" t="s">
        <v>9467</v>
      </c>
      <c r="G194" s="115" t="s">
        <v>9324</v>
      </c>
      <c r="H194" s="115" t="s">
        <v>9323</v>
      </c>
      <c r="I194" s="7" t="s">
        <v>9550</v>
      </c>
      <c r="J194" s="110" t="s">
        <v>9551</v>
      </c>
      <c r="K194" s="7" t="s">
        <v>9443</v>
      </c>
      <c r="L194" s="7" t="s">
        <v>9443</v>
      </c>
    </row>
    <row r="195" spans="1:12" ht="14.85" customHeight="1" x14ac:dyDescent="0.25">
      <c r="A195" s="108" t="s">
        <v>9308</v>
      </c>
      <c r="B195" s="115" t="s">
        <v>9337</v>
      </c>
      <c r="C195" s="115" t="s">
        <v>9338</v>
      </c>
      <c r="D195" s="109" t="s">
        <v>9540</v>
      </c>
      <c r="E195" s="110" t="s">
        <v>9541</v>
      </c>
      <c r="F195" s="236" t="s">
        <v>9467</v>
      </c>
      <c r="G195" s="115" t="s">
        <v>9324</v>
      </c>
      <c r="H195" s="115" t="s">
        <v>9323</v>
      </c>
      <c r="I195" s="7" t="s">
        <v>9552</v>
      </c>
      <c r="J195" s="110" t="s">
        <v>9553</v>
      </c>
      <c r="K195" s="7" t="s">
        <v>9443</v>
      </c>
      <c r="L195" s="7" t="s">
        <v>9443</v>
      </c>
    </row>
    <row r="196" spans="1:12" ht="14.85" customHeight="1" x14ac:dyDescent="0.25">
      <c r="A196" s="108" t="s">
        <v>9308</v>
      </c>
      <c r="B196" s="115" t="s">
        <v>9337</v>
      </c>
      <c r="C196" s="115" t="s">
        <v>9338</v>
      </c>
      <c r="D196" s="109" t="s">
        <v>9540</v>
      </c>
      <c r="E196" s="110" t="s">
        <v>9541</v>
      </c>
      <c r="F196" s="236" t="s">
        <v>9467</v>
      </c>
      <c r="G196" s="115" t="s">
        <v>9324</v>
      </c>
      <c r="H196" s="115" t="s">
        <v>9323</v>
      </c>
      <c r="I196" s="7" t="s">
        <v>9532</v>
      </c>
      <c r="J196" s="110" t="s">
        <v>9533</v>
      </c>
      <c r="K196" s="7" t="s">
        <v>9443</v>
      </c>
      <c r="L196" s="7" t="s">
        <v>9443</v>
      </c>
    </row>
    <row r="197" spans="1:12" ht="14.85" customHeight="1" x14ac:dyDescent="0.25">
      <c r="A197" s="108" t="s">
        <v>9308</v>
      </c>
      <c r="B197" s="115" t="s">
        <v>9337</v>
      </c>
      <c r="C197" s="115" t="s">
        <v>9338</v>
      </c>
      <c r="D197" s="109" t="s">
        <v>9540</v>
      </c>
      <c r="E197" s="110" t="s">
        <v>9541</v>
      </c>
      <c r="F197" s="236" t="s">
        <v>9467</v>
      </c>
      <c r="G197" s="115" t="s">
        <v>9324</v>
      </c>
      <c r="H197" s="115" t="s">
        <v>9323</v>
      </c>
      <c r="I197" s="7" t="s">
        <v>9534</v>
      </c>
      <c r="J197" s="110" t="s">
        <v>9535</v>
      </c>
      <c r="K197" s="7" t="s">
        <v>9443</v>
      </c>
      <c r="L197" s="7" t="s">
        <v>9443</v>
      </c>
    </row>
    <row r="198" spans="1:12" ht="14.85" customHeight="1" x14ac:dyDescent="0.25">
      <c r="A198" s="108" t="s">
        <v>9308</v>
      </c>
      <c r="B198" s="115" t="s">
        <v>9337</v>
      </c>
      <c r="C198" s="115" t="s">
        <v>9338</v>
      </c>
      <c r="D198" s="109" t="s">
        <v>9540</v>
      </c>
      <c r="E198" s="110" t="s">
        <v>9541</v>
      </c>
      <c r="F198" s="236" t="s">
        <v>9467</v>
      </c>
      <c r="G198" s="115" t="s">
        <v>9324</v>
      </c>
      <c r="H198" s="115" t="s">
        <v>9323</v>
      </c>
      <c r="I198" s="7" t="s">
        <v>9536</v>
      </c>
      <c r="J198" s="110" t="s">
        <v>9537</v>
      </c>
      <c r="K198" s="7" t="s">
        <v>9443</v>
      </c>
      <c r="L198" s="7" t="s">
        <v>9443</v>
      </c>
    </row>
    <row r="199" spans="1:12" ht="14.55" customHeight="1" x14ac:dyDescent="0.25">
      <c r="A199" s="108" t="s">
        <v>9308</v>
      </c>
      <c r="B199" s="115" t="s">
        <v>9337</v>
      </c>
      <c r="C199" s="115" t="s">
        <v>9338</v>
      </c>
      <c r="D199" s="109" t="s">
        <v>9554</v>
      </c>
      <c r="E199" s="110" t="s">
        <v>9555</v>
      </c>
      <c r="F199" s="236" t="s">
        <v>9467</v>
      </c>
      <c r="G199" s="115" t="s">
        <v>9324</v>
      </c>
      <c r="H199" s="115" t="s">
        <v>9323</v>
      </c>
      <c r="I199" s="7" t="s">
        <v>9526</v>
      </c>
      <c r="J199" s="110" t="s">
        <v>9527</v>
      </c>
      <c r="K199" s="7" t="s">
        <v>9440</v>
      </c>
      <c r="L199" s="109" t="s">
        <v>9440</v>
      </c>
    </row>
    <row r="200" spans="1:12" ht="14.85" customHeight="1" x14ac:dyDescent="0.25">
      <c r="A200" s="108" t="s">
        <v>9308</v>
      </c>
      <c r="B200" s="115" t="s">
        <v>9337</v>
      </c>
      <c r="C200" s="115" t="s">
        <v>9338</v>
      </c>
      <c r="D200" s="109" t="s">
        <v>9554</v>
      </c>
      <c r="E200" s="110" t="s">
        <v>9555</v>
      </c>
      <c r="F200" s="236" t="s">
        <v>9467</v>
      </c>
      <c r="G200" s="115" t="s">
        <v>9324</v>
      </c>
      <c r="H200" s="115" t="s">
        <v>9323</v>
      </c>
      <c r="I200" s="7" t="s">
        <v>9556</v>
      </c>
      <c r="J200" s="110" t="s">
        <v>9557</v>
      </c>
      <c r="K200" s="7" t="s">
        <v>9440</v>
      </c>
      <c r="L200" s="109" t="s">
        <v>9440</v>
      </c>
    </row>
    <row r="201" spans="1:12" ht="14.85" customHeight="1" x14ac:dyDescent="0.25">
      <c r="A201" s="108" t="s">
        <v>9308</v>
      </c>
      <c r="B201" s="115" t="s">
        <v>9337</v>
      </c>
      <c r="C201" s="115" t="s">
        <v>9338</v>
      </c>
      <c r="D201" s="109" t="s">
        <v>9554</v>
      </c>
      <c r="E201" s="110" t="s">
        <v>9555</v>
      </c>
      <c r="F201" s="236" t="s">
        <v>9467</v>
      </c>
      <c r="G201" s="115" t="s">
        <v>9324</v>
      </c>
      <c r="H201" s="115" t="s">
        <v>9323</v>
      </c>
      <c r="I201" s="7" t="s">
        <v>9351</v>
      </c>
      <c r="J201" s="110" t="s">
        <v>9352</v>
      </c>
      <c r="K201" s="7" t="s">
        <v>9353</v>
      </c>
      <c r="L201" s="109" t="s">
        <v>9467</v>
      </c>
    </row>
    <row r="202" spans="1:12" ht="14.85" customHeight="1" x14ac:dyDescent="0.25">
      <c r="A202" s="108" t="s">
        <v>9308</v>
      </c>
      <c r="B202" s="115" t="s">
        <v>9337</v>
      </c>
      <c r="C202" s="115" t="s">
        <v>9338</v>
      </c>
      <c r="D202" s="109" t="s">
        <v>9554</v>
      </c>
      <c r="E202" s="110" t="s">
        <v>9555</v>
      </c>
      <c r="F202" s="236" t="s">
        <v>9467</v>
      </c>
      <c r="G202" s="115" t="s">
        <v>9324</v>
      </c>
      <c r="H202" s="115" t="s">
        <v>9323</v>
      </c>
      <c r="I202" s="7" t="s">
        <v>9558</v>
      </c>
      <c r="J202" s="110" t="s">
        <v>9559</v>
      </c>
      <c r="K202" s="7" t="s">
        <v>9443</v>
      </c>
      <c r="L202" s="109" t="s">
        <v>9443</v>
      </c>
    </row>
    <row r="203" spans="1:12" ht="14.85" customHeight="1" x14ac:dyDescent="0.25">
      <c r="A203" s="108" t="s">
        <v>9308</v>
      </c>
      <c r="B203" s="115" t="s">
        <v>9337</v>
      </c>
      <c r="C203" s="115" t="s">
        <v>9338</v>
      </c>
      <c r="D203" s="109" t="s">
        <v>9554</v>
      </c>
      <c r="E203" s="110" t="s">
        <v>9555</v>
      </c>
      <c r="F203" s="236" t="s">
        <v>9467</v>
      </c>
      <c r="G203" s="115" t="s">
        <v>9324</v>
      </c>
      <c r="H203" s="115" t="s">
        <v>9323</v>
      </c>
      <c r="I203" s="7" t="s">
        <v>9536</v>
      </c>
      <c r="J203" s="110" t="s">
        <v>9537</v>
      </c>
      <c r="K203" s="7" t="s">
        <v>9443</v>
      </c>
      <c r="L203" s="109" t="s">
        <v>9443</v>
      </c>
    </row>
    <row r="204" spans="1:12" ht="14.85" customHeight="1" x14ac:dyDescent="0.25">
      <c r="A204" s="108" t="s">
        <v>13512</v>
      </c>
      <c r="B204" s="161" t="s">
        <v>9337</v>
      </c>
      <c r="C204" s="115" t="s">
        <v>9338</v>
      </c>
      <c r="D204" s="109" t="s">
        <v>9560</v>
      </c>
      <c r="E204" s="323" t="s">
        <v>13459</v>
      </c>
      <c r="F204" s="236" t="s">
        <v>9451</v>
      </c>
      <c r="G204" s="115" t="s">
        <v>9324</v>
      </c>
      <c r="H204" s="115" t="s">
        <v>9323</v>
      </c>
      <c r="I204" s="7" t="s">
        <v>9526</v>
      </c>
      <c r="J204" s="110" t="s">
        <v>9527</v>
      </c>
      <c r="K204" s="7" t="s">
        <v>9440</v>
      </c>
      <c r="L204" s="109" t="s">
        <v>9451</v>
      </c>
    </row>
    <row r="205" spans="1:12" ht="14.85" customHeight="1" x14ac:dyDescent="0.25">
      <c r="A205" s="108" t="s">
        <v>13512</v>
      </c>
      <c r="B205" s="161" t="s">
        <v>9337</v>
      </c>
      <c r="C205" s="115" t="s">
        <v>9338</v>
      </c>
      <c r="D205" s="109" t="s">
        <v>9560</v>
      </c>
      <c r="E205" s="323" t="s">
        <v>13459</v>
      </c>
      <c r="F205" s="236" t="s">
        <v>9451</v>
      </c>
      <c r="G205" s="115" t="s">
        <v>9324</v>
      </c>
      <c r="H205" s="115" t="s">
        <v>9323</v>
      </c>
      <c r="I205" s="7" t="s">
        <v>9556</v>
      </c>
      <c r="J205" s="110" t="s">
        <v>9557</v>
      </c>
      <c r="K205" s="7" t="s">
        <v>9440</v>
      </c>
      <c r="L205" s="109" t="s">
        <v>9451</v>
      </c>
    </row>
    <row r="206" spans="1:12" ht="14.85" customHeight="1" x14ac:dyDescent="0.25">
      <c r="A206" s="108" t="s">
        <v>13512</v>
      </c>
      <c r="B206" s="161" t="s">
        <v>9337</v>
      </c>
      <c r="C206" s="115" t="s">
        <v>9338</v>
      </c>
      <c r="D206" s="109" t="s">
        <v>9560</v>
      </c>
      <c r="E206" s="323" t="s">
        <v>13459</v>
      </c>
      <c r="F206" s="236" t="s">
        <v>9451</v>
      </c>
      <c r="G206" s="115" t="s">
        <v>9324</v>
      </c>
      <c r="H206" s="115" t="s">
        <v>9323</v>
      </c>
      <c r="I206" s="7" t="s">
        <v>9351</v>
      </c>
      <c r="J206" s="110" t="s">
        <v>9352</v>
      </c>
      <c r="K206" s="7" t="s">
        <v>9353</v>
      </c>
      <c r="L206" s="109" t="s">
        <v>9451</v>
      </c>
    </row>
    <row r="207" spans="1:12" ht="14.85" customHeight="1" x14ac:dyDescent="0.25">
      <c r="A207" s="108" t="s">
        <v>13512</v>
      </c>
      <c r="B207" s="161" t="s">
        <v>9337</v>
      </c>
      <c r="C207" s="115" t="s">
        <v>9338</v>
      </c>
      <c r="D207" s="109" t="s">
        <v>9561</v>
      </c>
      <c r="E207" s="323" t="s">
        <v>13460</v>
      </c>
      <c r="F207" s="236" t="s">
        <v>9451</v>
      </c>
      <c r="G207" s="115" t="s">
        <v>9324</v>
      </c>
      <c r="H207" s="115" t="s">
        <v>9323</v>
      </c>
      <c r="I207" s="7" t="s">
        <v>9526</v>
      </c>
      <c r="J207" s="110" t="s">
        <v>9527</v>
      </c>
      <c r="K207" s="7" t="s">
        <v>9440</v>
      </c>
      <c r="L207" s="109" t="s">
        <v>9451</v>
      </c>
    </row>
    <row r="208" spans="1:12" ht="14.85" customHeight="1" x14ac:dyDescent="0.25">
      <c r="A208" s="108" t="s">
        <v>13512</v>
      </c>
      <c r="B208" s="161" t="s">
        <v>9337</v>
      </c>
      <c r="C208" s="115" t="s">
        <v>9338</v>
      </c>
      <c r="D208" s="109" t="s">
        <v>9561</v>
      </c>
      <c r="E208" s="323" t="s">
        <v>13460</v>
      </c>
      <c r="F208" s="236" t="s">
        <v>9451</v>
      </c>
      <c r="G208" s="115" t="s">
        <v>9324</v>
      </c>
      <c r="H208" s="115" t="s">
        <v>9323</v>
      </c>
      <c r="I208" s="7" t="s">
        <v>9556</v>
      </c>
      <c r="J208" s="110" t="s">
        <v>9557</v>
      </c>
      <c r="K208" s="7" t="s">
        <v>9440</v>
      </c>
      <c r="L208" s="109" t="s">
        <v>9451</v>
      </c>
    </row>
    <row r="209" spans="1:12" ht="14.85" customHeight="1" x14ac:dyDescent="0.25">
      <c r="A209" s="108" t="s">
        <v>13512</v>
      </c>
      <c r="B209" s="161" t="s">
        <v>9337</v>
      </c>
      <c r="C209" s="115" t="s">
        <v>9338</v>
      </c>
      <c r="D209" s="109" t="s">
        <v>9561</v>
      </c>
      <c r="E209" s="323" t="s">
        <v>13460</v>
      </c>
      <c r="F209" s="236" t="s">
        <v>9451</v>
      </c>
      <c r="G209" s="115" t="s">
        <v>9324</v>
      </c>
      <c r="H209" s="115" t="s">
        <v>9323</v>
      </c>
      <c r="I209" s="7" t="s">
        <v>9351</v>
      </c>
      <c r="J209" s="110" t="s">
        <v>9352</v>
      </c>
      <c r="K209" s="7" t="s">
        <v>9353</v>
      </c>
      <c r="L209" s="109" t="s">
        <v>9451</v>
      </c>
    </row>
    <row r="210" spans="1:12" ht="14.85" customHeight="1" x14ac:dyDescent="0.25">
      <c r="A210" s="108" t="s">
        <v>9308</v>
      </c>
      <c r="B210" s="115" t="s">
        <v>9337</v>
      </c>
      <c r="C210" s="115" t="s">
        <v>9338</v>
      </c>
      <c r="D210" s="109" t="s">
        <v>9562</v>
      </c>
      <c r="E210" s="110" t="s">
        <v>9563</v>
      </c>
      <c r="F210" s="236" t="s">
        <v>9467</v>
      </c>
      <c r="G210" s="115" t="s">
        <v>9324</v>
      </c>
      <c r="H210" s="115" t="s">
        <v>9323</v>
      </c>
      <c r="I210" s="7" t="s">
        <v>9526</v>
      </c>
      <c r="J210" s="110" t="s">
        <v>9527</v>
      </c>
      <c r="K210" s="7" t="s">
        <v>9440</v>
      </c>
      <c r="L210" s="109" t="s">
        <v>9440</v>
      </c>
    </row>
    <row r="211" spans="1:12" ht="14.85" customHeight="1" x14ac:dyDescent="0.25">
      <c r="A211" s="108" t="s">
        <v>9308</v>
      </c>
      <c r="B211" s="115" t="s">
        <v>9337</v>
      </c>
      <c r="C211" s="115" t="s">
        <v>9338</v>
      </c>
      <c r="D211" s="109" t="s">
        <v>9562</v>
      </c>
      <c r="E211" s="110" t="s">
        <v>9563</v>
      </c>
      <c r="F211" s="236" t="s">
        <v>9467</v>
      </c>
      <c r="G211" s="115" t="s">
        <v>9324</v>
      </c>
      <c r="H211" s="115" t="s">
        <v>9323</v>
      </c>
      <c r="I211" s="7" t="s">
        <v>9542</v>
      </c>
      <c r="J211" s="110" t="s">
        <v>9543</v>
      </c>
      <c r="K211" s="7" t="s">
        <v>9440</v>
      </c>
      <c r="L211" s="109" t="s">
        <v>9440</v>
      </c>
    </row>
    <row r="212" spans="1:12" ht="14.85" customHeight="1" x14ac:dyDescent="0.25">
      <c r="A212" s="108" t="s">
        <v>9308</v>
      </c>
      <c r="B212" s="115" t="s">
        <v>9337</v>
      </c>
      <c r="C212" s="115" t="s">
        <v>9338</v>
      </c>
      <c r="D212" s="109" t="s">
        <v>9562</v>
      </c>
      <c r="E212" s="110" t="s">
        <v>9563</v>
      </c>
      <c r="F212" s="236" t="s">
        <v>9467</v>
      </c>
      <c r="G212" s="115" t="s">
        <v>9324</v>
      </c>
      <c r="H212" s="115" t="s">
        <v>9323</v>
      </c>
      <c r="I212" s="7" t="s">
        <v>9544</v>
      </c>
      <c r="J212" s="110" t="s">
        <v>9545</v>
      </c>
      <c r="K212" s="7" t="s">
        <v>9440</v>
      </c>
      <c r="L212" s="109" t="s">
        <v>9440</v>
      </c>
    </row>
    <row r="213" spans="1:12" ht="14.85" customHeight="1" x14ac:dyDescent="0.25">
      <c r="A213" s="108" t="s">
        <v>9308</v>
      </c>
      <c r="B213" s="115" t="s">
        <v>9337</v>
      </c>
      <c r="C213" s="115" t="s">
        <v>9338</v>
      </c>
      <c r="D213" s="109" t="s">
        <v>9562</v>
      </c>
      <c r="E213" s="110" t="s">
        <v>9563</v>
      </c>
      <c r="F213" s="236" t="s">
        <v>9467</v>
      </c>
      <c r="G213" s="115" t="s">
        <v>9324</v>
      </c>
      <c r="H213" s="115" t="s">
        <v>9323</v>
      </c>
      <c r="I213" s="7" t="s">
        <v>9351</v>
      </c>
      <c r="J213" s="110" t="s">
        <v>9352</v>
      </c>
      <c r="K213" s="7" t="s">
        <v>9353</v>
      </c>
      <c r="L213" s="109" t="s">
        <v>9467</v>
      </c>
    </row>
    <row r="214" spans="1:12" ht="14.85" customHeight="1" x14ac:dyDescent="0.25">
      <c r="A214" s="108" t="s">
        <v>9308</v>
      </c>
      <c r="B214" s="115" t="s">
        <v>9337</v>
      </c>
      <c r="C214" s="115" t="s">
        <v>9338</v>
      </c>
      <c r="D214" s="109" t="s">
        <v>9562</v>
      </c>
      <c r="E214" s="110" t="s">
        <v>9563</v>
      </c>
      <c r="F214" s="236" t="s">
        <v>9467</v>
      </c>
      <c r="G214" s="115" t="s">
        <v>9324</v>
      </c>
      <c r="H214" s="115" t="s">
        <v>9323</v>
      </c>
      <c r="I214" s="7" t="s">
        <v>9548</v>
      </c>
      <c r="J214" s="110" t="s">
        <v>9549</v>
      </c>
      <c r="K214" s="7" t="s">
        <v>9443</v>
      </c>
      <c r="L214" s="109" t="s">
        <v>9443</v>
      </c>
    </row>
    <row r="215" spans="1:12" ht="14.85" customHeight="1" x14ac:dyDescent="0.25">
      <c r="A215" s="108" t="s">
        <v>9308</v>
      </c>
      <c r="B215" s="115" t="s">
        <v>9337</v>
      </c>
      <c r="C215" s="115" t="s">
        <v>9338</v>
      </c>
      <c r="D215" s="109" t="s">
        <v>9562</v>
      </c>
      <c r="E215" s="110" t="s">
        <v>9563</v>
      </c>
      <c r="F215" s="236" t="s">
        <v>9467</v>
      </c>
      <c r="G215" s="115" t="s">
        <v>9324</v>
      </c>
      <c r="H215" s="115" t="s">
        <v>9323</v>
      </c>
      <c r="I215" s="7" t="s">
        <v>9550</v>
      </c>
      <c r="J215" s="110" t="s">
        <v>9551</v>
      </c>
      <c r="K215" s="7" t="s">
        <v>9443</v>
      </c>
      <c r="L215" s="109" t="s">
        <v>9443</v>
      </c>
    </row>
    <row r="216" spans="1:12" ht="14.85" customHeight="1" x14ac:dyDescent="0.25">
      <c r="A216" s="108" t="s">
        <v>13512</v>
      </c>
      <c r="B216" s="161" t="s">
        <v>9337</v>
      </c>
      <c r="C216" s="115" t="s">
        <v>9338</v>
      </c>
      <c r="D216" s="109" t="s">
        <v>9564</v>
      </c>
      <c r="E216" s="323" t="s">
        <v>13461</v>
      </c>
      <c r="F216" s="236" t="s">
        <v>9451</v>
      </c>
      <c r="G216" s="115" t="s">
        <v>9324</v>
      </c>
      <c r="H216" s="115" t="s">
        <v>9323</v>
      </c>
      <c r="I216" s="7" t="s">
        <v>9526</v>
      </c>
      <c r="J216" s="110" t="s">
        <v>9527</v>
      </c>
      <c r="K216" s="7" t="s">
        <v>9440</v>
      </c>
      <c r="L216" s="109" t="s">
        <v>9451</v>
      </c>
    </row>
    <row r="217" spans="1:12" ht="14.85" customHeight="1" x14ac:dyDescent="0.25">
      <c r="A217" s="108" t="s">
        <v>13512</v>
      </c>
      <c r="B217" s="161" t="s">
        <v>9337</v>
      </c>
      <c r="C217" s="115" t="s">
        <v>9338</v>
      </c>
      <c r="D217" s="109" t="s">
        <v>9564</v>
      </c>
      <c r="E217" s="323" t="s">
        <v>13461</v>
      </c>
      <c r="F217" s="236" t="s">
        <v>9451</v>
      </c>
      <c r="G217" s="115" t="s">
        <v>9324</v>
      </c>
      <c r="H217" s="115" t="s">
        <v>9323</v>
      </c>
      <c r="I217" s="7" t="s">
        <v>9542</v>
      </c>
      <c r="J217" s="110" t="s">
        <v>9543</v>
      </c>
      <c r="K217" s="7" t="s">
        <v>9440</v>
      </c>
      <c r="L217" s="109" t="s">
        <v>9451</v>
      </c>
    </row>
    <row r="218" spans="1:12" ht="14.85" customHeight="1" x14ac:dyDescent="0.25">
      <c r="A218" s="108" t="s">
        <v>13512</v>
      </c>
      <c r="B218" s="161" t="s">
        <v>9337</v>
      </c>
      <c r="C218" s="115" t="s">
        <v>9338</v>
      </c>
      <c r="D218" s="109" t="s">
        <v>9564</v>
      </c>
      <c r="E218" s="323" t="s">
        <v>13461</v>
      </c>
      <c r="F218" s="236" t="s">
        <v>9451</v>
      </c>
      <c r="G218" s="115" t="s">
        <v>9324</v>
      </c>
      <c r="H218" s="115" t="s">
        <v>9323</v>
      </c>
      <c r="I218" s="7" t="s">
        <v>9544</v>
      </c>
      <c r="J218" s="110" t="s">
        <v>9545</v>
      </c>
      <c r="K218" s="7" t="s">
        <v>9440</v>
      </c>
      <c r="L218" s="109" t="s">
        <v>9451</v>
      </c>
    </row>
    <row r="219" spans="1:12" ht="14.85" customHeight="1" x14ac:dyDescent="0.25">
      <c r="A219" s="108" t="s">
        <v>13512</v>
      </c>
      <c r="B219" s="161" t="s">
        <v>9337</v>
      </c>
      <c r="C219" s="115" t="s">
        <v>9338</v>
      </c>
      <c r="D219" s="109" t="s">
        <v>9564</v>
      </c>
      <c r="E219" s="323" t="s">
        <v>13461</v>
      </c>
      <c r="F219" s="236" t="s">
        <v>9451</v>
      </c>
      <c r="G219" s="115" t="s">
        <v>9324</v>
      </c>
      <c r="H219" s="115" t="s">
        <v>9323</v>
      </c>
      <c r="I219" s="7" t="s">
        <v>9351</v>
      </c>
      <c r="J219" s="110" t="s">
        <v>9352</v>
      </c>
      <c r="K219" s="7" t="s">
        <v>9353</v>
      </c>
      <c r="L219" s="109" t="s">
        <v>9451</v>
      </c>
    </row>
    <row r="220" spans="1:12" ht="14.85" customHeight="1" x14ac:dyDescent="0.25">
      <c r="A220" s="108" t="s">
        <v>13512</v>
      </c>
      <c r="B220" s="161" t="s">
        <v>9337</v>
      </c>
      <c r="C220" s="115" t="s">
        <v>9338</v>
      </c>
      <c r="D220" s="109" t="s">
        <v>9565</v>
      </c>
      <c r="E220" s="323" t="s">
        <v>13462</v>
      </c>
      <c r="F220" s="236" t="s">
        <v>9451</v>
      </c>
      <c r="G220" s="115" t="s">
        <v>9324</v>
      </c>
      <c r="H220" s="115" t="s">
        <v>9323</v>
      </c>
      <c r="I220" s="7" t="s">
        <v>9526</v>
      </c>
      <c r="J220" s="110" t="s">
        <v>9527</v>
      </c>
      <c r="K220" s="7" t="s">
        <v>9440</v>
      </c>
      <c r="L220" s="109" t="s">
        <v>9451</v>
      </c>
    </row>
    <row r="221" spans="1:12" ht="14.85" customHeight="1" x14ac:dyDescent="0.25">
      <c r="A221" s="108" t="s">
        <v>13512</v>
      </c>
      <c r="B221" s="161" t="s">
        <v>9337</v>
      </c>
      <c r="C221" s="115" t="s">
        <v>9338</v>
      </c>
      <c r="D221" s="109" t="s">
        <v>9565</v>
      </c>
      <c r="E221" s="323" t="s">
        <v>13462</v>
      </c>
      <c r="F221" s="236" t="s">
        <v>9451</v>
      </c>
      <c r="G221" s="115" t="s">
        <v>9324</v>
      </c>
      <c r="H221" s="115" t="s">
        <v>9323</v>
      </c>
      <c r="I221" s="7" t="s">
        <v>9542</v>
      </c>
      <c r="J221" s="110" t="s">
        <v>9543</v>
      </c>
      <c r="K221" s="7" t="s">
        <v>9440</v>
      </c>
      <c r="L221" s="109" t="s">
        <v>9451</v>
      </c>
    </row>
    <row r="222" spans="1:12" ht="14.85" customHeight="1" x14ac:dyDescent="0.25">
      <c r="A222" s="108" t="s">
        <v>13512</v>
      </c>
      <c r="B222" s="161" t="s">
        <v>9337</v>
      </c>
      <c r="C222" s="115" t="s">
        <v>9338</v>
      </c>
      <c r="D222" s="109" t="s">
        <v>9565</v>
      </c>
      <c r="E222" s="323" t="s">
        <v>13462</v>
      </c>
      <c r="F222" s="236" t="s">
        <v>9451</v>
      </c>
      <c r="G222" s="115" t="s">
        <v>9324</v>
      </c>
      <c r="H222" s="115" t="s">
        <v>9323</v>
      </c>
      <c r="I222" s="7" t="s">
        <v>9544</v>
      </c>
      <c r="J222" s="110" t="s">
        <v>9545</v>
      </c>
      <c r="K222" s="7" t="s">
        <v>9440</v>
      </c>
      <c r="L222" s="109" t="s">
        <v>9451</v>
      </c>
    </row>
    <row r="223" spans="1:12" ht="14.85" customHeight="1" x14ac:dyDescent="0.25">
      <c r="A223" s="108" t="s">
        <v>13512</v>
      </c>
      <c r="B223" s="161" t="s">
        <v>9337</v>
      </c>
      <c r="C223" s="115" t="s">
        <v>9338</v>
      </c>
      <c r="D223" s="109" t="s">
        <v>9565</v>
      </c>
      <c r="E223" s="323" t="s">
        <v>13462</v>
      </c>
      <c r="F223" s="236" t="s">
        <v>9451</v>
      </c>
      <c r="G223" s="115" t="s">
        <v>9324</v>
      </c>
      <c r="H223" s="115" t="s">
        <v>9323</v>
      </c>
      <c r="I223" s="7" t="s">
        <v>9351</v>
      </c>
      <c r="J223" s="110" t="s">
        <v>9352</v>
      </c>
      <c r="K223" s="7" t="s">
        <v>9353</v>
      </c>
      <c r="L223" s="109" t="s">
        <v>9451</v>
      </c>
    </row>
    <row r="224" spans="1:12" ht="14.85" customHeight="1" x14ac:dyDescent="0.25">
      <c r="A224" s="108" t="s">
        <v>9308</v>
      </c>
      <c r="B224" s="115" t="s">
        <v>9337</v>
      </c>
      <c r="C224" s="115" t="s">
        <v>9338</v>
      </c>
      <c r="D224" s="109" t="s">
        <v>9566</v>
      </c>
      <c r="E224" s="110" t="s">
        <v>9567</v>
      </c>
      <c r="F224" s="236" t="s">
        <v>9467</v>
      </c>
      <c r="G224" s="115" t="s">
        <v>9324</v>
      </c>
      <c r="H224" s="115" t="s">
        <v>9323</v>
      </c>
      <c r="I224" s="7" t="s">
        <v>9526</v>
      </c>
      <c r="J224" s="110" t="s">
        <v>9527</v>
      </c>
      <c r="K224" s="7" t="s">
        <v>9440</v>
      </c>
      <c r="L224" s="109" t="s">
        <v>9440</v>
      </c>
    </row>
    <row r="225" spans="1:12" ht="14.85" customHeight="1" x14ac:dyDescent="0.25">
      <c r="A225" s="108" t="s">
        <v>9308</v>
      </c>
      <c r="B225" s="115" t="s">
        <v>9337</v>
      </c>
      <c r="C225" s="115" t="s">
        <v>9338</v>
      </c>
      <c r="D225" s="109" t="s">
        <v>9566</v>
      </c>
      <c r="E225" s="110" t="s">
        <v>9567</v>
      </c>
      <c r="F225" s="236" t="s">
        <v>9467</v>
      </c>
      <c r="G225" s="115" t="s">
        <v>9324</v>
      </c>
      <c r="H225" s="115" t="s">
        <v>9323</v>
      </c>
      <c r="I225" s="7" t="s">
        <v>9542</v>
      </c>
      <c r="J225" s="110" t="s">
        <v>9543</v>
      </c>
      <c r="K225" s="7" t="s">
        <v>9440</v>
      </c>
      <c r="L225" s="109" t="s">
        <v>9440</v>
      </c>
    </row>
    <row r="226" spans="1:12" ht="14.85" customHeight="1" x14ac:dyDescent="0.25">
      <c r="A226" s="108" t="s">
        <v>9308</v>
      </c>
      <c r="B226" s="115" t="s">
        <v>9337</v>
      </c>
      <c r="C226" s="115" t="s">
        <v>9338</v>
      </c>
      <c r="D226" s="109" t="s">
        <v>9566</v>
      </c>
      <c r="E226" s="110" t="s">
        <v>9567</v>
      </c>
      <c r="F226" s="236" t="s">
        <v>9467</v>
      </c>
      <c r="G226" s="115" t="s">
        <v>9324</v>
      </c>
      <c r="H226" s="115" t="s">
        <v>9323</v>
      </c>
      <c r="I226" s="7" t="s">
        <v>9546</v>
      </c>
      <c r="J226" s="110" t="s">
        <v>9547</v>
      </c>
      <c r="K226" s="7" t="s">
        <v>9440</v>
      </c>
      <c r="L226" s="109" t="s">
        <v>9440</v>
      </c>
    </row>
    <row r="227" spans="1:12" ht="14.85" customHeight="1" x14ac:dyDescent="0.25">
      <c r="A227" s="108" t="s">
        <v>9308</v>
      </c>
      <c r="B227" s="115" t="s">
        <v>9337</v>
      </c>
      <c r="C227" s="115" t="s">
        <v>9338</v>
      </c>
      <c r="D227" s="109" t="s">
        <v>9566</v>
      </c>
      <c r="E227" s="110" t="s">
        <v>9567</v>
      </c>
      <c r="F227" s="236" t="s">
        <v>9467</v>
      </c>
      <c r="G227" s="115" t="s">
        <v>9324</v>
      </c>
      <c r="H227" s="115" t="s">
        <v>9323</v>
      </c>
      <c r="I227" s="7" t="s">
        <v>9351</v>
      </c>
      <c r="J227" s="110" t="s">
        <v>9352</v>
      </c>
      <c r="K227" s="7" t="s">
        <v>9353</v>
      </c>
      <c r="L227" s="109" t="s">
        <v>9467</v>
      </c>
    </row>
    <row r="228" spans="1:12" ht="14.85" customHeight="1" x14ac:dyDescent="0.25">
      <c r="A228" s="108" t="s">
        <v>9308</v>
      </c>
      <c r="B228" s="115" t="s">
        <v>9337</v>
      </c>
      <c r="C228" s="115" t="s">
        <v>9338</v>
      </c>
      <c r="D228" s="109" t="s">
        <v>9566</v>
      </c>
      <c r="E228" s="110" t="s">
        <v>9567</v>
      </c>
      <c r="F228" s="236" t="s">
        <v>9467</v>
      </c>
      <c r="G228" s="115" t="s">
        <v>9324</v>
      </c>
      <c r="H228" s="115" t="s">
        <v>9323</v>
      </c>
      <c r="I228" s="7" t="s">
        <v>9548</v>
      </c>
      <c r="J228" s="110" t="s">
        <v>9549</v>
      </c>
      <c r="K228" s="7" t="s">
        <v>9443</v>
      </c>
      <c r="L228" s="109" t="s">
        <v>9443</v>
      </c>
    </row>
    <row r="229" spans="1:12" ht="14.85" customHeight="1" x14ac:dyDescent="0.25">
      <c r="A229" s="108" t="s">
        <v>9308</v>
      </c>
      <c r="B229" s="115" t="s">
        <v>9337</v>
      </c>
      <c r="C229" s="115" t="s">
        <v>9338</v>
      </c>
      <c r="D229" s="109" t="s">
        <v>9566</v>
      </c>
      <c r="E229" s="110" t="s">
        <v>9567</v>
      </c>
      <c r="F229" s="236" t="s">
        <v>9467</v>
      </c>
      <c r="G229" s="115" t="s">
        <v>9324</v>
      </c>
      <c r="H229" s="115" t="s">
        <v>9323</v>
      </c>
      <c r="I229" s="7" t="s">
        <v>9552</v>
      </c>
      <c r="J229" s="110" t="s">
        <v>9553</v>
      </c>
      <c r="K229" s="7" t="s">
        <v>9443</v>
      </c>
      <c r="L229" s="109" t="s">
        <v>9443</v>
      </c>
    </row>
    <row r="230" spans="1:12" ht="14.85" customHeight="1" x14ac:dyDescent="0.25">
      <c r="A230" s="108" t="s">
        <v>13512</v>
      </c>
      <c r="B230" s="161" t="s">
        <v>9337</v>
      </c>
      <c r="C230" s="115" t="s">
        <v>9338</v>
      </c>
      <c r="D230" s="109" t="s">
        <v>9568</v>
      </c>
      <c r="E230" s="323" t="s">
        <v>13463</v>
      </c>
      <c r="F230" s="236" t="s">
        <v>9451</v>
      </c>
      <c r="G230" s="115" t="s">
        <v>9324</v>
      </c>
      <c r="H230" s="115" t="s">
        <v>9323</v>
      </c>
      <c r="I230" s="7" t="s">
        <v>9526</v>
      </c>
      <c r="J230" s="110" t="s">
        <v>9527</v>
      </c>
      <c r="K230" s="7" t="s">
        <v>9440</v>
      </c>
      <c r="L230" s="109" t="s">
        <v>9451</v>
      </c>
    </row>
    <row r="231" spans="1:12" ht="14.85" customHeight="1" x14ac:dyDescent="0.25">
      <c r="A231" s="108" t="s">
        <v>13512</v>
      </c>
      <c r="B231" s="161" t="s">
        <v>9337</v>
      </c>
      <c r="C231" s="115" t="s">
        <v>9338</v>
      </c>
      <c r="D231" s="109" t="s">
        <v>9568</v>
      </c>
      <c r="E231" s="323" t="s">
        <v>13463</v>
      </c>
      <c r="F231" s="236" t="s">
        <v>9451</v>
      </c>
      <c r="G231" s="115" t="s">
        <v>9324</v>
      </c>
      <c r="H231" s="115" t="s">
        <v>9323</v>
      </c>
      <c r="I231" s="7" t="s">
        <v>9542</v>
      </c>
      <c r="J231" s="110" t="s">
        <v>9543</v>
      </c>
      <c r="K231" s="7" t="s">
        <v>9440</v>
      </c>
      <c r="L231" s="109" t="s">
        <v>9451</v>
      </c>
    </row>
    <row r="232" spans="1:12" ht="14.85" customHeight="1" x14ac:dyDescent="0.25">
      <c r="A232" s="108" t="s">
        <v>13512</v>
      </c>
      <c r="B232" s="161" t="s">
        <v>9337</v>
      </c>
      <c r="C232" s="115" t="s">
        <v>9338</v>
      </c>
      <c r="D232" s="109" t="s">
        <v>9568</v>
      </c>
      <c r="E232" s="323" t="s">
        <v>13463</v>
      </c>
      <c r="F232" s="236" t="s">
        <v>9451</v>
      </c>
      <c r="G232" s="115" t="s">
        <v>9324</v>
      </c>
      <c r="H232" s="115" t="s">
        <v>9323</v>
      </c>
      <c r="I232" s="7" t="s">
        <v>9546</v>
      </c>
      <c r="J232" s="110" t="s">
        <v>9547</v>
      </c>
      <c r="K232" s="7" t="s">
        <v>9440</v>
      </c>
      <c r="L232" s="109" t="s">
        <v>9451</v>
      </c>
    </row>
    <row r="233" spans="1:12" ht="14.85" customHeight="1" x14ac:dyDescent="0.25">
      <c r="A233" s="108" t="s">
        <v>13512</v>
      </c>
      <c r="B233" s="161" t="s">
        <v>9337</v>
      </c>
      <c r="C233" s="115" t="s">
        <v>9338</v>
      </c>
      <c r="D233" s="109" t="s">
        <v>9568</v>
      </c>
      <c r="E233" s="323" t="s">
        <v>13463</v>
      </c>
      <c r="F233" s="236" t="s">
        <v>9451</v>
      </c>
      <c r="G233" s="115" t="s">
        <v>9324</v>
      </c>
      <c r="H233" s="115" t="s">
        <v>9323</v>
      </c>
      <c r="I233" s="7" t="s">
        <v>9351</v>
      </c>
      <c r="J233" s="110" t="s">
        <v>9352</v>
      </c>
      <c r="K233" s="7" t="s">
        <v>9353</v>
      </c>
      <c r="L233" s="109" t="s">
        <v>9451</v>
      </c>
    </row>
    <row r="234" spans="1:12" ht="14.85" customHeight="1" x14ac:dyDescent="0.25">
      <c r="A234" s="108" t="s">
        <v>13512</v>
      </c>
      <c r="B234" s="161" t="s">
        <v>9337</v>
      </c>
      <c r="C234" s="115" t="s">
        <v>9338</v>
      </c>
      <c r="D234" s="109" t="s">
        <v>9569</v>
      </c>
      <c r="E234" s="323" t="s">
        <v>13464</v>
      </c>
      <c r="F234" s="236" t="s">
        <v>9467</v>
      </c>
      <c r="G234" s="115" t="s">
        <v>9324</v>
      </c>
      <c r="H234" s="115" t="s">
        <v>9323</v>
      </c>
      <c r="I234" s="7" t="s">
        <v>9526</v>
      </c>
      <c r="J234" s="110" t="s">
        <v>9527</v>
      </c>
      <c r="K234" s="7" t="s">
        <v>9440</v>
      </c>
      <c r="L234" s="109" t="s">
        <v>9440</v>
      </c>
    </row>
    <row r="235" spans="1:12" ht="14.85" customHeight="1" x14ac:dyDescent="0.25">
      <c r="A235" s="108" t="s">
        <v>13512</v>
      </c>
      <c r="B235" s="161" t="s">
        <v>9337</v>
      </c>
      <c r="C235" s="115" t="s">
        <v>9338</v>
      </c>
      <c r="D235" s="109" t="s">
        <v>9569</v>
      </c>
      <c r="E235" s="323" t="s">
        <v>13464</v>
      </c>
      <c r="F235" s="236" t="s">
        <v>9467</v>
      </c>
      <c r="G235" s="115" t="s">
        <v>9324</v>
      </c>
      <c r="H235" s="115" t="s">
        <v>9323</v>
      </c>
      <c r="I235" s="7" t="s">
        <v>9556</v>
      </c>
      <c r="J235" s="110" t="s">
        <v>9557</v>
      </c>
      <c r="K235" s="7" t="s">
        <v>9440</v>
      </c>
      <c r="L235" s="109" t="s">
        <v>9440</v>
      </c>
    </row>
    <row r="236" spans="1:12" ht="14.85" customHeight="1" x14ac:dyDescent="0.25">
      <c r="A236" s="108" t="s">
        <v>13512</v>
      </c>
      <c r="B236" s="161" t="s">
        <v>9337</v>
      </c>
      <c r="C236" s="115" t="s">
        <v>9338</v>
      </c>
      <c r="D236" s="109" t="s">
        <v>9569</v>
      </c>
      <c r="E236" s="323" t="s">
        <v>13464</v>
      </c>
      <c r="F236" s="236" t="s">
        <v>9467</v>
      </c>
      <c r="G236" s="115" t="s">
        <v>9324</v>
      </c>
      <c r="H236" s="115" t="s">
        <v>9323</v>
      </c>
      <c r="I236" s="7" t="s">
        <v>9351</v>
      </c>
      <c r="J236" s="110" t="s">
        <v>9352</v>
      </c>
      <c r="K236" s="7" t="s">
        <v>9353</v>
      </c>
      <c r="L236" s="109" t="s">
        <v>9467</v>
      </c>
    </row>
    <row r="237" spans="1:12" ht="14.85" customHeight="1" x14ac:dyDescent="0.25">
      <c r="A237" s="108" t="s">
        <v>13512</v>
      </c>
      <c r="B237" s="161" t="s">
        <v>9337</v>
      </c>
      <c r="C237" s="115" t="s">
        <v>9338</v>
      </c>
      <c r="D237" s="109" t="s">
        <v>9569</v>
      </c>
      <c r="E237" s="323" t="s">
        <v>13464</v>
      </c>
      <c r="F237" s="236" t="s">
        <v>9467</v>
      </c>
      <c r="G237" s="115" t="s">
        <v>9324</v>
      </c>
      <c r="H237" s="115" t="s">
        <v>9323</v>
      </c>
      <c r="I237" s="7" t="s">
        <v>9558</v>
      </c>
      <c r="J237" s="110" t="s">
        <v>9559</v>
      </c>
      <c r="K237" s="7" t="s">
        <v>9443</v>
      </c>
      <c r="L237" s="109" t="s">
        <v>9443</v>
      </c>
    </row>
    <row r="238" spans="1:12" ht="14.85" customHeight="1" x14ac:dyDescent="0.25">
      <c r="A238" s="108" t="s">
        <v>13512</v>
      </c>
      <c r="B238" s="161" t="s">
        <v>9337</v>
      </c>
      <c r="C238" s="115" t="s">
        <v>9338</v>
      </c>
      <c r="D238" s="109" t="s">
        <v>9569</v>
      </c>
      <c r="E238" s="323" t="s">
        <v>13464</v>
      </c>
      <c r="F238" s="236" t="s">
        <v>9467</v>
      </c>
      <c r="G238" s="115" t="s">
        <v>9324</v>
      </c>
      <c r="H238" s="115" t="s">
        <v>9323</v>
      </c>
      <c r="I238" s="7" t="s">
        <v>9536</v>
      </c>
      <c r="J238" s="110" t="s">
        <v>9537</v>
      </c>
      <c r="K238" s="7" t="s">
        <v>9443</v>
      </c>
      <c r="L238" s="109" t="s">
        <v>9443</v>
      </c>
    </row>
    <row r="239" spans="1:12" ht="14.85" customHeight="1" x14ac:dyDescent="0.25">
      <c r="A239" s="108" t="s">
        <v>9308</v>
      </c>
      <c r="B239" s="115" t="s">
        <v>9337</v>
      </c>
      <c r="C239" s="115" t="s">
        <v>9338</v>
      </c>
      <c r="D239" s="109" t="s">
        <v>9570</v>
      </c>
      <c r="E239" s="110" t="s">
        <v>9571</v>
      </c>
      <c r="F239" s="236" t="s">
        <v>9467</v>
      </c>
      <c r="G239" s="115" t="s">
        <v>9324</v>
      </c>
      <c r="H239" s="115" t="s">
        <v>9323</v>
      </c>
      <c r="I239" s="7" t="s">
        <v>9526</v>
      </c>
      <c r="J239" s="110" t="s">
        <v>9527</v>
      </c>
      <c r="K239" s="7" t="s">
        <v>9440</v>
      </c>
      <c r="L239" s="109" t="s">
        <v>9440</v>
      </c>
    </row>
    <row r="240" spans="1:12" ht="14.85" customHeight="1" x14ac:dyDescent="0.25">
      <c r="A240" s="108" t="s">
        <v>9308</v>
      </c>
      <c r="B240" s="115" t="s">
        <v>9337</v>
      </c>
      <c r="C240" s="115" t="s">
        <v>9338</v>
      </c>
      <c r="D240" s="109" t="s">
        <v>9570</v>
      </c>
      <c r="E240" s="110" t="s">
        <v>9571</v>
      </c>
      <c r="F240" s="236" t="s">
        <v>9467</v>
      </c>
      <c r="G240" s="115" t="s">
        <v>9324</v>
      </c>
      <c r="H240" s="115" t="s">
        <v>9323</v>
      </c>
      <c r="I240" s="7" t="s">
        <v>9542</v>
      </c>
      <c r="J240" s="110" t="s">
        <v>9543</v>
      </c>
      <c r="K240" s="7" t="s">
        <v>9440</v>
      </c>
      <c r="L240" s="109" t="s">
        <v>9440</v>
      </c>
    </row>
    <row r="241" spans="1:12" ht="14.85" customHeight="1" x14ac:dyDescent="0.25">
      <c r="A241" s="108" t="s">
        <v>9308</v>
      </c>
      <c r="B241" s="115" t="s">
        <v>9337</v>
      </c>
      <c r="C241" s="115" t="s">
        <v>9338</v>
      </c>
      <c r="D241" s="109" t="s">
        <v>9570</v>
      </c>
      <c r="E241" s="110" t="s">
        <v>9571</v>
      </c>
      <c r="F241" s="236" t="s">
        <v>9467</v>
      </c>
      <c r="G241" s="115" t="s">
        <v>9324</v>
      </c>
      <c r="H241" s="115" t="s">
        <v>9323</v>
      </c>
      <c r="I241" s="7" t="s">
        <v>9544</v>
      </c>
      <c r="J241" s="110" t="s">
        <v>9545</v>
      </c>
      <c r="K241" s="7" t="s">
        <v>9440</v>
      </c>
      <c r="L241" s="109" t="s">
        <v>9440</v>
      </c>
    </row>
    <row r="242" spans="1:12" ht="14.85" customHeight="1" x14ac:dyDescent="0.25">
      <c r="A242" s="108" t="s">
        <v>9308</v>
      </c>
      <c r="B242" s="115" t="s">
        <v>9337</v>
      </c>
      <c r="C242" s="115" t="s">
        <v>9338</v>
      </c>
      <c r="D242" s="109" t="s">
        <v>9570</v>
      </c>
      <c r="E242" s="110" t="s">
        <v>9571</v>
      </c>
      <c r="F242" s="236" t="s">
        <v>9467</v>
      </c>
      <c r="G242" s="115" t="s">
        <v>9324</v>
      </c>
      <c r="H242" s="115" t="s">
        <v>9323</v>
      </c>
      <c r="I242" s="7" t="s">
        <v>9546</v>
      </c>
      <c r="J242" s="110" t="s">
        <v>9547</v>
      </c>
      <c r="K242" s="7" t="s">
        <v>9440</v>
      </c>
      <c r="L242" s="109" t="s">
        <v>9440</v>
      </c>
    </row>
    <row r="243" spans="1:12" ht="14.85" customHeight="1" x14ac:dyDescent="0.25">
      <c r="A243" s="108" t="s">
        <v>9308</v>
      </c>
      <c r="B243" s="115" t="s">
        <v>9337</v>
      </c>
      <c r="C243" s="115" t="s">
        <v>9338</v>
      </c>
      <c r="D243" s="109" t="s">
        <v>9570</v>
      </c>
      <c r="E243" s="110" t="s">
        <v>9571</v>
      </c>
      <c r="F243" s="236" t="s">
        <v>9467</v>
      </c>
      <c r="G243" s="115" t="s">
        <v>9324</v>
      </c>
      <c r="H243" s="115" t="s">
        <v>9323</v>
      </c>
      <c r="I243" s="7" t="s">
        <v>9351</v>
      </c>
      <c r="J243" s="110" t="s">
        <v>9352</v>
      </c>
      <c r="K243" s="7" t="s">
        <v>9353</v>
      </c>
      <c r="L243" s="109" t="s">
        <v>9467</v>
      </c>
    </row>
    <row r="244" spans="1:12" ht="14.85" customHeight="1" x14ac:dyDescent="0.25">
      <c r="A244" s="108" t="s">
        <v>9308</v>
      </c>
      <c r="B244" s="115" t="s">
        <v>9337</v>
      </c>
      <c r="C244" s="115" t="s">
        <v>9338</v>
      </c>
      <c r="D244" s="109" t="s">
        <v>9570</v>
      </c>
      <c r="E244" s="110" t="s">
        <v>9571</v>
      </c>
      <c r="F244" s="236" t="s">
        <v>9467</v>
      </c>
      <c r="G244" s="115" t="s">
        <v>9324</v>
      </c>
      <c r="H244" s="115" t="s">
        <v>9323</v>
      </c>
      <c r="I244" s="7" t="s">
        <v>9548</v>
      </c>
      <c r="J244" s="110" t="s">
        <v>9549</v>
      </c>
      <c r="K244" s="7" t="s">
        <v>9443</v>
      </c>
      <c r="L244" s="109" t="s">
        <v>9443</v>
      </c>
    </row>
    <row r="245" spans="1:12" ht="14.85" customHeight="1" x14ac:dyDescent="0.25">
      <c r="A245" s="108" t="s">
        <v>9308</v>
      </c>
      <c r="B245" s="115" t="s">
        <v>9337</v>
      </c>
      <c r="C245" s="115" t="s">
        <v>9338</v>
      </c>
      <c r="D245" s="109" t="s">
        <v>9570</v>
      </c>
      <c r="E245" s="110" t="s">
        <v>9571</v>
      </c>
      <c r="F245" s="236" t="s">
        <v>9467</v>
      </c>
      <c r="G245" s="115" t="s">
        <v>9324</v>
      </c>
      <c r="H245" s="115" t="s">
        <v>9323</v>
      </c>
      <c r="I245" s="7" t="s">
        <v>9550</v>
      </c>
      <c r="J245" s="110" t="s">
        <v>9551</v>
      </c>
      <c r="K245" s="7" t="s">
        <v>9443</v>
      </c>
      <c r="L245" s="109" t="s">
        <v>9443</v>
      </c>
    </row>
    <row r="246" spans="1:12" ht="14.85" customHeight="1" x14ac:dyDescent="0.25">
      <c r="A246" s="108" t="s">
        <v>9308</v>
      </c>
      <c r="B246" s="115" t="s">
        <v>9337</v>
      </c>
      <c r="C246" s="115" t="s">
        <v>9338</v>
      </c>
      <c r="D246" s="109" t="s">
        <v>9570</v>
      </c>
      <c r="E246" s="110" t="s">
        <v>9571</v>
      </c>
      <c r="F246" s="236" t="s">
        <v>9467</v>
      </c>
      <c r="G246" s="115" t="s">
        <v>9324</v>
      </c>
      <c r="H246" s="115" t="s">
        <v>9323</v>
      </c>
      <c r="I246" s="7" t="s">
        <v>9552</v>
      </c>
      <c r="J246" s="110" t="s">
        <v>9553</v>
      </c>
      <c r="K246" s="7" t="s">
        <v>9443</v>
      </c>
      <c r="L246" s="109" t="s">
        <v>9443</v>
      </c>
    </row>
    <row r="247" spans="1:12" ht="14.85" customHeight="1" x14ac:dyDescent="0.25">
      <c r="A247" s="108" t="s">
        <v>9308</v>
      </c>
      <c r="B247" s="115" t="s">
        <v>9337</v>
      </c>
      <c r="C247" s="115" t="s">
        <v>9338</v>
      </c>
      <c r="D247" s="109" t="s">
        <v>9570</v>
      </c>
      <c r="E247" s="110" t="s">
        <v>9571</v>
      </c>
      <c r="F247" s="236" t="s">
        <v>9467</v>
      </c>
      <c r="G247" s="115" t="s">
        <v>9324</v>
      </c>
      <c r="H247" s="115" t="s">
        <v>9323</v>
      </c>
      <c r="I247" s="7" t="s">
        <v>9536</v>
      </c>
      <c r="J247" s="110" t="s">
        <v>9537</v>
      </c>
      <c r="K247" s="7" t="s">
        <v>9443</v>
      </c>
      <c r="L247" s="109" t="s">
        <v>9443</v>
      </c>
    </row>
    <row r="248" spans="1:12" ht="14.85" customHeight="1" x14ac:dyDescent="0.25">
      <c r="A248" s="108" t="s">
        <v>13512</v>
      </c>
      <c r="B248" s="161" t="s">
        <v>9337</v>
      </c>
      <c r="C248" s="115" t="s">
        <v>9338</v>
      </c>
      <c r="D248" s="109" t="s">
        <v>9572</v>
      </c>
      <c r="E248" s="323" t="s">
        <v>13465</v>
      </c>
      <c r="F248" s="236" t="s">
        <v>9451</v>
      </c>
      <c r="G248" s="115" t="s">
        <v>9324</v>
      </c>
      <c r="H248" s="115" t="s">
        <v>9323</v>
      </c>
      <c r="I248" s="7" t="s">
        <v>9526</v>
      </c>
      <c r="J248" s="110" t="s">
        <v>9527</v>
      </c>
      <c r="K248" s="7" t="s">
        <v>9440</v>
      </c>
      <c r="L248" s="109" t="s">
        <v>9451</v>
      </c>
    </row>
    <row r="249" spans="1:12" ht="14.85" customHeight="1" x14ac:dyDescent="0.25">
      <c r="A249" s="108" t="s">
        <v>13512</v>
      </c>
      <c r="B249" s="161" t="s">
        <v>9337</v>
      </c>
      <c r="C249" s="115" t="s">
        <v>9338</v>
      </c>
      <c r="D249" s="109" t="s">
        <v>9572</v>
      </c>
      <c r="E249" s="323" t="s">
        <v>13465</v>
      </c>
      <c r="F249" s="236" t="s">
        <v>9451</v>
      </c>
      <c r="G249" s="115" t="s">
        <v>9324</v>
      </c>
      <c r="H249" s="115" t="s">
        <v>9323</v>
      </c>
      <c r="I249" s="7" t="s">
        <v>9542</v>
      </c>
      <c r="J249" s="110" t="s">
        <v>9543</v>
      </c>
      <c r="K249" s="7" t="s">
        <v>9440</v>
      </c>
      <c r="L249" s="109" t="s">
        <v>9451</v>
      </c>
    </row>
    <row r="250" spans="1:12" ht="14.85" customHeight="1" x14ac:dyDescent="0.25">
      <c r="A250" s="108" t="s">
        <v>13512</v>
      </c>
      <c r="B250" s="161" t="s">
        <v>9337</v>
      </c>
      <c r="C250" s="115" t="s">
        <v>9338</v>
      </c>
      <c r="D250" s="109" t="s">
        <v>9572</v>
      </c>
      <c r="E250" s="323" t="s">
        <v>13465</v>
      </c>
      <c r="F250" s="236" t="s">
        <v>9451</v>
      </c>
      <c r="G250" s="115" t="s">
        <v>9324</v>
      </c>
      <c r="H250" s="115" t="s">
        <v>9323</v>
      </c>
      <c r="I250" s="7" t="s">
        <v>9546</v>
      </c>
      <c r="J250" s="110" t="s">
        <v>9547</v>
      </c>
      <c r="K250" s="7" t="s">
        <v>9440</v>
      </c>
      <c r="L250" s="109" t="s">
        <v>9451</v>
      </c>
    </row>
    <row r="251" spans="1:12" ht="14.85" customHeight="1" x14ac:dyDescent="0.25">
      <c r="A251" s="108" t="s">
        <v>13512</v>
      </c>
      <c r="B251" s="161" t="s">
        <v>9337</v>
      </c>
      <c r="C251" s="115" t="s">
        <v>9338</v>
      </c>
      <c r="D251" s="109" t="s">
        <v>9572</v>
      </c>
      <c r="E251" s="323" t="s">
        <v>13465</v>
      </c>
      <c r="F251" s="236" t="s">
        <v>9451</v>
      </c>
      <c r="G251" s="115" t="s">
        <v>9324</v>
      </c>
      <c r="H251" s="115" t="s">
        <v>9323</v>
      </c>
      <c r="I251" s="7" t="s">
        <v>9351</v>
      </c>
      <c r="J251" s="110" t="s">
        <v>9352</v>
      </c>
      <c r="K251" s="7" t="s">
        <v>9353</v>
      </c>
      <c r="L251" s="109" t="s">
        <v>9451</v>
      </c>
    </row>
    <row r="252" spans="1:12" ht="14.85" customHeight="1" x14ac:dyDescent="0.25">
      <c r="A252" s="108" t="s">
        <v>13512</v>
      </c>
      <c r="B252" s="161" t="s">
        <v>9337</v>
      </c>
      <c r="C252" s="115" t="s">
        <v>9338</v>
      </c>
      <c r="D252" s="109" t="s">
        <v>9573</v>
      </c>
      <c r="E252" s="323" t="s">
        <v>13466</v>
      </c>
      <c r="F252" s="236" t="s">
        <v>9451</v>
      </c>
      <c r="G252" s="115" t="s">
        <v>9324</v>
      </c>
      <c r="H252" s="115" t="s">
        <v>9323</v>
      </c>
      <c r="I252" s="7" t="s">
        <v>9526</v>
      </c>
      <c r="J252" s="110" t="s">
        <v>9527</v>
      </c>
      <c r="K252" s="7" t="s">
        <v>9440</v>
      </c>
      <c r="L252" s="109" t="s">
        <v>9451</v>
      </c>
    </row>
    <row r="253" spans="1:12" ht="14.85" customHeight="1" x14ac:dyDescent="0.25">
      <c r="A253" s="108" t="s">
        <v>13512</v>
      </c>
      <c r="B253" s="161" t="s">
        <v>9337</v>
      </c>
      <c r="C253" s="115" t="s">
        <v>9338</v>
      </c>
      <c r="D253" s="109" t="s">
        <v>9573</v>
      </c>
      <c r="E253" s="323" t="s">
        <v>13466</v>
      </c>
      <c r="F253" s="236" t="s">
        <v>9451</v>
      </c>
      <c r="G253" s="115" t="s">
        <v>9324</v>
      </c>
      <c r="H253" s="115" t="s">
        <v>9323</v>
      </c>
      <c r="I253" s="7" t="s">
        <v>9542</v>
      </c>
      <c r="J253" s="110" t="s">
        <v>9543</v>
      </c>
      <c r="K253" s="7" t="s">
        <v>9440</v>
      </c>
      <c r="L253" s="109" t="s">
        <v>9451</v>
      </c>
    </row>
    <row r="254" spans="1:12" ht="14.85" customHeight="1" x14ac:dyDescent="0.25">
      <c r="A254" s="108" t="s">
        <v>13512</v>
      </c>
      <c r="B254" s="161" t="s">
        <v>9337</v>
      </c>
      <c r="C254" s="115" t="s">
        <v>9338</v>
      </c>
      <c r="D254" s="109" t="s">
        <v>9573</v>
      </c>
      <c r="E254" s="323" t="s">
        <v>13466</v>
      </c>
      <c r="F254" s="236" t="s">
        <v>9451</v>
      </c>
      <c r="G254" s="115" t="s">
        <v>9324</v>
      </c>
      <c r="H254" s="115" t="s">
        <v>9323</v>
      </c>
      <c r="I254" s="7" t="s">
        <v>9546</v>
      </c>
      <c r="J254" s="110" t="s">
        <v>9547</v>
      </c>
      <c r="K254" s="7" t="s">
        <v>9440</v>
      </c>
      <c r="L254" s="109" t="s">
        <v>9451</v>
      </c>
    </row>
    <row r="255" spans="1:12" ht="14.85" customHeight="1" x14ac:dyDescent="0.25">
      <c r="A255" s="108" t="s">
        <v>13512</v>
      </c>
      <c r="B255" s="161" t="s">
        <v>9337</v>
      </c>
      <c r="C255" s="115" t="s">
        <v>9338</v>
      </c>
      <c r="D255" s="109" t="s">
        <v>9573</v>
      </c>
      <c r="E255" s="323" t="s">
        <v>13466</v>
      </c>
      <c r="F255" s="236" t="s">
        <v>9451</v>
      </c>
      <c r="G255" s="115" t="s">
        <v>9324</v>
      </c>
      <c r="H255" s="115" t="s">
        <v>9323</v>
      </c>
      <c r="I255" s="7" t="s">
        <v>9351</v>
      </c>
      <c r="J255" s="110" t="s">
        <v>9352</v>
      </c>
      <c r="K255" s="7" t="s">
        <v>9353</v>
      </c>
      <c r="L255" s="109" t="s">
        <v>9451</v>
      </c>
    </row>
    <row r="256" spans="1:12" ht="14.85" customHeight="1" x14ac:dyDescent="0.25">
      <c r="A256" s="108" t="s">
        <v>13512</v>
      </c>
      <c r="B256" s="161" t="s">
        <v>9337</v>
      </c>
      <c r="C256" s="115" t="s">
        <v>9338</v>
      </c>
      <c r="D256" s="109" t="s">
        <v>9574</v>
      </c>
      <c r="E256" s="323" t="s">
        <v>13467</v>
      </c>
      <c r="F256" s="236" t="s">
        <v>9451</v>
      </c>
      <c r="G256" s="115" t="s">
        <v>9324</v>
      </c>
      <c r="H256" s="115" t="s">
        <v>9323</v>
      </c>
      <c r="I256" s="7" t="s">
        <v>9526</v>
      </c>
      <c r="J256" s="110" t="s">
        <v>9527</v>
      </c>
      <c r="K256" s="7" t="s">
        <v>9440</v>
      </c>
      <c r="L256" s="109" t="s">
        <v>9451</v>
      </c>
    </row>
    <row r="257" spans="1:12" ht="14.85" customHeight="1" x14ac:dyDescent="0.25">
      <c r="A257" s="108" t="s">
        <v>13512</v>
      </c>
      <c r="B257" s="161" t="s">
        <v>9337</v>
      </c>
      <c r="C257" s="115" t="s">
        <v>9338</v>
      </c>
      <c r="D257" s="109" t="s">
        <v>9574</v>
      </c>
      <c r="E257" s="323" t="s">
        <v>13467</v>
      </c>
      <c r="F257" s="236" t="s">
        <v>9451</v>
      </c>
      <c r="G257" s="115" t="s">
        <v>9324</v>
      </c>
      <c r="H257" s="115" t="s">
        <v>9323</v>
      </c>
      <c r="I257" s="7" t="s">
        <v>9528</v>
      </c>
      <c r="J257" s="110" t="s">
        <v>9529</v>
      </c>
      <c r="K257" s="7" t="s">
        <v>9440</v>
      </c>
      <c r="L257" s="109" t="s">
        <v>9451</v>
      </c>
    </row>
    <row r="258" spans="1:12" ht="14.85" customHeight="1" x14ac:dyDescent="0.25">
      <c r="A258" s="108" t="s">
        <v>13512</v>
      </c>
      <c r="B258" s="161" t="s">
        <v>9337</v>
      </c>
      <c r="C258" s="115" t="s">
        <v>9338</v>
      </c>
      <c r="D258" s="109" t="s">
        <v>9574</v>
      </c>
      <c r="E258" s="323" t="s">
        <v>13467</v>
      </c>
      <c r="F258" s="236" t="s">
        <v>9451</v>
      </c>
      <c r="G258" s="115" t="s">
        <v>9324</v>
      </c>
      <c r="H258" s="115" t="s">
        <v>9323</v>
      </c>
      <c r="I258" s="7" t="s">
        <v>9351</v>
      </c>
      <c r="J258" s="110" t="s">
        <v>9352</v>
      </c>
      <c r="K258" s="7" t="s">
        <v>9353</v>
      </c>
      <c r="L258" s="109" t="s">
        <v>9451</v>
      </c>
    </row>
    <row r="259" spans="1:12" ht="14.85" customHeight="1" x14ac:dyDescent="0.25">
      <c r="A259" s="108" t="s">
        <v>13512</v>
      </c>
      <c r="B259" s="161" t="s">
        <v>9337</v>
      </c>
      <c r="C259" s="115" t="s">
        <v>9338</v>
      </c>
      <c r="D259" s="109" t="s">
        <v>9575</v>
      </c>
      <c r="E259" s="323" t="s">
        <v>13468</v>
      </c>
      <c r="F259" s="236" t="s">
        <v>9451</v>
      </c>
      <c r="G259" s="115" t="s">
        <v>9324</v>
      </c>
      <c r="H259" s="115" t="s">
        <v>9323</v>
      </c>
      <c r="I259" s="7" t="s">
        <v>9526</v>
      </c>
      <c r="J259" s="110" t="s">
        <v>9527</v>
      </c>
      <c r="K259" s="7" t="s">
        <v>9440</v>
      </c>
      <c r="L259" s="109" t="s">
        <v>9451</v>
      </c>
    </row>
    <row r="260" spans="1:12" ht="14.85" customHeight="1" x14ac:dyDescent="0.25">
      <c r="A260" s="108" t="s">
        <v>13512</v>
      </c>
      <c r="B260" s="161" t="s">
        <v>9337</v>
      </c>
      <c r="C260" s="115" t="s">
        <v>9338</v>
      </c>
      <c r="D260" s="109" t="s">
        <v>9575</v>
      </c>
      <c r="E260" s="323" t="s">
        <v>13468</v>
      </c>
      <c r="F260" s="236" t="s">
        <v>9451</v>
      </c>
      <c r="G260" s="115" t="s">
        <v>9324</v>
      </c>
      <c r="H260" s="115" t="s">
        <v>9323</v>
      </c>
      <c r="I260" s="7" t="s">
        <v>9528</v>
      </c>
      <c r="J260" s="110" t="s">
        <v>9529</v>
      </c>
      <c r="K260" s="7" t="s">
        <v>9440</v>
      </c>
      <c r="L260" s="109" t="s">
        <v>9451</v>
      </c>
    </row>
    <row r="261" spans="1:12" ht="14.85" customHeight="1" x14ac:dyDescent="0.25">
      <c r="A261" s="108" t="s">
        <v>13512</v>
      </c>
      <c r="B261" s="161" t="s">
        <v>9337</v>
      </c>
      <c r="C261" s="115" t="s">
        <v>9338</v>
      </c>
      <c r="D261" s="109" t="s">
        <v>9575</v>
      </c>
      <c r="E261" s="323" t="s">
        <v>13468</v>
      </c>
      <c r="F261" s="236" t="s">
        <v>9451</v>
      </c>
      <c r="G261" s="115" t="s">
        <v>9324</v>
      </c>
      <c r="H261" s="115" t="s">
        <v>9323</v>
      </c>
      <c r="I261" s="7" t="s">
        <v>9351</v>
      </c>
      <c r="J261" s="110" t="s">
        <v>9352</v>
      </c>
      <c r="K261" s="7" t="s">
        <v>9353</v>
      </c>
      <c r="L261" s="109" t="s">
        <v>9451</v>
      </c>
    </row>
    <row r="262" spans="1:12" ht="14.85" customHeight="1" x14ac:dyDescent="0.25">
      <c r="A262" s="108" t="s">
        <v>9308</v>
      </c>
      <c r="B262" s="115" t="s">
        <v>9337</v>
      </c>
      <c r="C262" s="115" t="s">
        <v>9338</v>
      </c>
      <c r="D262" s="109" t="s">
        <v>9576</v>
      </c>
      <c r="E262" s="110" t="s">
        <v>9577</v>
      </c>
      <c r="F262" s="236" t="s">
        <v>9451</v>
      </c>
      <c r="G262" s="115" t="s">
        <v>9324</v>
      </c>
      <c r="H262" s="115" t="s">
        <v>9323</v>
      </c>
      <c r="I262" s="7" t="s">
        <v>9519</v>
      </c>
      <c r="J262" s="110" t="s">
        <v>9520</v>
      </c>
      <c r="K262" s="7" t="s">
        <v>9440</v>
      </c>
      <c r="L262" s="109" t="s">
        <v>9451</v>
      </c>
    </row>
    <row r="263" spans="1:12" ht="14.85" customHeight="1" x14ac:dyDescent="0.25">
      <c r="A263" s="108" t="s">
        <v>9308</v>
      </c>
      <c r="B263" s="115" t="s">
        <v>9337</v>
      </c>
      <c r="C263" s="115" t="s">
        <v>9338</v>
      </c>
      <c r="D263" s="109" t="s">
        <v>9576</v>
      </c>
      <c r="E263" s="110" t="s">
        <v>9577</v>
      </c>
      <c r="F263" s="236" t="s">
        <v>9451</v>
      </c>
      <c r="G263" s="115" t="s">
        <v>9324</v>
      </c>
      <c r="H263" s="115" t="s">
        <v>9323</v>
      </c>
      <c r="I263" s="7" t="s">
        <v>9526</v>
      </c>
      <c r="J263" s="110" t="s">
        <v>9527</v>
      </c>
      <c r="K263" s="7" t="s">
        <v>9440</v>
      </c>
      <c r="L263" s="109" t="s">
        <v>9451</v>
      </c>
    </row>
    <row r="264" spans="1:12" ht="14.85" customHeight="1" x14ac:dyDescent="0.25">
      <c r="A264" s="108" t="s">
        <v>9308</v>
      </c>
      <c r="B264" s="115" t="s">
        <v>9337</v>
      </c>
      <c r="C264" s="115" t="s">
        <v>9338</v>
      </c>
      <c r="D264" s="109" t="s">
        <v>9576</v>
      </c>
      <c r="E264" s="110" t="s">
        <v>9577</v>
      </c>
      <c r="F264" s="236" t="s">
        <v>9451</v>
      </c>
      <c r="G264" s="115" t="s">
        <v>9324</v>
      </c>
      <c r="H264" s="115" t="s">
        <v>9323</v>
      </c>
      <c r="I264" s="7" t="s">
        <v>9556</v>
      </c>
      <c r="J264" s="110" t="s">
        <v>9557</v>
      </c>
      <c r="K264" s="7" t="s">
        <v>9440</v>
      </c>
      <c r="L264" s="109" t="s">
        <v>9451</v>
      </c>
    </row>
    <row r="265" spans="1:12" ht="14.85" customHeight="1" x14ac:dyDescent="0.25">
      <c r="A265" s="108" t="s">
        <v>9308</v>
      </c>
      <c r="B265" s="115" t="s">
        <v>9337</v>
      </c>
      <c r="C265" s="115" t="s">
        <v>9338</v>
      </c>
      <c r="D265" s="109" t="s">
        <v>9576</v>
      </c>
      <c r="E265" s="110" t="s">
        <v>9577</v>
      </c>
      <c r="F265" s="236" t="s">
        <v>9451</v>
      </c>
      <c r="G265" s="115" t="s">
        <v>9324</v>
      </c>
      <c r="H265" s="115" t="s">
        <v>9323</v>
      </c>
      <c r="I265" s="7" t="s">
        <v>9542</v>
      </c>
      <c r="J265" s="110" t="s">
        <v>9543</v>
      </c>
      <c r="K265" s="7" t="s">
        <v>9440</v>
      </c>
      <c r="L265" s="109" t="s">
        <v>9451</v>
      </c>
    </row>
    <row r="266" spans="1:12" ht="14.85" customHeight="1" x14ac:dyDescent="0.25">
      <c r="A266" s="108" t="s">
        <v>9308</v>
      </c>
      <c r="B266" s="115" t="s">
        <v>9337</v>
      </c>
      <c r="C266" s="115" t="s">
        <v>9338</v>
      </c>
      <c r="D266" s="109" t="s">
        <v>9576</v>
      </c>
      <c r="E266" s="110" t="s">
        <v>9577</v>
      </c>
      <c r="F266" s="236" t="s">
        <v>9451</v>
      </c>
      <c r="G266" s="115" t="s">
        <v>9324</v>
      </c>
      <c r="H266" s="115" t="s">
        <v>9323</v>
      </c>
      <c r="I266" s="7" t="s">
        <v>9544</v>
      </c>
      <c r="J266" s="110" t="s">
        <v>9545</v>
      </c>
      <c r="K266" s="7" t="s">
        <v>9440</v>
      </c>
      <c r="L266" s="109" t="s">
        <v>9451</v>
      </c>
    </row>
    <row r="267" spans="1:12" ht="14.85" customHeight="1" x14ac:dyDescent="0.25">
      <c r="A267" s="108" t="s">
        <v>9308</v>
      </c>
      <c r="B267" s="115" t="s">
        <v>9337</v>
      </c>
      <c r="C267" s="115" t="s">
        <v>9338</v>
      </c>
      <c r="D267" s="109" t="s">
        <v>9576</v>
      </c>
      <c r="E267" s="110" t="s">
        <v>9577</v>
      </c>
      <c r="F267" s="236" t="s">
        <v>9451</v>
      </c>
      <c r="G267" s="115" t="s">
        <v>9324</v>
      </c>
      <c r="H267" s="115" t="s">
        <v>9323</v>
      </c>
      <c r="I267" s="7" t="s">
        <v>9546</v>
      </c>
      <c r="J267" s="110" t="s">
        <v>9547</v>
      </c>
      <c r="K267" s="7" t="s">
        <v>9440</v>
      </c>
      <c r="L267" s="109" t="s">
        <v>9451</v>
      </c>
    </row>
    <row r="268" spans="1:12" ht="14.85" customHeight="1" x14ac:dyDescent="0.25">
      <c r="A268" s="108" t="s">
        <v>9308</v>
      </c>
      <c r="B268" s="115" t="s">
        <v>9337</v>
      </c>
      <c r="C268" s="115" t="s">
        <v>9338</v>
      </c>
      <c r="D268" s="109" t="s">
        <v>9576</v>
      </c>
      <c r="E268" s="110" t="s">
        <v>9577</v>
      </c>
      <c r="F268" s="236" t="s">
        <v>9451</v>
      </c>
      <c r="G268" s="115" t="s">
        <v>9324</v>
      </c>
      <c r="H268" s="115" t="s">
        <v>9323</v>
      </c>
      <c r="I268" s="7" t="s">
        <v>9528</v>
      </c>
      <c r="J268" s="110" t="s">
        <v>9529</v>
      </c>
      <c r="K268" s="7" t="s">
        <v>9440</v>
      </c>
      <c r="L268" s="109" t="s">
        <v>9451</v>
      </c>
    </row>
    <row r="269" spans="1:12" ht="14.85" customHeight="1" x14ac:dyDescent="0.25">
      <c r="A269" s="108" t="s">
        <v>9308</v>
      </c>
      <c r="B269" s="115" t="s">
        <v>9337</v>
      </c>
      <c r="C269" s="115" t="s">
        <v>9338</v>
      </c>
      <c r="D269" s="109" t="s">
        <v>9576</v>
      </c>
      <c r="E269" s="110" t="s">
        <v>9577</v>
      </c>
      <c r="F269" s="236" t="s">
        <v>9451</v>
      </c>
      <c r="G269" s="115" t="s">
        <v>9324</v>
      </c>
      <c r="H269" s="115" t="s">
        <v>9323</v>
      </c>
      <c r="I269" s="7" t="s">
        <v>9530</v>
      </c>
      <c r="J269" s="110" t="s">
        <v>9531</v>
      </c>
      <c r="K269" s="7" t="s">
        <v>9440</v>
      </c>
      <c r="L269" s="109" t="s">
        <v>9451</v>
      </c>
    </row>
    <row r="270" spans="1:12" ht="14.85" customHeight="1" x14ac:dyDescent="0.25">
      <c r="A270" s="108" t="s">
        <v>9308</v>
      </c>
      <c r="B270" s="115" t="s">
        <v>9337</v>
      </c>
      <c r="C270" s="115" t="s">
        <v>9338</v>
      </c>
      <c r="D270" s="109" t="s">
        <v>9576</v>
      </c>
      <c r="E270" s="110" t="s">
        <v>9577</v>
      </c>
      <c r="F270" s="236" t="s">
        <v>9451</v>
      </c>
      <c r="G270" s="115" t="s">
        <v>9324</v>
      </c>
      <c r="H270" s="115" t="s">
        <v>9323</v>
      </c>
      <c r="I270" s="7" t="s">
        <v>9351</v>
      </c>
      <c r="J270" s="110" t="s">
        <v>9352</v>
      </c>
      <c r="K270" s="7" t="s">
        <v>9353</v>
      </c>
      <c r="L270" s="109" t="s">
        <v>9451</v>
      </c>
    </row>
    <row r="271" spans="1:12" ht="14.85" customHeight="1" x14ac:dyDescent="0.25">
      <c r="A271" s="108" t="s">
        <v>9308</v>
      </c>
      <c r="B271" s="115" t="s">
        <v>9337</v>
      </c>
      <c r="C271" s="115" t="s">
        <v>9338</v>
      </c>
      <c r="D271" s="109" t="s">
        <v>9578</v>
      </c>
      <c r="E271" s="110" t="s">
        <v>9579</v>
      </c>
      <c r="F271" s="236" t="s">
        <v>9451</v>
      </c>
      <c r="G271" s="115" t="s">
        <v>9324</v>
      </c>
      <c r="H271" s="115" t="s">
        <v>9323</v>
      </c>
      <c r="I271" s="7" t="s">
        <v>9526</v>
      </c>
      <c r="J271" s="110" t="s">
        <v>9527</v>
      </c>
      <c r="K271" s="7" t="s">
        <v>9440</v>
      </c>
      <c r="L271" s="109" t="s">
        <v>9451</v>
      </c>
    </row>
    <row r="272" spans="1:12" ht="14.85" customHeight="1" x14ac:dyDescent="0.25">
      <c r="A272" s="108" t="s">
        <v>9308</v>
      </c>
      <c r="B272" s="115" t="s">
        <v>9337</v>
      </c>
      <c r="C272" s="115" t="s">
        <v>9338</v>
      </c>
      <c r="D272" s="109" t="s">
        <v>9578</v>
      </c>
      <c r="E272" s="110" t="s">
        <v>9579</v>
      </c>
      <c r="F272" s="236" t="s">
        <v>9451</v>
      </c>
      <c r="G272" s="115" t="s">
        <v>9324</v>
      </c>
      <c r="H272" s="115" t="s">
        <v>9323</v>
      </c>
      <c r="I272" s="7" t="s">
        <v>9556</v>
      </c>
      <c r="J272" s="110" t="s">
        <v>9557</v>
      </c>
      <c r="K272" s="7" t="s">
        <v>9440</v>
      </c>
      <c r="L272" s="109" t="s">
        <v>9451</v>
      </c>
    </row>
    <row r="273" spans="1:12" ht="14.85" customHeight="1" x14ac:dyDescent="0.25">
      <c r="A273" s="108" t="s">
        <v>9308</v>
      </c>
      <c r="B273" s="115" t="s">
        <v>9337</v>
      </c>
      <c r="C273" s="115" t="s">
        <v>9338</v>
      </c>
      <c r="D273" s="109" t="s">
        <v>9578</v>
      </c>
      <c r="E273" s="110" t="s">
        <v>9579</v>
      </c>
      <c r="F273" s="236" t="s">
        <v>9451</v>
      </c>
      <c r="G273" s="115" t="s">
        <v>9324</v>
      </c>
      <c r="H273" s="115" t="s">
        <v>9323</v>
      </c>
      <c r="I273" s="7" t="s">
        <v>9542</v>
      </c>
      <c r="J273" s="110" t="s">
        <v>9543</v>
      </c>
      <c r="K273" s="7" t="s">
        <v>9440</v>
      </c>
      <c r="L273" s="109" t="s">
        <v>9451</v>
      </c>
    </row>
    <row r="274" spans="1:12" ht="14.85" customHeight="1" x14ac:dyDescent="0.25">
      <c r="A274" s="108" t="s">
        <v>9308</v>
      </c>
      <c r="B274" s="115" t="s">
        <v>9337</v>
      </c>
      <c r="C274" s="115" t="s">
        <v>9338</v>
      </c>
      <c r="D274" s="109" t="s">
        <v>9578</v>
      </c>
      <c r="E274" s="110" t="s">
        <v>9579</v>
      </c>
      <c r="F274" s="236" t="s">
        <v>9451</v>
      </c>
      <c r="G274" s="115" t="s">
        <v>9324</v>
      </c>
      <c r="H274" s="115" t="s">
        <v>9323</v>
      </c>
      <c r="I274" s="7" t="s">
        <v>9544</v>
      </c>
      <c r="J274" s="110" t="s">
        <v>9545</v>
      </c>
      <c r="K274" s="7" t="s">
        <v>9440</v>
      </c>
      <c r="L274" s="109" t="s">
        <v>9451</v>
      </c>
    </row>
    <row r="275" spans="1:12" ht="14.85" customHeight="1" x14ac:dyDescent="0.25">
      <c r="A275" s="108" t="s">
        <v>9308</v>
      </c>
      <c r="B275" s="115" t="s">
        <v>9337</v>
      </c>
      <c r="C275" s="115" t="s">
        <v>9338</v>
      </c>
      <c r="D275" s="109" t="s">
        <v>9578</v>
      </c>
      <c r="E275" s="110" t="s">
        <v>9579</v>
      </c>
      <c r="F275" s="236" t="s">
        <v>9451</v>
      </c>
      <c r="G275" s="115" t="s">
        <v>9324</v>
      </c>
      <c r="H275" s="115" t="s">
        <v>9323</v>
      </c>
      <c r="I275" s="7" t="s">
        <v>9546</v>
      </c>
      <c r="J275" s="110" t="s">
        <v>9547</v>
      </c>
      <c r="K275" s="7" t="s">
        <v>9440</v>
      </c>
      <c r="L275" s="109" t="s">
        <v>9451</v>
      </c>
    </row>
    <row r="276" spans="1:12" ht="14.85" customHeight="1" x14ac:dyDescent="0.25">
      <c r="A276" s="108" t="s">
        <v>9308</v>
      </c>
      <c r="B276" s="115" t="s">
        <v>9337</v>
      </c>
      <c r="C276" s="115" t="s">
        <v>9338</v>
      </c>
      <c r="D276" s="109" t="s">
        <v>9578</v>
      </c>
      <c r="E276" s="110" t="s">
        <v>9579</v>
      </c>
      <c r="F276" s="236" t="s">
        <v>9451</v>
      </c>
      <c r="G276" s="115" t="s">
        <v>9324</v>
      </c>
      <c r="H276" s="115" t="s">
        <v>9323</v>
      </c>
      <c r="I276" s="7" t="s">
        <v>9528</v>
      </c>
      <c r="J276" s="110" t="s">
        <v>9529</v>
      </c>
      <c r="K276" s="7" t="s">
        <v>9440</v>
      </c>
      <c r="L276" s="109" t="s">
        <v>9451</v>
      </c>
    </row>
    <row r="277" spans="1:12" ht="14.85" customHeight="1" x14ac:dyDescent="0.25">
      <c r="A277" s="108" t="s">
        <v>9308</v>
      </c>
      <c r="B277" s="115" t="s">
        <v>9337</v>
      </c>
      <c r="C277" s="115" t="s">
        <v>9338</v>
      </c>
      <c r="D277" s="109" t="s">
        <v>9578</v>
      </c>
      <c r="E277" s="110" t="s">
        <v>9579</v>
      </c>
      <c r="F277" s="236" t="s">
        <v>9451</v>
      </c>
      <c r="G277" s="115" t="s">
        <v>9324</v>
      </c>
      <c r="H277" s="115" t="s">
        <v>9323</v>
      </c>
      <c r="I277" s="7" t="s">
        <v>9530</v>
      </c>
      <c r="J277" s="110" t="s">
        <v>9531</v>
      </c>
      <c r="K277" s="7" t="s">
        <v>9440</v>
      </c>
      <c r="L277" s="109" t="s">
        <v>9451</v>
      </c>
    </row>
    <row r="278" spans="1:12" ht="14.85" customHeight="1" x14ac:dyDescent="0.25">
      <c r="A278" s="108" t="s">
        <v>9308</v>
      </c>
      <c r="B278" s="115" t="s">
        <v>9337</v>
      </c>
      <c r="C278" s="115" t="s">
        <v>9338</v>
      </c>
      <c r="D278" s="109" t="s">
        <v>9578</v>
      </c>
      <c r="E278" s="110" t="s">
        <v>9579</v>
      </c>
      <c r="F278" s="236" t="s">
        <v>9451</v>
      </c>
      <c r="G278" s="115" t="s">
        <v>9324</v>
      </c>
      <c r="H278" s="115" t="s">
        <v>9323</v>
      </c>
      <c r="I278" s="7" t="s">
        <v>9522</v>
      </c>
      <c r="J278" s="110" t="s">
        <v>9523</v>
      </c>
      <c r="K278" s="7" t="s">
        <v>9440</v>
      </c>
      <c r="L278" s="109" t="s">
        <v>9451</v>
      </c>
    </row>
    <row r="279" spans="1:12" ht="14.85" customHeight="1" x14ac:dyDescent="0.25">
      <c r="A279" s="108" t="s">
        <v>9308</v>
      </c>
      <c r="B279" s="115" t="s">
        <v>9337</v>
      </c>
      <c r="C279" s="115" t="s">
        <v>9338</v>
      </c>
      <c r="D279" s="109" t="s">
        <v>9578</v>
      </c>
      <c r="E279" s="110" t="s">
        <v>9579</v>
      </c>
      <c r="F279" s="236" t="s">
        <v>9451</v>
      </c>
      <c r="G279" s="115" t="s">
        <v>9324</v>
      </c>
      <c r="H279" s="115" t="s">
        <v>9323</v>
      </c>
      <c r="I279" s="7" t="s">
        <v>9351</v>
      </c>
      <c r="J279" s="110" t="s">
        <v>9352</v>
      </c>
      <c r="K279" s="7" t="s">
        <v>9353</v>
      </c>
      <c r="L279" s="109" t="s">
        <v>9451</v>
      </c>
    </row>
    <row r="280" spans="1:12" ht="14.85" customHeight="1" x14ac:dyDescent="0.25">
      <c r="A280" s="108" t="s">
        <v>9308</v>
      </c>
      <c r="B280" s="115" t="s">
        <v>9337</v>
      </c>
      <c r="C280" s="115" t="s">
        <v>9338</v>
      </c>
      <c r="D280" s="109" t="s">
        <v>9580</v>
      </c>
      <c r="E280" s="110" t="s">
        <v>9581</v>
      </c>
      <c r="F280" s="236" t="s">
        <v>9467</v>
      </c>
      <c r="G280" s="115" t="s">
        <v>9324</v>
      </c>
      <c r="H280" s="115" t="s">
        <v>9323</v>
      </c>
      <c r="I280" s="7" t="s">
        <v>9582</v>
      </c>
      <c r="J280" s="110" t="s">
        <v>9583</v>
      </c>
      <c r="K280" s="7" t="s">
        <v>9440</v>
      </c>
      <c r="L280" s="109" t="s">
        <v>9440</v>
      </c>
    </row>
    <row r="281" spans="1:12" ht="14.85" customHeight="1" x14ac:dyDescent="0.25">
      <c r="A281" s="108" t="s">
        <v>9308</v>
      </c>
      <c r="B281" s="115" t="s">
        <v>9337</v>
      </c>
      <c r="C281" s="115" t="s">
        <v>9338</v>
      </c>
      <c r="D281" s="109" t="s">
        <v>9580</v>
      </c>
      <c r="E281" s="110" t="s">
        <v>9581</v>
      </c>
      <c r="F281" s="236" t="s">
        <v>9467</v>
      </c>
      <c r="G281" s="115" t="s">
        <v>9324</v>
      </c>
      <c r="H281" s="115" t="s">
        <v>9323</v>
      </c>
      <c r="I281" s="7" t="s">
        <v>9584</v>
      </c>
      <c r="J281" s="110" t="s">
        <v>9585</v>
      </c>
      <c r="K281" s="7" t="s">
        <v>9440</v>
      </c>
      <c r="L281" s="109" t="s">
        <v>9440</v>
      </c>
    </row>
    <row r="282" spans="1:12" ht="14.85" customHeight="1" x14ac:dyDescent="0.25">
      <c r="A282" s="108" t="s">
        <v>9308</v>
      </c>
      <c r="B282" s="115" t="s">
        <v>9337</v>
      </c>
      <c r="C282" s="115" t="s">
        <v>9338</v>
      </c>
      <c r="D282" s="109" t="s">
        <v>9580</v>
      </c>
      <c r="E282" s="110" t="s">
        <v>9581</v>
      </c>
      <c r="F282" s="236" t="s">
        <v>9467</v>
      </c>
      <c r="G282" s="115" t="s">
        <v>9324</v>
      </c>
      <c r="H282" s="115" t="s">
        <v>9323</v>
      </c>
      <c r="I282" s="7" t="s">
        <v>9586</v>
      </c>
      <c r="J282" s="110" t="s">
        <v>9587</v>
      </c>
      <c r="K282" s="7" t="s">
        <v>9443</v>
      </c>
      <c r="L282" s="109" t="s">
        <v>9443</v>
      </c>
    </row>
    <row r="283" spans="1:12" ht="14.85" customHeight="1" x14ac:dyDescent="0.25">
      <c r="A283" s="108" t="s">
        <v>9308</v>
      </c>
      <c r="B283" s="115" t="s">
        <v>9337</v>
      </c>
      <c r="C283" s="115" t="s">
        <v>9338</v>
      </c>
      <c r="D283" s="109" t="s">
        <v>9580</v>
      </c>
      <c r="E283" s="110" t="s">
        <v>9581</v>
      </c>
      <c r="F283" s="236" t="s">
        <v>9467</v>
      </c>
      <c r="G283" s="115" t="s">
        <v>9324</v>
      </c>
      <c r="H283" s="115" t="s">
        <v>9323</v>
      </c>
      <c r="I283" s="7" t="s">
        <v>9588</v>
      </c>
      <c r="J283" s="110" t="s">
        <v>9589</v>
      </c>
      <c r="K283" s="7" t="s">
        <v>9443</v>
      </c>
      <c r="L283" s="109" t="s">
        <v>9443</v>
      </c>
    </row>
    <row r="284" spans="1:12" ht="14.85" customHeight="1" x14ac:dyDescent="0.25">
      <c r="A284" s="108" t="s">
        <v>9308</v>
      </c>
      <c r="B284" s="115" t="s">
        <v>9337</v>
      </c>
      <c r="C284" s="115" t="s">
        <v>9338</v>
      </c>
      <c r="D284" s="109" t="s">
        <v>9580</v>
      </c>
      <c r="E284" s="110" t="s">
        <v>9581</v>
      </c>
      <c r="F284" s="236" t="s">
        <v>9467</v>
      </c>
      <c r="G284" s="115" t="s">
        <v>9324</v>
      </c>
      <c r="H284" s="115" t="s">
        <v>9323</v>
      </c>
      <c r="I284" s="7" t="s">
        <v>9351</v>
      </c>
      <c r="J284" s="110" t="s">
        <v>9352</v>
      </c>
      <c r="K284" s="7" t="s">
        <v>9353</v>
      </c>
      <c r="L284" s="109" t="s">
        <v>9451</v>
      </c>
    </row>
    <row r="285" spans="1:12" ht="14.85" customHeight="1" x14ac:dyDescent="0.25">
      <c r="A285" s="108" t="s">
        <v>13512</v>
      </c>
      <c r="B285" s="161" t="s">
        <v>9337</v>
      </c>
      <c r="C285" s="115" t="s">
        <v>9338</v>
      </c>
      <c r="D285" s="109" t="s">
        <v>9590</v>
      </c>
      <c r="E285" s="323" t="s">
        <v>13469</v>
      </c>
      <c r="F285" s="236" t="s">
        <v>9451</v>
      </c>
      <c r="G285" s="115" t="s">
        <v>9324</v>
      </c>
      <c r="H285" s="115" t="s">
        <v>9323</v>
      </c>
      <c r="I285" s="7" t="s">
        <v>9582</v>
      </c>
      <c r="J285" s="110" t="s">
        <v>9583</v>
      </c>
      <c r="K285" s="7" t="s">
        <v>9440</v>
      </c>
      <c r="L285" s="109" t="s">
        <v>9451</v>
      </c>
    </row>
    <row r="286" spans="1:12" ht="14.85" customHeight="1" x14ac:dyDescent="0.25">
      <c r="A286" s="108" t="s">
        <v>13512</v>
      </c>
      <c r="B286" s="161" t="s">
        <v>9337</v>
      </c>
      <c r="C286" s="115" t="s">
        <v>9338</v>
      </c>
      <c r="D286" s="109" t="s">
        <v>9590</v>
      </c>
      <c r="E286" s="323" t="s">
        <v>13469</v>
      </c>
      <c r="F286" s="236" t="s">
        <v>9451</v>
      </c>
      <c r="G286" s="115" t="s">
        <v>9324</v>
      </c>
      <c r="H286" s="115" t="s">
        <v>9323</v>
      </c>
      <c r="I286" s="7" t="s">
        <v>9584</v>
      </c>
      <c r="J286" s="110" t="s">
        <v>9585</v>
      </c>
      <c r="K286" s="7" t="s">
        <v>9440</v>
      </c>
      <c r="L286" s="109" t="s">
        <v>9451</v>
      </c>
    </row>
    <row r="287" spans="1:12" ht="14.85" customHeight="1" x14ac:dyDescent="0.25">
      <c r="A287" s="108" t="s">
        <v>13512</v>
      </c>
      <c r="B287" s="161" t="s">
        <v>9337</v>
      </c>
      <c r="C287" s="115" t="s">
        <v>9338</v>
      </c>
      <c r="D287" s="109" t="s">
        <v>9590</v>
      </c>
      <c r="E287" s="323" t="s">
        <v>13469</v>
      </c>
      <c r="F287" s="236" t="s">
        <v>9451</v>
      </c>
      <c r="G287" s="115" t="s">
        <v>9324</v>
      </c>
      <c r="H287" s="115" t="s">
        <v>9323</v>
      </c>
      <c r="I287" s="7" t="s">
        <v>9351</v>
      </c>
      <c r="J287" s="110" t="s">
        <v>9352</v>
      </c>
      <c r="K287" s="7" t="s">
        <v>9353</v>
      </c>
      <c r="L287" s="109" t="s">
        <v>9451</v>
      </c>
    </row>
    <row r="288" spans="1:12" ht="14.85" customHeight="1" x14ac:dyDescent="0.25">
      <c r="A288" s="108" t="s">
        <v>13512</v>
      </c>
      <c r="B288" s="161" t="s">
        <v>9337</v>
      </c>
      <c r="C288" s="115" t="s">
        <v>9338</v>
      </c>
      <c r="D288" s="109" t="s">
        <v>9591</v>
      </c>
      <c r="E288" s="323" t="s">
        <v>13470</v>
      </c>
      <c r="F288" s="236" t="s">
        <v>9451</v>
      </c>
      <c r="G288" s="115" t="s">
        <v>9324</v>
      </c>
      <c r="H288" s="115" t="s">
        <v>9323</v>
      </c>
      <c r="I288" s="7" t="s">
        <v>9582</v>
      </c>
      <c r="J288" s="110" t="s">
        <v>9583</v>
      </c>
      <c r="K288" s="7" t="s">
        <v>9440</v>
      </c>
      <c r="L288" s="109" t="s">
        <v>9451</v>
      </c>
    </row>
    <row r="289" spans="1:12" ht="14.85" customHeight="1" x14ac:dyDescent="0.25">
      <c r="A289" s="108" t="s">
        <v>13512</v>
      </c>
      <c r="B289" s="161" t="s">
        <v>9337</v>
      </c>
      <c r="C289" s="115" t="s">
        <v>9338</v>
      </c>
      <c r="D289" s="109" t="s">
        <v>9591</v>
      </c>
      <c r="E289" s="323" t="s">
        <v>13470</v>
      </c>
      <c r="F289" s="236" t="s">
        <v>9451</v>
      </c>
      <c r="G289" s="115" t="s">
        <v>9324</v>
      </c>
      <c r="H289" s="115" t="s">
        <v>9323</v>
      </c>
      <c r="I289" s="7" t="s">
        <v>9584</v>
      </c>
      <c r="J289" s="110" t="s">
        <v>9585</v>
      </c>
      <c r="K289" s="7" t="s">
        <v>9440</v>
      </c>
      <c r="L289" s="109" t="s">
        <v>9451</v>
      </c>
    </row>
    <row r="290" spans="1:12" ht="14.85" customHeight="1" x14ac:dyDescent="0.25">
      <c r="A290" s="108" t="s">
        <v>13512</v>
      </c>
      <c r="B290" s="161" t="s">
        <v>9337</v>
      </c>
      <c r="C290" s="115" t="s">
        <v>9338</v>
      </c>
      <c r="D290" s="109" t="s">
        <v>9591</v>
      </c>
      <c r="E290" s="323" t="s">
        <v>13470</v>
      </c>
      <c r="F290" s="236" t="s">
        <v>9451</v>
      </c>
      <c r="G290" s="115" t="s">
        <v>9324</v>
      </c>
      <c r="H290" s="115" t="s">
        <v>9323</v>
      </c>
      <c r="I290" s="7" t="s">
        <v>9351</v>
      </c>
      <c r="J290" s="110" t="s">
        <v>9352</v>
      </c>
      <c r="K290" s="7" t="s">
        <v>9353</v>
      </c>
      <c r="L290" s="109" t="s">
        <v>9451</v>
      </c>
    </row>
    <row r="291" spans="1:12" ht="14.85" customHeight="1" x14ac:dyDescent="0.25">
      <c r="A291" s="108" t="s">
        <v>9308</v>
      </c>
      <c r="B291" s="115" t="s">
        <v>9337</v>
      </c>
      <c r="C291" s="115" t="s">
        <v>9338</v>
      </c>
      <c r="D291" s="109" t="s">
        <v>9592</v>
      </c>
      <c r="E291" s="110" t="s">
        <v>9593</v>
      </c>
      <c r="F291" s="236" t="s">
        <v>9467</v>
      </c>
      <c r="G291" s="115" t="s">
        <v>9324</v>
      </c>
      <c r="H291" s="115" t="s">
        <v>9323</v>
      </c>
      <c r="I291" s="7" t="s">
        <v>9582</v>
      </c>
      <c r="J291" s="110" t="s">
        <v>9583</v>
      </c>
      <c r="K291" s="7" t="s">
        <v>9440</v>
      </c>
      <c r="L291" s="109" t="s">
        <v>9440</v>
      </c>
    </row>
    <row r="292" spans="1:12" ht="14.85" customHeight="1" x14ac:dyDescent="0.25">
      <c r="A292" s="108" t="s">
        <v>9308</v>
      </c>
      <c r="B292" s="115" t="s">
        <v>9337</v>
      </c>
      <c r="C292" s="115" t="s">
        <v>9338</v>
      </c>
      <c r="D292" s="109" t="s">
        <v>9592</v>
      </c>
      <c r="E292" s="110" t="s">
        <v>9593</v>
      </c>
      <c r="F292" s="236" t="s">
        <v>9467</v>
      </c>
      <c r="G292" s="115" t="s">
        <v>9324</v>
      </c>
      <c r="H292" s="115" t="s">
        <v>9323</v>
      </c>
      <c r="I292" s="7" t="s">
        <v>9594</v>
      </c>
      <c r="J292" s="110" t="s">
        <v>9595</v>
      </c>
      <c r="K292" s="7" t="s">
        <v>9440</v>
      </c>
      <c r="L292" s="109" t="s">
        <v>9440</v>
      </c>
    </row>
    <row r="293" spans="1:12" ht="14.85" customHeight="1" x14ac:dyDescent="0.25">
      <c r="A293" s="108" t="s">
        <v>9308</v>
      </c>
      <c r="B293" s="115" t="s">
        <v>9337</v>
      </c>
      <c r="C293" s="115" t="s">
        <v>9338</v>
      </c>
      <c r="D293" s="109" t="s">
        <v>9592</v>
      </c>
      <c r="E293" s="110" t="s">
        <v>9593</v>
      </c>
      <c r="F293" s="236" t="s">
        <v>9467</v>
      </c>
      <c r="G293" s="115" t="s">
        <v>9324</v>
      </c>
      <c r="H293" s="115" t="s">
        <v>9323</v>
      </c>
      <c r="I293" s="7" t="s">
        <v>9351</v>
      </c>
      <c r="J293" s="110" t="s">
        <v>9352</v>
      </c>
      <c r="K293" s="7" t="s">
        <v>9353</v>
      </c>
      <c r="L293" s="109" t="s">
        <v>9467</v>
      </c>
    </row>
    <row r="294" spans="1:12" ht="14.85" customHeight="1" x14ac:dyDescent="0.25">
      <c r="A294" s="108" t="s">
        <v>9308</v>
      </c>
      <c r="B294" s="115" t="s">
        <v>9337</v>
      </c>
      <c r="C294" s="115" t="s">
        <v>9338</v>
      </c>
      <c r="D294" s="109" t="s">
        <v>9592</v>
      </c>
      <c r="E294" s="110" t="s">
        <v>9593</v>
      </c>
      <c r="F294" s="236" t="s">
        <v>9467</v>
      </c>
      <c r="G294" s="115" t="s">
        <v>9324</v>
      </c>
      <c r="H294" s="115" t="s">
        <v>9323</v>
      </c>
      <c r="I294" s="7" t="s">
        <v>9586</v>
      </c>
      <c r="J294" s="110" t="s">
        <v>9587</v>
      </c>
      <c r="K294" s="7" t="s">
        <v>9443</v>
      </c>
      <c r="L294" s="109" t="s">
        <v>9443</v>
      </c>
    </row>
    <row r="295" spans="1:12" ht="14.85" customHeight="1" x14ac:dyDescent="0.25">
      <c r="A295" s="108" t="s">
        <v>9308</v>
      </c>
      <c r="B295" s="115" t="s">
        <v>9337</v>
      </c>
      <c r="C295" s="115" t="s">
        <v>9338</v>
      </c>
      <c r="D295" s="109" t="s">
        <v>9592</v>
      </c>
      <c r="E295" s="110" t="s">
        <v>9593</v>
      </c>
      <c r="F295" s="236" t="s">
        <v>9467</v>
      </c>
      <c r="G295" s="115" t="s">
        <v>9324</v>
      </c>
      <c r="H295" s="115" t="s">
        <v>9323</v>
      </c>
      <c r="I295" s="7" t="s">
        <v>9596</v>
      </c>
      <c r="J295" s="110" t="s">
        <v>9597</v>
      </c>
      <c r="K295" s="7" t="s">
        <v>9443</v>
      </c>
      <c r="L295" s="109" t="s">
        <v>9443</v>
      </c>
    </row>
    <row r="296" spans="1:12" ht="14.85" customHeight="1" x14ac:dyDescent="0.25">
      <c r="A296" s="108" t="s">
        <v>13512</v>
      </c>
      <c r="B296" s="161" t="s">
        <v>9337</v>
      </c>
      <c r="C296" s="115" t="s">
        <v>9338</v>
      </c>
      <c r="D296" s="109" t="s">
        <v>9598</v>
      </c>
      <c r="E296" s="323" t="s">
        <v>13471</v>
      </c>
      <c r="F296" s="236" t="s">
        <v>9451</v>
      </c>
      <c r="G296" s="115" t="s">
        <v>9324</v>
      </c>
      <c r="H296" s="115" t="s">
        <v>9323</v>
      </c>
      <c r="I296" s="7" t="s">
        <v>9582</v>
      </c>
      <c r="J296" s="110" t="s">
        <v>9583</v>
      </c>
      <c r="K296" s="7" t="s">
        <v>9440</v>
      </c>
      <c r="L296" s="109" t="s">
        <v>9440</v>
      </c>
    </row>
    <row r="297" spans="1:12" ht="14.85" customHeight="1" x14ac:dyDescent="0.25">
      <c r="A297" s="108" t="s">
        <v>13512</v>
      </c>
      <c r="B297" s="161" t="s">
        <v>9337</v>
      </c>
      <c r="C297" s="115" t="s">
        <v>9338</v>
      </c>
      <c r="D297" s="109" t="s">
        <v>9598</v>
      </c>
      <c r="E297" s="323" t="s">
        <v>13471</v>
      </c>
      <c r="F297" s="236" t="s">
        <v>9451</v>
      </c>
      <c r="G297" s="115" t="s">
        <v>9324</v>
      </c>
      <c r="H297" s="115" t="s">
        <v>9323</v>
      </c>
      <c r="I297" s="7" t="s">
        <v>9594</v>
      </c>
      <c r="J297" s="110" t="s">
        <v>9595</v>
      </c>
      <c r="K297" s="7" t="s">
        <v>9440</v>
      </c>
      <c r="L297" s="109" t="s">
        <v>9440</v>
      </c>
    </row>
    <row r="298" spans="1:12" ht="14.85" customHeight="1" x14ac:dyDescent="0.25">
      <c r="A298" s="108" t="s">
        <v>13512</v>
      </c>
      <c r="B298" s="161" t="s">
        <v>9337</v>
      </c>
      <c r="C298" s="115" t="s">
        <v>9338</v>
      </c>
      <c r="D298" s="109" t="s">
        <v>9598</v>
      </c>
      <c r="E298" s="323" t="s">
        <v>13471</v>
      </c>
      <c r="F298" s="236" t="s">
        <v>9451</v>
      </c>
      <c r="G298" s="115" t="s">
        <v>9324</v>
      </c>
      <c r="H298" s="115" t="s">
        <v>9323</v>
      </c>
      <c r="I298" s="7" t="s">
        <v>9351</v>
      </c>
      <c r="J298" s="110" t="s">
        <v>9352</v>
      </c>
      <c r="K298" s="7" t="s">
        <v>9353</v>
      </c>
      <c r="L298" s="109" t="s">
        <v>9451</v>
      </c>
    </row>
    <row r="299" spans="1:12" ht="14.85" customHeight="1" x14ac:dyDescent="0.25">
      <c r="A299" s="108" t="s">
        <v>13512</v>
      </c>
      <c r="B299" s="161" t="s">
        <v>9337</v>
      </c>
      <c r="C299" s="115" t="s">
        <v>9338</v>
      </c>
      <c r="D299" s="109" t="s">
        <v>9599</v>
      </c>
      <c r="E299" s="323" t="s">
        <v>13472</v>
      </c>
      <c r="F299" s="236" t="s">
        <v>9451</v>
      </c>
      <c r="G299" s="115" t="s">
        <v>9324</v>
      </c>
      <c r="H299" s="115" t="s">
        <v>9323</v>
      </c>
      <c r="I299" s="7" t="s">
        <v>9582</v>
      </c>
      <c r="J299" s="110" t="s">
        <v>9583</v>
      </c>
      <c r="K299" s="7" t="s">
        <v>9440</v>
      </c>
      <c r="L299" s="109" t="s">
        <v>9451</v>
      </c>
    </row>
    <row r="300" spans="1:12" ht="14.85" customHeight="1" x14ac:dyDescent="0.25">
      <c r="A300" s="108" t="s">
        <v>13512</v>
      </c>
      <c r="B300" s="161" t="s">
        <v>9337</v>
      </c>
      <c r="C300" s="115" t="s">
        <v>9338</v>
      </c>
      <c r="D300" s="109" t="s">
        <v>9599</v>
      </c>
      <c r="E300" s="323" t="s">
        <v>13472</v>
      </c>
      <c r="F300" s="236" t="s">
        <v>9451</v>
      </c>
      <c r="G300" s="115" t="s">
        <v>9324</v>
      </c>
      <c r="H300" s="115" t="s">
        <v>9323</v>
      </c>
      <c r="I300" s="7" t="s">
        <v>9594</v>
      </c>
      <c r="J300" s="110" t="s">
        <v>9595</v>
      </c>
      <c r="K300" s="7" t="s">
        <v>9440</v>
      </c>
      <c r="L300" s="109" t="s">
        <v>9451</v>
      </c>
    </row>
    <row r="301" spans="1:12" ht="14.85" customHeight="1" x14ac:dyDescent="0.25">
      <c r="A301" s="108" t="s">
        <v>13512</v>
      </c>
      <c r="B301" s="161" t="s">
        <v>9337</v>
      </c>
      <c r="C301" s="115" t="s">
        <v>9338</v>
      </c>
      <c r="D301" s="109" t="s">
        <v>9599</v>
      </c>
      <c r="E301" s="323" t="s">
        <v>13472</v>
      </c>
      <c r="F301" s="236" t="s">
        <v>9451</v>
      </c>
      <c r="G301" s="115" t="s">
        <v>9324</v>
      </c>
      <c r="H301" s="115" t="s">
        <v>9323</v>
      </c>
      <c r="I301" s="7" t="s">
        <v>9351</v>
      </c>
      <c r="J301" s="110" t="s">
        <v>9352</v>
      </c>
      <c r="K301" s="7" t="s">
        <v>9353</v>
      </c>
      <c r="L301" s="109" t="s">
        <v>9451</v>
      </c>
    </row>
    <row r="302" spans="1:12" ht="14.85" customHeight="1" x14ac:dyDescent="0.25">
      <c r="A302" s="108" t="s">
        <v>9308</v>
      </c>
      <c r="B302" s="115" t="s">
        <v>9337</v>
      </c>
      <c r="C302" s="115" t="s">
        <v>9338</v>
      </c>
      <c r="D302" s="109" t="s">
        <v>9600</v>
      </c>
      <c r="E302" s="110" t="s">
        <v>9601</v>
      </c>
      <c r="F302" s="236" t="s">
        <v>9467</v>
      </c>
      <c r="G302" s="115" t="s">
        <v>9324</v>
      </c>
      <c r="H302" s="115" t="s">
        <v>9323</v>
      </c>
      <c r="I302" s="7" t="s">
        <v>9582</v>
      </c>
      <c r="J302" s="110" t="s">
        <v>9583</v>
      </c>
      <c r="K302" s="7" t="s">
        <v>9440</v>
      </c>
      <c r="L302" s="109" t="s">
        <v>9440</v>
      </c>
    </row>
    <row r="303" spans="1:12" ht="14.85" customHeight="1" x14ac:dyDescent="0.25">
      <c r="A303" s="108" t="s">
        <v>9308</v>
      </c>
      <c r="B303" s="115" t="s">
        <v>9337</v>
      </c>
      <c r="C303" s="115" t="s">
        <v>9338</v>
      </c>
      <c r="D303" s="109" t="s">
        <v>9600</v>
      </c>
      <c r="E303" s="110" t="s">
        <v>9601</v>
      </c>
      <c r="F303" s="236" t="s">
        <v>9467</v>
      </c>
      <c r="G303" s="115" t="s">
        <v>9324</v>
      </c>
      <c r="H303" s="115" t="s">
        <v>9323</v>
      </c>
      <c r="I303" s="7" t="s">
        <v>9594</v>
      </c>
      <c r="J303" s="110" t="s">
        <v>9595</v>
      </c>
      <c r="K303" s="7" t="s">
        <v>9440</v>
      </c>
      <c r="L303" s="109" t="s">
        <v>9440</v>
      </c>
    </row>
    <row r="304" spans="1:12" ht="14.85" customHeight="1" x14ac:dyDescent="0.25">
      <c r="A304" s="108" t="s">
        <v>9308</v>
      </c>
      <c r="B304" s="115" t="s">
        <v>9337</v>
      </c>
      <c r="C304" s="115" t="s">
        <v>9338</v>
      </c>
      <c r="D304" s="109" t="s">
        <v>9600</v>
      </c>
      <c r="E304" s="110" t="s">
        <v>9601</v>
      </c>
      <c r="F304" s="236" t="s">
        <v>9467</v>
      </c>
      <c r="G304" s="115" t="s">
        <v>9324</v>
      </c>
      <c r="H304" s="115" t="s">
        <v>9323</v>
      </c>
      <c r="I304" s="7" t="s">
        <v>9351</v>
      </c>
      <c r="J304" s="110" t="s">
        <v>9352</v>
      </c>
      <c r="K304" s="7" t="s">
        <v>9353</v>
      </c>
      <c r="L304" s="109" t="s">
        <v>9467</v>
      </c>
    </row>
    <row r="305" spans="1:12" ht="14.85" customHeight="1" x14ac:dyDescent="0.25">
      <c r="A305" s="108" t="s">
        <v>9308</v>
      </c>
      <c r="B305" s="115" t="s">
        <v>9337</v>
      </c>
      <c r="C305" s="115" t="s">
        <v>9338</v>
      </c>
      <c r="D305" s="109" t="s">
        <v>9600</v>
      </c>
      <c r="E305" s="110" t="s">
        <v>9601</v>
      </c>
      <c r="F305" s="236" t="s">
        <v>9467</v>
      </c>
      <c r="G305" s="115" t="s">
        <v>9324</v>
      </c>
      <c r="H305" s="115" t="s">
        <v>9323</v>
      </c>
      <c r="I305" s="7" t="s">
        <v>9586</v>
      </c>
      <c r="J305" s="110" t="s">
        <v>9587</v>
      </c>
      <c r="K305" s="7" t="s">
        <v>9443</v>
      </c>
      <c r="L305" s="109" t="s">
        <v>9443</v>
      </c>
    </row>
    <row r="306" spans="1:12" ht="14.85" customHeight="1" x14ac:dyDescent="0.25">
      <c r="A306" s="108" t="s">
        <v>9308</v>
      </c>
      <c r="B306" s="115" t="s">
        <v>9337</v>
      </c>
      <c r="C306" s="115" t="s">
        <v>9338</v>
      </c>
      <c r="D306" s="109" t="s">
        <v>9600</v>
      </c>
      <c r="E306" s="110" t="s">
        <v>9601</v>
      </c>
      <c r="F306" s="236" t="s">
        <v>9467</v>
      </c>
      <c r="G306" s="115" t="s">
        <v>9324</v>
      </c>
      <c r="H306" s="115" t="s">
        <v>9323</v>
      </c>
      <c r="I306" s="7" t="s">
        <v>9596</v>
      </c>
      <c r="J306" s="110" t="s">
        <v>9597</v>
      </c>
      <c r="K306" s="7" t="s">
        <v>9443</v>
      </c>
      <c r="L306" s="109" t="s">
        <v>9443</v>
      </c>
    </row>
    <row r="307" spans="1:12" ht="14.85" customHeight="1" x14ac:dyDescent="0.25">
      <c r="A307" s="108" t="s">
        <v>13512</v>
      </c>
      <c r="B307" s="161" t="s">
        <v>9337</v>
      </c>
      <c r="C307" s="115" t="s">
        <v>9338</v>
      </c>
      <c r="D307" s="109" t="s">
        <v>9602</v>
      </c>
      <c r="E307" s="323" t="s">
        <v>13496</v>
      </c>
      <c r="F307" s="236" t="s">
        <v>9451</v>
      </c>
      <c r="G307" s="115" t="s">
        <v>9324</v>
      </c>
      <c r="H307" s="115" t="s">
        <v>9323</v>
      </c>
      <c r="I307" s="7" t="s">
        <v>9582</v>
      </c>
      <c r="J307" s="110" t="s">
        <v>9583</v>
      </c>
      <c r="K307" s="7" t="s">
        <v>9440</v>
      </c>
      <c r="L307" s="109" t="s">
        <v>9440</v>
      </c>
    </row>
    <row r="308" spans="1:12" ht="14.85" customHeight="1" x14ac:dyDescent="0.25">
      <c r="A308" s="108" t="s">
        <v>13512</v>
      </c>
      <c r="B308" s="161" t="s">
        <v>9337</v>
      </c>
      <c r="C308" s="115" t="s">
        <v>9338</v>
      </c>
      <c r="D308" s="109" t="s">
        <v>9602</v>
      </c>
      <c r="E308" s="323" t="s">
        <v>13496</v>
      </c>
      <c r="F308" s="236" t="s">
        <v>9451</v>
      </c>
      <c r="G308" s="115" t="s">
        <v>9324</v>
      </c>
      <c r="H308" s="115" t="s">
        <v>9323</v>
      </c>
      <c r="I308" s="7" t="s">
        <v>9594</v>
      </c>
      <c r="J308" s="110" t="s">
        <v>9595</v>
      </c>
      <c r="K308" s="7" t="s">
        <v>9440</v>
      </c>
      <c r="L308" s="109" t="s">
        <v>9440</v>
      </c>
    </row>
    <row r="309" spans="1:12" ht="14.85" customHeight="1" x14ac:dyDescent="0.25">
      <c r="A309" s="108" t="s">
        <v>13512</v>
      </c>
      <c r="B309" s="161" t="s">
        <v>9337</v>
      </c>
      <c r="C309" s="115" t="s">
        <v>9338</v>
      </c>
      <c r="D309" s="109" t="s">
        <v>9602</v>
      </c>
      <c r="E309" s="323" t="s">
        <v>13496</v>
      </c>
      <c r="F309" s="236" t="s">
        <v>9451</v>
      </c>
      <c r="G309" s="115" t="s">
        <v>9324</v>
      </c>
      <c r="H309" s="115" t="s">
        <v>9323</v>
      </c>
      <c r="I309" s="7" t="s">
        <v>9351</v>
      </c>
      <c r="J309" s="110" t="s">
        <v>9352</v>
      </c>
      <c r="K309" s="7" t="s">
        <v>9353</v>
      </c>
      <c r="L309" s="109" t="s">
        <v>9451</v>
      </c>
    </row>
    <row r="310" spans="1:12" ht="14.85" customHeight="1" x14ac:dyDescent="0.25">
      <c r="A310" s="108" t="s">
        <v>9308</v>
      </c>
      <c r="B310" s="115" t="s">
        <v>9337</v>
      </c>
      <c r="C310" s="115" t="s">
        <v>9338</v>
      </c>
      <c r="D310" s="109" t="s">
        <v>9603</v>
      </c>
      <c r="E310" s="110" t="s">
        <v>9604</v>
      </c>
      <c r="F310" s="236" t="s">
        <v>9467</v>
      </c>
      <c r="G310" s="115" t="s">
        <v>9324</v>
      </c>
      <c r="H310" s="115" t="s">
        <v>9323</v>
      </c>
      <c r="I310" s="7" t="s">
        <v>9582</v>
      </c>
      <c r="J310" s="110" t="s">
        <v>9583</v>
      </c>
      <c r="K310" s="7" t="s">
        <v>9440</v>
      </c>
      <c r="L310" s="109" t="s">
        <v>9440</v>
      </c>
    </row>
    <row r="311" spans="1:12" ht="14.85" customHeight="1" x14ac:dyDescent="0.25">
      <c r="A311" s="108" t="s">
        <v>9308</v>
      </c>
      <c r="B311" s="115" t="s">
        <v>9337</v>
      </c>
      <c r="C311" s="115" t="s">
        <v>9338</v>
      </c>
      <c r="D311" s="109" t="s">
        <v>9603</v>
      </c>
      <c r="E311" s="110" t="s">
        <v>9604</v>
      </c>
      <c r="F311" s="236" t="s">
        <v>9467</v>
      </c>
      <c r="G311" s="115" t="s">
        <v>9324</v>
      </c>
      <c r="H311" s="115" t="s">
        <v>9323</v>
      </c>
      <c r="I311" s="7" t="s">
        <v>9605</v>
      </c>
      <c r="J311" s="110" t="s">
        <v>9606</v>
      </c>
      <c r="K311" s="7" t="s">
        <v>9440</v>
      </c>
      <c r="L311" s="109" t="s">
        <v>9440</v>
      </c>
    </row>
    <row r="312" spans="1:12" ht="14.85" customHeight="1" x14ac:dyDescent="0.25">
      <c r="A312" s="108" t="s">
        <v>9308</v>
      </c>
      <c r="B312" s="115" t="s">
        <v>9337</v>
      </c>
      <c r="C312" s="115" t="s">
        <v>9338</v>
      </c>
      <c r="D312" s="109" t="s">
        <v>9603</v>
      </c>
      <c r="E312" s="110" t="s">
        <v>9604</v>
      </c>
      <c r="F312" s="236" t="s">
        <v>9467</v>
      </c>
      <c r="G312" s="115" t="s">
        <v>9324</v>
      </c>
      <c r="H312" s="115" t="s">
        <v>9323</v>
      </c>
      <c r="I312" s="7" t="s">
        <v>9351</v>
      </c>
      <c r="J312" s="110" t="s">
        <v>9352</v>
      </c>
      <c r="K312" s="7" t="s">
        <v>9353</v>
      </c>
      <c r="L312" s="109" t="s">
        <v>9467</v>
      </c>
    </row>
    <row r="313" spans="1:12" ht="14.85" customHeight="1" x14ac:dyDescent="0.25">
      <c r="A313" s="108" t="s">
        <v>9308</v>
      </c>
      <c r="B313" s="115" t="s">
        <v>9337</v>
      </c>
      <c r="C313" s="115" t="s">
        <v>9338</v>
      </c>
      <c r="D313" s="109" t="s">
        <v>9603</v>
      </c>
      <c r="E313" s="110" t="s">
        <v>9604</v>
      </c>
      <c r="F313" s="236" t="s">
        <v>9467</v>
      </c>
      <c r="G313" s="115" t="s">
        <v>9324</v>
      </c>
      <c r="H313" s="115" t="s">
        <v>9323</v>
      </c>
      <c r="I313" s="7" t="s">
        <v>9586</v>
      </c>
      <c r="J313" s="110" t="s">
        <v>9587</v>
      </c>
      <c r="K313" s="7" t="s">
        <v>9443</v>
      </c>
      <c r="L313" s="109" t="s">
        <v>9443</v>
      </c>
    </row>
    <row r="314" spans="1:12" ht="14.85" customHeight="1" x14ac:dyDescent="0.25">
      <c r="A314" s="108" t="s">
        <v>9308</v>
      </c>
      <c r="B314" s="115" t="s">
        <v>9337</v>
      </c>
      <c r="C314" s="115" t="s">
        <v>9338</v>
      </c>
      <c r="D314" s="109" t="s">
        <v>9603</v>
      </c>
      <c r="E314" s="110" t="s">
        <v>9604</v>
      </c>
      <c r="F314" s="236" t="s">
        <v>9467</v>
      </c>
      <c r="G314" s="115" t="s">
        <v>9324</v>
      </c>
      <c r="H314" s="115" t="s">
        <v>9323</v>
      </c>
      <c r="I314" s="7" t="s">
        <v>9607</v>
      </c>
      <c r="J314" s="110" t="s">
        <v>9608</v>
      </c>
      <c r="K314" s="7" t="s">
        <v>9443</v>
      </c>
      <c r="L314" s="109" t="s">
        <v>9443</v>
      </c>
    </row>
    <row r="315" spans="1:12" ht="14.85" customHeight="1" x14ac:dyDescent="0.25">
      <c r="A315" s="108" t="s">
        <v>13512</v>
      </c>
      <c r="B315" s="161" t="s">
        <v>9337</v>
      </c>
      <c r="C315" s="115" t="s">
        <v>9338</v>
      </c>
      <c r="D315" s="109" t="s">
        <v>9609</v>
      </c>
      <c r="E315" s="323" t="s">
        <v>13473</v>
      </c>
      <c r="F315" s="236" t="s">
        <v>9451</v>
      </c>
      <c r="G315" s="115" t="s">
        <v>9324</v>
      </c>
      <c r="H315" s="115" t="s">
        <v>9323</v>
      </c>
      <c r="I315" s="7" t="s">
        <v>9582</v>
      </c>
      <c r="J315" s="110" t="s">
        <v>9583</v>
      </c>
      <c r="K315" s="7" t="s">
        <v>9440</v>
      </c>
      <c r="L315" s="109" t="s">
        <v>9451</v>
      </c>
    </row>
    <row r="316" spans="1:12" ht="14.85" customHeight="1" x14ac:dyDescent="0.25">
      <c r="A316" s="108" t="s">
        <v>13512</v>
      </c>
      <c r="B316" s="161" t="s">
        <v>9337</v>
      </c>
      <c r="C316" s="115" t="s">
        <v>9338</v>
      </c>
      <c r="D316" s="109" t="s">
        <v>9609</v>
      </c>
      <c r="E316" s="323" t="s">
        <v>13473</v>
      </c>
      <c r="F316" s="236" t="s">
        <v>9451</v>
      </c>
      <c r="G316" s="115" t="s">
        <v>9324</v>
      </c>
      <c r="H316" s="115" t="s">
        <v>9323</v>
      </c>
      <c r="I316" s="7" t="s">
        <v>9605</v>
      </c>
      <c r="J316" s="110" t="s">
        <v>9606</v>
      </c>
      <c r="K316" s="7" t="s">
        <v>9440</v>
      </c>
      <c r="L316" s="109" t="s">
        <v>9451</v>
      </c>
    </row>
    <row r="317" spans="1:12" ht="14.85" customHeight="1" x14ac:dyDescent="0.25">
      <c r="A317" s="108" t="s">
        <v>13512</v>
      </c>
      <c r="B317" s="161" t="s">
        <v>9337</v>
      </c>
      <c r="C317" s="115" t="s">
        <v>9338</v>
      </c>
      <c r="D317" s="109" t="s">
        <v>9609</v>
      </c>
      <c r="E317" s="323" t="s">
        <v>13473</v>
      </c>
      <c r="F317" s="236" t="s">
        <v>9451</v>
      </c>
      <c r="G317" s="115" t="s">
        <v>9324</v>
      </c>
      <c r="H317" s="115" t="s">
        <v>9323</v>
      </c>
      <c r="I317" s="7" t="s">
        <v>9351</v>
      </c>
      <c r="J317" s="110" t="s">
        <v>9352</v>
      </c>
      <c r="K317" s="7" t="s">
        <v>9353</v>
      </c>
      <c r="L317" s="109" t="s">
        <v>9451</v>
      </c>
    </row>
    <row r="318" spans="1:12" ht="14.85" customHeight="1" x14ac:dyDescent="0.25">
      <c r="A318" s="108" t="s">
        <v>13512</v>
      </c>
      <c r="B318" s="161" t="s">
        <v>9337</v>
      </c>
      <c r="C318" s="115" t="s">
        <v>9338</v>
      </c>
      <c r="D318" s="109" t="s">
        <v>9610</v>
      </c>
      <c r="E318" s="323" t="s">
        <v>13474</v>
      </c>
      <c r="F318" s="236" t="s">
        <v>9451</v>
      </c>
      <c r="G318" s="115" t="s">
        <v>9324</v>
      </c>
      <c r="H318" s="115" t="s">
        <v>9323</v>
      </c>
      <c r="I318" s="7" t="s">
        <v>9582</v>
      </c>
      <c r="J318" s="110" t="s">
        <v>9583</v>
      </c>
      <c r="K318" s="7" t="s">
        <v>9440</v>
      </c>
      <c r="L318" s="109" t="s">
        <v>9451</v>
      </c>
    </row>
    <row r="319" spans="1:12" ht="14.85" customHeight="1" x14ac:dyDescent="0.25">
      <c r="A319" s="108" t="s">
        <v>13512</v>
      </c>
      <c r="B319" s="161" t="s">
        <v>9337</v>
      </c>
      <c r="C319" s="115" t="s">
        <v>9338</v>
      </c>
      <c r="D319" s="109" t="s">
        <v>9610</v>
      </c>
      <c r="E319" s="323" t="s">
        <v>13474</v>
      </c>
      <c r="F319" s="236" t="s">
        <v>9451</v>
      </c>
      <c r="G319" s="115" t="s">
        <v>9324</v>
      </c>
      <c r="H319" s="115" t="s">
        <v>9323</v>
      </c>
      <c r="I319" s="7" t="s">
        <v>9605</v>
      </c>
      <c r="J319" s="110" t="s">
        <v>9606</v>
      </c>
      <c r="K319" s="7" t="s">
        <v>9440</v>
      </c>
      <c r="L319" s="109" t="s">
        <v>9451</v>
      </c>
    </row>
    <row r="320" spans="1:12" ht="14.85" customHeight="1" x14ac:dyDescent="0.25">
      <c r="A320" s="108" t="s">
        <v>13512</v>
      </c>
      <c r="B320" s="161" t="s">
        <v>9337</v>
      </c>
      <c r="C320" s="115" t="s">
        <v>9338</v>
      </c>
      <c r="D320" s="109" t="s">
        <v>9610</v>
      </c>
      <c r="E320" s="323" t="s">
        <v>13474</v>
      </c>
      <c r="F320" s="236" t="s">
        <v>9451</v>
      </c>
      <c r="G320" s="115" t="s">
        <v>9324</v>
      </c>
      <c r="H320" s="115" t="s">
        <v>9323</v>
      </c>
      <c r="I320" s="7" t="s">
        <v>9351</v>
      </c>
      <c r="J320" s="110" t="s">
        <v>9352</v>
      </c>
      <c r="K320" s="7" t="s">
        <v>9353</v>
      </c>
      <c r="L320" s="109" t="s">
        <v>9451</v>
      </c>
    </row>
    <row r="321" spans="1:12" ht="14.85" customHeight="1" x14ac:dyDescent="0.25">
      <c r="A321" s="108" t="s">
        <v>13512</v>
      </c>
      <c r="B321" s="161" t="s">
        <v>9337</v>
      </c>
      <c r="C321" s="115" t="s">
        <v>9338</v>
      </c>
      <c r="D321" s="109" t="s">
        <v>9611</v>
      </c>
      <c r="E321" s="323" t="s">
        <v>13475</v>
      </c>
      <c r="F321" s="236" t="s">
        <v>9467</v>
      </c>
      <c r="G321" s="115" t="s">
        <v>9324</v>
      </c>
      <c r="H321" s="115" t="s">
        <v>9323</v>
      </c>
      <c r="I321" s="7"/>
      <c r="J321" s="110" t="s">
        <v>9612</v>
      </c>
      <c r="K321" s="7"/>
      <c r="L321" s="109" t="s">
        <v>9467</v>
      </c>
    </row>
    <row r="322" spans="1:12" ht="14.85" customHeight="1" x14ac:dyDescent="0.25">
      <c r="A322" s="108" t="s">
        <v>13512</v>
      </c>
      <c r="B322" s="161" t="s">
        <v>9337</v>
      </c>
      <c r="C322" s="115" t="s">
        <v>9338</v>
      </c>
      <c r="D322" s="109" t="s">
        <v>9611</v>
      </c>
      <c r="E322" s="323" t="s">
        <v>13475</v>
      </c>
      <c r="F322" s="236" t="s">
        <v>9467</v>
      </c>
      <c r="G322" s="115" t="s">
        <v>9324</v>
      </c>
      <c r="H322" s="115" t="s">
        <v>9323</v>
      </c>
      <c r="I322" s="7" t="s">
        <v>9351</v>
      </c>
      <c r="J322" s="110" t="s">
        <v>9352</v>
      </c>
      <c r="K322" s="7" t="s">
        <v>9613</v>
      </c>
      <c r="L322" s="109" t="s">
        <v>9467</v>
      </c>
    </row>
    <row r="323" spans="1:12" ht="14.85" customHeight="1" x14ac:dyDescent="0.25">
      <c r="A323" s="108" t="s">
        <v>13512</v>
      </c>
      <c r="B323" s="161" t="s">
        <v>9337</v>
      </c>
      <c r="C323" s="115" t="s">
        <v>9338</v>
      </c>
      <c r="D323" s="109" t="s">
        <v>9614</v>
      </c>
      <c r="E323" s="323" t="s">
        <v>13476</v>
      </c>
      <c r="F323" s="236" t="s">
        <v>9467</v>
      </c>
      <c r="G323" s="115" t="s">
        <v>9324</v>
      </c>
      <c r="H323" s="115" t="s">
        <v>9323</v>
      </c>
      <c r="I323" s="7" t="s">
        <v>9582</v>
      </c>
      <c r="J323" s="110" t="s">
        <v>9583</v>
      </c>
      <c r="K323" s="7" t="s">
        <v>9440</v>
      </c>
      <c r="L323" s="109" t="s">
        <v>9440</v>
      </c>
    </row>
    <row r="324" spans="1:12" ht="14.85" customHeight="1" x14ac:dyDescent="0.25">
      <c r="A324" s="108" t="s">
        <v>13512</v>
      </c>
      <c r="B324" s="161" t="s">
        <v>9337</v>
      </c>
      <c r="C324" s="115" t="s">
        <v>9338</v>
      </c>
      <c r="D324" s="109" t="s">
        <v>9614</v>
      </c>
      <c r="E324" s="323" t="s">
        <v>13476</v>
      </c>
      <c r="F324" s="236" t="s">
        <v>9467</v>
      </c>
      <c r="G324" s="115" t="s">
        <v>9324</v>
      </c>
      <c r="H324" s="115" t="s">
        <v>9323</v>
      </c>
      <c r="I324" s="7" t="s">
        <v>9615</v>
      </c>
      <c r="J324" s="110" t="s">
        <v>9616</v>
      </c>
      <c r="K324" s="7" t="s">
        <v>9440</v>
      </c>
      <c r="L324" s="109" t="s">
        <v>9440</v>
      </c>
    </row>
    <row r="325" spans="1:12" ht="14.85" customHeight="1" x14ac:dyDescent="0.25">
      <c r="A325" s="108" t="s">
        <v>13512</v>
      </c>
      <c r="B325" s="161" t="s">
        <v>9337</v>
      </c>
      <c r="C325" s="115" t="s">
        <v>9338</v>
      </c>
      <c r="D325" s="109" t="s">
        <v>9614</v>
      </c>
      <c r="E325" s="323" t="s">
        <v>13476</v>
      </c>
      <c r="F325" s="236" t="s">
        <v>9467</v>
      </c>
      <c r="G325" s="115" t="s">
        <v>9324</v>
      </c>
      <c r="H325" s="115" t="s">
        <v>9323</v>
      </c>
      <c r="I325" s="7" t="s">
        <v>9351</v>
      </c>
      <c r="J325" s="110" t="s">
        <v>9352</v>
      </c>
      <c r="K325" s="7" t="s">
        <v>9353</v>
      </c>
      <c r="L325" s="109" t="s">
        <v>9467</v>
      </c>
    </row>
    <row r="326" spans="1:12" ht="14.85" customHeight="1" x14ac:dyDescent="0.25">
      <c r="A326" s="108" t="s">
        <v>13512</v>
      </c>
      <c r="B326" s="161" t="s">
        <v>9337</v>
      </c>
      <c r="C326" s="115" t="s">
        <v>9338</v>
      </c>
      <c r="D326" s="109" t="s">
        <v>9614</v>
      </c>
      <c r="E326" s="323" t="s">
        <v>13476</v>
      </c>
      <c r="F326" s="236" t="s">
        <v>9467</v>
      </c>
      <c r="G326" s="115" t="s">
        <v>9324</v>
      </c>
      <c r="H326" s="115" t="s">
        <v>9323</v>
      </c>
      <c r="I326" s="7" t="s">
        <v>9586</v>
      </c>
      <c r="J326" s="110" t="s">
        <v>9587</v>
      </c>
      <c r="K326" s="7" t="s">
        <v>9443</v>
      </c>
      <c r="L326" s="109" t="s">
        <v>9443</v>
      </c>
    </row>
    <row r="327" spans="1:12" ht="14.85" customHeight="1" x14ac:dyDescent="0.25">
      <c r="A327" s="108" t="s">
        <v>13512</v>
      </c>
      <c r="B327" s="161" t="s">
        <v>9337</v>
      </c>
      <c r="C327" s="115" t="s">
        <v>9338</v>
      </c>
      <c r="D327" s="109" t="s">
        <v>9614</v>
      </c>
      <c r="E327" s="323" t="s">
        <v>13476</v>
      </c>
      <c r="F327" s="236" t="s">
        <v>9467</v>
      </c>
      <c r="G327" s="115" t="s">
        <v>9324</v>
      </c>
      <c r="H327" s="115" t="s">
        <v>9323</v>
      </c>
      <c r="I327" s="7" t="s">
        <v>9617</v>
      </c>
      <c r="J327" s="110" t="s">
        <v>9618</v>
      </c>
      <c r="K327" s="7" t="s">
        <v>9443</v>
      </c>
      <c r="L327" s="109" t="s">
        <v>9443</v>
      </c>
    </row>
    <row r="328" spans="1:12" ht="14.85" customHeight="1" x14ac:dyDescent="0.25">
      <c r="A328" s="108" t="s">
        <v>9308</v>
      </c>
      <c r="B328" s="115" t="s">
        <v>9337</v>
      </c>
      <c r="C328" s="115" t="s">
        <v>9338</v>
      </c>
      <c r="D328" s="109" t="s">
        <v>9619</v>
      </c>
      <c r="E328" s="110" t="s">
        <v>9620</v>
      </c>
      <c r="F328" s="236" t="s">
        <v>9467</v>
      </c>
      <c r="G328" s="115" t="s">
        <v>9324</v>
      </c>
      <c r="H328" s="115" t="s">
        <v>9323</v>
      </c>
      <c r="I328" s="7" t="s">
        <v>9582</v>
      </c>
      <c r="J328" s="110" t="s">
        <v>9583</v>
      </c>
      <c r="K328" s="7" t="s">
        <v>9440</v>
      </c>
      <c r="L328" s="109" t="s">
        <v>9440</v>
      </c>
    </row>
    <row r="329" spans="1:12" ht="14.85" customHeight="1" x14ac:dyDescent="0.25">
      <c r="A329" s="108" t="s">
        <v>9308</v>
      </c>
      <c r="B329" s="115" t="s">
        <v>9337</v>
      </c>
      <c r="C329" s="115" t="s">
        <v>9338</v>
      </c>
      <c r="D329" s="109" t="s">
        <v>9619</v>
      </c>
      <c r="E329" s="110" t="s">
        <v>9620</v>
      </c>
      <c r="F329" s="236" t="s">
        <v>9467</v>
      </c>
      <c r="G329" s="115" t="s">
        <v>9324</v>
      </c>
      <c r="H329" s="115" t="s">
        <v>9323</v>
      </c>
      <c r="I329" s="7" t="s">
        <v>9615</v>
      </c>
      <c r="J329" s="110" t="s">
        <v>9616</v>
      </c>
      <c r="K329" s="7" t="s">
        <v>9440</v>
      </c>
      <c r="L329" s="109" t="s">
        <v>9440</v>
      </c>
    </row>
    <row r="330" spans="1:12" ht="14.85" customHeight="1" x14ac:dyDescent="0.25">
      <c r="A330" s="108" t="s">
        <v>9308</v>
      </c>
      <c r="B330" s="115" t="s">
        <v>9337</v>
      </c>
      <c r="C330" s="115" t="s">
        <v>9338</v>
      </c>
      <c r="D330" s="109" t="s">
        <v>9619</v>
      </c>
      <c r="E330" s="110" t="s">
        <v>9620</v>
      </c>
      <c r="F330" s="236" t="s">
        <v>9467</v>
      </c>
      <c r="G330" s="115" t="s">
        <v>9324</v>
      </c>
      <c r="H330" s="115" t="s">
        <v>9323</v>
      </c>
      <c r="I330" s="7" t="s">
        <v>9351</v>
      </c>
      <c r="J330" s="110" t="s">
        <v>9352</v>
      </c>
      <c r="K330" s="7" t="s">
        <v>9353</v>
      </c>
      <c r="L330" s="109" t="s">
        <v>9467</v>
      </c>
    </row>
    <row r="331" spans="1:12" ht="14.85" customHeight="1" x14ac:dyDescent="0.25">
      <c r="A331" s="108" t="s">
        <v>9308</v>
      </c>
      <c r="B331" s="115" t="s">
        <v>9337</v>
      </c>
      <c r="C331" s="115" t="s">
        <v>9338</v>
      </c>
      <c r="D331" s="109" t="s">
        <v>9619</v>
      </c>
      <c r="E331" s="110" t="s">
        <v>9620</v>
      </c>
      <c r="F331" s="236" t="s">
        <v>9467</v>
      </c>
      <c r="G331" s="115" t="s">
        <v>9324</v>
      </c>
      <c r="H331" s="115" t="s">
        <v>9323</v>
      </c>
      <c r="I331" s="7" t="s">
        <v>9586</v>
      </c>
      <c r="J331" s="110" t="s">
        <v>9587</v>
      </c>
      <c r="K331" s="7" t="s">
        <v>9443</v>
      </c>
      <c r="L331" s="109" t="s">
        <v>9443</v>
      </c>
    </row>
    <row r="332" spans="1:12" ht="14.85" customHeight="1" x14ac:dyDescent="0.25">
      <c r="A332" s="108" t="s">
        <v>9308</v>
      </c>
      <c r="B332" s="115" t="s">
        <v>9337</v>
      </c>
      <c r="C332" s="115" t="s">
        <v>9338</v>
      </c>
      <c r="D332" s="109" t="s">
        <v>9619</v>
      </c>
      <c r="E332" s="110" t="s">
        <v>9620</v>
      </c>
      <c r="F332" s="236" t="s">
        <v>9467</v>
      </c>
      <c r="G332" s="115" t="s">
        <v>9324</v>
      </c>
      <c r="H332" s="115" t="s">
        <v>9323</v>
      </c>
      <c r="I332" s="7" t="s">
        <v>9617</v>
      </c>
      <c r="J332" s="110" t="s">
        <v>9618</v>
      </c>
      <c r="K332" s="7" t="s">
        <v>9443</v>
      </c>
      <c r="L332" s="109" t="s">
        <v>9443</v>
      </c>
    </row>
    <row r="333" spans="1:12" ht="14.85" customHeight="1" x14ac:dyDescent="0.25">
      <c r="A333" s="108" t="s">
        <v>13512</v>
      </c>
      <c r="B333" s="161" t="s">
        <v>9337</v>
      </c>
      <c r="C333" s="115" t="s">
        <v>9338</v>
      </c>
      <c r="D333" s="109" t="s">
        <v>9621</v>
      </c>
      <c r="E333" s="323" t="s">
        <v>13477</v>
      </c>
      <c r="F333" s="236" t="s">
        <v>9451</v>
      </c>
      <c r="G333" s="115" t="s">
        <v>9324</v>
      </c>
      <c r="H333" s="115" t="s">
        <v>9323</v>
      </c>
      <c r="I333" s="7" t="s">
        <v>9582</v>
      </c>
      <c r="J333" s="110" t="s">
        <v>9583</v>
      </c>
      <c r="K333" s="7" t="s">
        <v>9440</v>
      </c>
      <c r="L333" s="109" t="s">
        <v>9451</v>
      </c>
    </row>
    <row r="334" spans="1:12" ht="14.85" customHeight="1" x14ac:dyDescent="0.25">
      <c r="A334" s="108" t="s">
        <v>13512</v>
      </c>
      <c r="B334" s="161" t="s">
        <v>9337</v>
      </c>
      <c r="C334" s="115" t="s">
        <v>9338</v>
      </c>
      <c r="D334" s="109" t="s">
        <v>9621</v>
      </c>
      <c r="E334" s="323" t="s">
        <v>13477</v>
      </c>
      <c r="F334" s="236" t="s">
        <v>9451</v>
      </c>
      <c r="G334" s="115" t="s">
        <v>9324</v>
      </c>
      <c r="H334" s="115" t="s">
        <v>9323</v>
      </c>
      <c r="I334" s="7" t="s">
        <v>9615</v>
      </c>
      <c r="J334" s="110" t="s">
        <v>9616</v>
      </c>
      <c r="K334" s="7" t="s">
        <v>9440</v>
      </c>
      <c r="L334" s="109" t="s">
        <v>9451</v>
      </c>
    </row>
    <row r="335" spans="1:12" ht="14.85" customHeight="1" x14ac:dyDescent="0.25">
      <c r="A335" s="108" t="s">
        <v>13512</v>
      </c>
      <c r="B335" s="161" t="s">
        <v>9337</v>
      </c>
      <c r="C335" s="115" t="s">
        <v>9338</v>
      </c>
      <c r="D335" s="109" t="s">
        <v>9621</v>
      </c>
      <c r="E335" s="323" t="s">
        <v>13477</v>
      </c>
      <c r="F335" s="236" t="s">
        <v>9451</v>
      </c>
      <c r="G335" s="115" t="s">
        <v>9324</v>
      </c>
      <c r="H335" s="115" t="s">
        <v>9323</v>
      </c>
      <c r="I335" s="7" t="s">
        <v>9351</v>
      </c>
      <c r="J335" s="110" t="s">
        <v>9352</v>
      </c>
      <c r="K335" s="7" t="s">
        <v>9353</v>
      </c>
      <c r="L335" s="109" t="s">
        <v>9451</v>
      </c>
    </row>
    <row r="336" spans="1:12" ht="14.85" customHeight="1" x14ac:dyDescent="0.25">
      <c r="A336" s="108" t="s">
        <v>13512</v>
      </c>
      <c r="B336" s="161" t="s">
        <v>9337</v>
      </c>
      <c r="C336" s="115" t="s">
        <v>9338</v>
      </c>
      <c r="D336" s="109" t="s">
        <v>9622</v>
      </c>
      <c r="E336" s="323" t="s">
        <v>13478</v>
      </c>
      <c r="F336" s="236" t="s">
        <v>9451</v>
      </c>
      <c r="G336" s="115" t="s">
        <v>9324</v>
      </c>
      <c r="H336" s="115" t="s">
        <v>9323</v>
      </c>
      <c r="I336" s="7" t="s">
        <v>9582</v>
      </c>
      <c r="J336" s="110" t="s">
        <v>9583</v>
      </c>
      <c r="K336" s="7" t="s">
        <v>9440</v>
      </c>
      <c r="L336" s="109" t="s">
        <v>9451</v>
      </c>
    </row>
    <row r="337" spans="1:12" ht="14.85" customHeight="1" x14ac:dyDescent="0.25">
      <c r="A337" s="108" t="s">
        <v>13512</v>
      </c>
      <c r="B337" s="161" t="s">
        <v>9337</v>
      </c>
      <c r="C337" s="115" t="s">
        <v>9338</v>
      </c>
      <c r="D337" s="109" t="s">
        <v>9622</v>
      </c>
      <c r="E337" s="323" t="s">
        <v>13478</v>
      </c>
      <c r="F337" s="236" t="s">
        <v>9451</v>
      </c>
      <c r="G337" s="115" t="s">
        <v>9324</v>
      </c>
      <c r="H337" s="115" t="s">
        <v>9323</v>
      </c>
      <c r="I337" s="7" t="s">
        <v>9615</v>
      </c>
      <c r="J337" s="110" t="s">
        <v>9616</v>
      </c>
      <c r="K337" s="7" t="s">
        <v>9440</v>
      </c>
      <c r="L337" s="109" t="s">
        <v>9451</v>
      </c>
    </row>
    <row r="338" spans="1:12" ht="14.85" customHeight="1" x14ac:dyDescent="0.25">
      <c r="A338" s="108" t="s">
        <v>13512</v>
      </c>
      <c r="B338" s="161" t="s">
        <v>9337</v>
      </c>
      <c r="C338" s="115" t="s">
        <v>9338</v>
      </c>
      <c r="D338" s="109" t="s">
        <v>9622</v>
      </c>
      <c r="E338" s="323" t="s">
        <v>13478</v>
      </c>
      <c r="F338" s="236" t="s">
        <v>9451</v>
      </c>
      <c r="G338" s="115" t="s">
        <v>9324</v>
      </c>
      <c r="H338" s="115" t="s">
        <v>9323</v>
      </c>
      <c r="I338" s="7" t="s">
        <v>9351</v>
      </c>
      <c r="J338" s="110" t="s">
        <v>9352</v>
      </c>
      <c r="K338" s="7" t="s">
        <v>9353</v>
      </c>
      <c r="L338" s="109" t="s">
        <v>9451</v>
      </c>
    </row>
    <row r="339" spans="1:12" ht="14.85" customHeight="1" x14ac:dyDescent="0.25">
      <c r="A339" s="108" t="s">
        <v>13512</v>
      </c>
      <c r="B339" s="161" t="s">
        <v>9337</v>
      </c>
      <c r="C339" s="115" t="s">
        <v>9338</v>
      </c>
      <c r="D339" s="109" t="s">
        <v>9623</v>
      </c>
      <c r="E339" s="323" t="s">
        <v>13479</v>
      </c>
      <c r="F339" s="236" t="s">
        <v>9451</v>
      </c>
      <c r="G339" s="115" t="s">
        <v>9324</v>
      </c>
      <c r="H339" s="115" t="s">
        <v>9323</v>
      </c>
      <c r="I339" s="7" t="s">
        <v>9582</v>
      </c>
      <c r="J339" s="110" t="s">
        <v>9583</v>
      </c>
      <c r="K339" s="7" t="s">
        <v>9440</v>
      </c>
      <c r="L339" s="109" t="s">
        <v>9451</v>
      </c>
    </row>
    <row r="340" spans="1:12" ht="14.85" customHeight="1" x14ac:dyDescent="0.25">
      <c r="A340" s="108" t="s">
        <v>13512</v>
      </c>
      <c r="B340" s="161" t="s">
        <v>9337</v>
      </c>
      <c r="C340" s="115" t="s">
        <v>9338</v>
      </c>
      <c r="D340" s="109" t="s">
        <v>9623</v>
      </c>
      <c r="E340" s="323" t="s">
        <v>13479</v>
      </c>
      <c r="F340" s="236" t="s">
        <v>9451</v>
      </c>
      <c r="G340" s="115" t="s">
        <v>9324</v>
      </c>
      <c r="H340" s="115" t="s">
        <v>9323</v>
      </c>
      <c r="I340" s="7" t="s">
        <v>9615</v>
      </c>
      <c r="J340" s="110" t="s">
        <v>9616</v>
      </c>
      <c r="K340" s="7" t="s">
        <v>9440</v>
      </c>
      <c r="L340" s="109" t="s">
        <v>9451</v>
      </c>
    </row>
    <row r="341" spans="1:12" ht="14.85" customHeight="1" x14ac:dyDescent="0.25">
      <c r="A341" s="108" t="s">
        <v>13512</v>
      </c>
      <c r="B341" s="161" t="s">
        <v>9337</v>
      </c>
      <c r="C341" s="115" t="s">
        <v>9338</v>
      </c>
      <c r="D341" s="109" t="s">
        <v>9623</v>
      </c>
      <c r="E341" s="323" t="s">
        <v>13479</v>
      </c>
      <c r="F341" s="236" t="s">
        <v>9451</v>
      </c>
      <c r="G341" s="115" t="s">
        <v>9324</v>
      </c>
      <c r="H341" s="115" t="s">
        <v>9323</v>
      </c>
      <c r="I341" s="7" t="s">
        <v>9351</v>
      </c>
      <c r="J341" s="110" t="s">
        <v>9352</v>
      </c>
      <c r="K341" s="7" t="s">
        <v>9353</v>
      </c>
      <c r="L341" s="109" t="s">
        <v>9451</v>
      </c>
    </row>
    <row r="342" spans="1:12" ht="14.85" customHeight="1" x14ac:dyDescent="0.25">
      <c r="A342" s="108" t="s">
        <v>13512</v>
      </c>
      <c r="B342" s="161" t="s">
        <v>9337</v>
      </c>
      <c r="C342" s="115" t="s">
        <v>9338</v>
      </c>
      <c r="D342" s="109" t="s">
        <v>9624</v>
      </c>
      <c r="E342" s="323" t="s">
        <v>13480</v>
      </c>
      <c r="F342" s="236" t="s">
        <v>9451</v>
      </c>
      <c r="G342" s="115" t="s">
        <v>9324</v>
      </c>
      <c r="H342" s="115" t="s">
        <v>9323</v>
      </c>
      <c r="I342" s="7" t="s">
        <v>9582</v>
      </c>
      <c r="J342" s="110" t="s">
        <v>9583</v>
      </c>
      <c r="K342" s="7" t="s">
        <v>9440</v>
      </c>
      <c r="L342" s="109" t="s">
        <v>9451</v>
      </c>
    </row>
    <row r="343" spans="1:12" ht="14.85" customHeight="1" x14ac:dyDescent="0.25">
      <c r="A343" s="108" t="s">
        <v>13512</v>
      </c>
      <c r="B343" s="161" t="s">
        <v>9337</v>
      </c>
      <c r="C343" s="115" t="s">
        <v>9338</v>
      </c>
      <c r="D343" s="109" t="s">
        <v>9624</v>
      </c>
      <c r="E343" s="323" t="s">
        <v>13480</v>
      </c>
      <c r="F343" s="236" t="s">
        <v>9451</v>
      </c>
      <c r="G343" s="115" t="s">
        <v>9324</v>
      </c>
      <c r="H343" s="115" t="s">
        <v>9323</v>
      </c>
      <c r="I343" s="7" t="s">
        <v>9615</v>
      </c>
      <c r="J343" s="110" t="s">
        <v>9616</v>
      </c>
      <c r="K343" s="7" t="s">
        <v>9440</v>
      </c>
      <c r="L343" s="109" t="s">
        <v>9451</v>
      </c>
    </row>
    <row r="344" spans="1:12" ht="14.85" customHeight="1" x14ac:dyDescent="0.25">
      <c r="A344" s="108" t="s">
        <v>13512</v>
      </c>
      <c r="B344" s="161" t="s">
        <v>9337</v>
      </c>
      <c r="C344" s="115" t="s">
        <v>9338</v>
      </c>
      <c r="D344" s="109" t="s">
        <v>9624</v>
      </c>
      <c r="E344" s="323" t="s">
        <v>13480</v>
      </c>
      <c r="F344" s="236" t="s">
        <v>9451</v>
      </c>
      <c r="G344" s="115" t="s">
        <v>9324</v>
      </c>
      <c r="H344" s="115" t="s">
        <v>9323</v>
      </c>
      <c r="I344" s="7" t="s">
        <v>9351</v>
      </c>
      <c r="J344" s="110" t="s">
        <v>9352</v>
      </c>
      <c r="K344" s="7" t="s">
        <v>9353</v>
      </c>
      <c r="L344" s="109" t="s">
        <v>9451</v>
      </c>
    </row>
    <row r="345" spans="1:12" ht="14.85" customHeight="1" x14ac:dyDescent="0.25">
      <c r="A345" s="108" t="s">
        <v>9308</v>
      </c>
      <c r="B345" s="115" t="s">
        <v>9337</v>
      </c>
      <c r="C345" s="115" t="s">
        <v>9338</v>
      </c>
      <c r="D345" s="109" t="s">
        <v>9625</v>
      </c>
      <c r="E345" s="110" t="s">
        <v>9626</v>
      </c>
      <c r="F345" s="236" t="s">
        <v>9467</v>
      </c>
      <c r="G345" s="115" t="s">
        <v>9324</v>
      </c>
      <c r="H345" s="115" t="s">
        <v>9323</v>
      </c>
      <c r="I345" s="7" t="s">
        <v>9582</v>
      </c>
      <c r="J345" s="110" t="s">
        <v>9583</v>
      </c>
      <c r="K345" s="7" t="s">
        <v>9440</v>
      </c>
      <c r="L345" s="109" t="s">
        <v>9440</v>
      </c>
    </row>
    <row r="346" spans="1:12" ht="14.85" customHeight="1" x14ac:dyDescent="0.25">
      <c r="A346" s="108" t="s">
        <v>9308</v>
      </c>
      <c r="B346" s="115" t="s">
        <v>9337</v>
      </c>
      <c r="C346" s="115" t="s">
        <v>9338</v>
      </c>
      <c r="D346" s="109" t="s">
        <v>9625</v>
      </c>
      <c r="E346" s="110" t="s">
        <v>9626</v>
      </c>
      <c r="F346" s="236" t="s">
        <v>9467</v>
      </c>
      <c r="G346" s="115" t="s">
        <v>9324</v>
      </c>
      <c r="H346" s="115" t="s">
        <v>9323</v>
      </c>
      <c r="I346" s="7" t="s">
        <v>9627</v>
      </c>
      <c r="J346" s="110" t="s">
        <v>9628</v>
      </c>
      <c r="K346" s="7" t="s">
        <v>9440</v>
      </c>
      <c r="L346" s="109" t="s">
        <v>9440</v>
      </c>
    </row>
    <row r="347" spans="1:12" ht="14.85" customHeight="1" x14ac:dyDescent="0.25">
      <c r="A347" s="108" t="s">
        <v>9308</v>
      </c>
      <c r="B347" s="115" t="s">
        <v>9337</v>
      </c>
      <c r="C347" s="115" t="s">
        <v>9338</v>
      </c>
      <c r="D347" s="109" t="s">
        <v>9625</v>
      </c>
      <c r="E347" s="110" t="s">
        <v>9626</v>
      </c>
      <c r="F347" s="236" t="s">
        <v>9467</v>
      </c>
      <c r="G347" s="115" t="s">
        <v>9324</v>
      </c>
      <c r="H347" s="115" t="s">
        <v>9323</v>
      </c>
      <c r="I347" s="7" t="s">
        <v>9351</v>
      </c>
      <c r="J347" s="110" t="s">
        <v>9352</v>
      </c>
      <c r="K347" s="7" t="s">
        <v>9353</v>
      </c>
      <c r="L347" s="109" t="s">
        <v>9467</v>
      </c>
    </row>
    <row r="348" spans="1:12" ht="14.85" customHeight="1" x14ac:dyDescent="0.25">
      <c r="A348" s="108" t="s">
        <v>9308</v>
      </c>
      <c r="B348" s="115" t="s">
        <v>9337</v>
      </c>
      <c r="C348" s="115" t="s">
        <v>9338</v>
      </c>
      <c r="D348" s="109" t="s">
        <v>9625</v>
      </c>
      <c r="E348" s="110" t="s">
        <v>9626</v>
      </c>
      <c r="F348" s="236" t="s">
        <v>9467</v>
      </c>
      <c r="G348" s="115" t="s">
        <v>9324</v>
      </c>
      <c r="H348" s="115" t="s">
        <v>9323</v>
      </c>
      <c r="I348" s="7" t="s">
        <v>9586</v>
      </c>
      <c r="J348" s="110" t="s">
        <v>9587</v>
      </c>
      <c r="K348" s="7" t="s">
        <v>9443</v>
      </c>
      <c r="L348" s="109" t="s">
        <v>9443</v>
      </c>
    </row>
    <row r="349" spans="1:12" ht="14.85" customHeight="1" x14ac:dyDescent="0.25">
      <c r="A349" s="108" t="s">
        <v>9308</v>
      </c>
      <c r="B349" s="115" t="s">
        <v>9337</v>
      </c>
      <c r="C349" s="115" t="s">
        <v>9338</v>
      </c>
      <c r="D349" s="109" t="s">
        <v>9625</v>
      </c>
      <c r="E349" s="110" t="s">
        <v>9626</v>
      </c>
      <c r="F349" s="236" t="s">
        <v>9467</v>
      </c>
      <c r="G349" s="115" t="s">
        <v>9324</v>
      </c>
      <c r="H349" s="115" t="s">
        <v>9323</v>
      </c>
      <c r="I349" s="7" t="s">
        <v>9629</v>
      </c>
      <c r="J349" s="110" t="s">
        <v>9630</v>
      </c>
      <c r="K349" s="7" t="s">
        <v>9443</v>
      </c>
      <c r="L349" s="109" t="s">
        <v>9443</v>
      </c>
    </row>
    <row r="350" spans="1:12" ht="14.85" customHeight="1" x14ac:dyDescent="0.25">
      <c r="A350" s="108" t="s">
        <v>13512</v>
      </c>
      <c r="B350" s="161" t="s">
        <v>9337</v>
      </c>
      <c r="C350" s="115" t="s">
        <v>9338</v>
      </c>
      <c r="D350" s="109" t="s">
        <v>9631</v>
      </c>
      <c r="E350" s="323" t="s">
        <v>13481</v>
      </c>
      <c r="F350" s="236" t="s">
        <v>9451</v>
      </c>
      <c r="G350" s="115" t="s">
        <v>9324</v>
      </c>
      <c r="H350" s="115" t="s">
        <v>9323</v>
      </c>
      <c r="I350" s="7" t="s">
        <v>9582</v>
      </c>
      <c r="J350" s="110" t="s">
        <v>9583</v>
      </c>
      <c r="K350" s="7" t="s">
        <v>9440</v>
      </c>
      <c r="L350" s="109" t="s">
        <v>9451</v>
      </c>
    </row>
    <row r="351" spans="1:12" ht="14.85" customHeight="1" x14ac:dyDescent="0.25">
      <c r="A351" s="108" t="s">
        <v>13512</v>
      </c>
      <c r="B351" s="161" t="s">
        <v>9337</v>
      </c>
      <c r="C351" s="115" t="s">
        <v>9338</v>
      </c>
      <c r="D351" s="109" t="s">
        <v>9631</v>
      </c>
      <c r="E351" s="323" t="s">
        <v>13481</v>
      </c>
      <c r="F351" s="236" t="s">
        <v>9451</v>
      </c>
      <c r="G351" s="115" t="s">
        <v>9324</v>
      </c>
      <c r="H351" s="115" t="s">
        <v>9323</v>
      </c>
      <c r="I351" s="7" t="s">
        <v>9627</v>
      </c>
      <c r="J351" s="110" t="s">
        <v>9628</v>
      </c>
      <c r="K351" s="7" t="s">
        <v>9440</v>
      </c>
      <c r="L351" s="109" t="s">
        <v>9451</v>
      </c>
    </row>
    <row r="352" spans="1:12" ht="14.85" customHeight="1" x14ac:dyDescent="0.25">
      <c r="A352" s="108" t="s">
        <v>13512</v>
      </c>
      <c r="B352" s="161" t="s">
        <v>9337</v>
      </c>
      <c r="C352" s="115" t="s">
        <v>9338</v>
      </c>
      <c r="D352" s="109" t="s">
        <v>9631</v>
      </c>
      <c r="E352" s="323" t="s">
        <v>13481</v>
      </c>
      <c r="F352" s="236" t="s">
        <v>9451</v>
      </c>
      <c r="G352" s="115" t="s">
        <v>9324</v>
      </c>
      <c r="H352" s="115" t="s">
        <v>9323</v>
      </c>
      <c r="I352" s="7" t="s">
        <v>9351</v>
      </c>
      <c r="J352" s="110" t="s">
        <v>9352</v>
      </c>
      <c r="K352" s="7" t="s">
        <v>9353</v>
      </c>
      <c r="L352" s="109" t="s">
        <v>9451</v>
      </c>
    </row>
    <row r="353" spans="1:12" ht="14.85" customHeight="1" x14ac:dyDescent="0.25">
      <c r="A353" s="108" t="s">
        <v>9308</v>
      </c>
      <c r="B353" s="115" t="s">
        <v>9337</v>
      </c>
      <c r="C353" s="115" t="s">
        <v>9338</v>
      </c>
      <c r="D353" s="109" t="s">
        <v>9632</v>
      </c>
      <c r="E353" s="110" t="s">
        <v>9633</v>
      </c>
      <c r="F353" s="236" t="s">
        <v>9467</v>
      </c>
      <c r="G353" s="115" t="s">
        <v>9324</v>
      </c>
      <c r="H353" s="115" t="s">
        <v>9323</v>
      </c>
      <c r="I353" s="7" t="s">
        <v>9582</v>
      </c>
      <c r="J353" s="110" t="s">
        <v>9583</v>
      </c>
      <c r="K353" s="7" t="s">
        <v>9440</v>
      </c>
      <c r="L353" s="109" t="s">
        <v>9440</v>
      </c>
    </row>
    <row r="354" spans="1:12" ht="14.85" customHeight="1" x14ac:dyDescent="0.25">
      <c r="A354" s="108" t="s">
        <v>9308</v>
      </c>
      <c r="B354" s="115" t="s">
        <v>9337</v>
      </c>
      <c r="C354" s="115" t="s">
        <v>9338</v>
      </c>
      <c r="D354" s="109" t="s">
        <v>9632</v>
      </c>
      <c r="E354" s="110" t="s">
        <v>9633</v>
      </c>
      <c r="F354" s="236" t="s">
        <v>9467</v>
      </c>
      <c r="G354" s="115" t="s">
        <v>9324</v>
      </c>
      <c r="H354" s="115" t="s">
        <v>9323</v>
      </c>
      <c r="I354" s="7" t="s">
        <v>9634</v>
      </c>
      <c r="J354" s="110" t="s">
        <v>9635</v>
      </c>
      <c r="K354" s="7" t="s">
        <v>9440</v>
      </c>
      <c r="L354" s="109" t="s">
        <v>9440</v>
      </c>
    </row>
    <row r="355" spans="1:12" ht="14.85" customHeight="1" x14ac:dyDescent="0.25">
      <c r="A355" s="108" t="s">
        <v>9308</v>
      </c>
      <c r="B355" s="115" t="s">
        <v>9337</v>
      </c>
      <c r="C355" s="115" t="s">
        <v>9338</v>
      </c>
      <c r="D355" s="109" t="s">
        <v>9632</v>
      </c>
      <c r="E355" s="110" t="s">
        <v>9633</v>
      </c>
      <c r="F355" s="236" t="s">
        <v>9467</v>
      </c>
      <c r="G355" s="115" t="s">
        <v>9324</v>
      </c>
      <c r="H355" s="115" t="s">
        <v>9323</v>
      </c>
      <c r="I355" s="7" t="s">
        <v>9351</v>
      </c>
      <c r="J355" s="110" t="s">
        <v>9352</v>
      </c>
      <c r="K355" s="7" t="s">
        <v>9353</v>
      </c>
      <c r="L355" s="109" t="s">
        <v>9467</v>
      </c>
    </row>
    <row r="356" spans="1:12" ht="14.85" customHeight="1" x14ac:dyDescent="0.25">
      <c r="A356" s="108" t="s">
        <v>9308</v>
      </c>
      <c r="B356" s="115" t="s">
        <v>9337</v>
      </c>
      <c r="C356" s="115" t="s">
        <v>9338</v>
      </c>
      <c r="D356" s="109" t="s">
        <v>9632</v>
      </c>
      <c r="E356" s="110" t="s">
        <v>9633</v>
      </c>
      <c r="F356" s="236" t="s">
        <v>9467</v>
      </c>
      <c r="G356" s="115" t="s">
        <v>9324</v>
      </c>
      <c r="H356" s="115" t="s">
        <v>9323</v>
      </c>
      <c r="I356" s="7" t="s">
        <v>9586</v>
      </c>
      <c r="J356" s="110" t="s">
        <v>9587</v>
      </c>
      <c r="K356" s="7" t="s">
        <v>9443</v>
      </c>
      <c r="L356" s="109" t="s">
        <v>9443</v>
      </c>
    </row>
    <row r="357" spans="1:12" ht="14.85" customHeight="1" x14ac:dyDescent="0.25">
      <c r="A357" s="108" t="s">
        <v>9308</v>
      </c>
      <c r="B357" s="115" t="s">
        <v>9337</v>
      </c>
      <c r="C357" s="115" t="s">
        <v>9338</v>
      </c>
      <c r="D357" s="109" t="s">
        <v>9632</v>
      </c>
      <c r="E357" s="110" t="s">
        <v>9633</v>
      </c>
      <c r="F357" s="236" t="s">
        <v>9467</v>
      </c>
      <c r="G357" s="115" t="s">
        <v>9324</v>
      </c>
      <c r="H357" s="115" t="s">
        <v>9323</v>
      </c>
      <c r="I357" s="7" t="s">
        <v>9636</v>
      </c>
      <c r="J357" s="110" t="s">
        <v>9637</v>
      </c>
      <c r="K357" s="7" t="s">
        <v>9443</v>
      </c>
      <c r="L357" s="109" t="s">
        <v>9443</v>
      </c>
    </row>
    <row r="358" spans="1:12" ht="14.85" customHeight="1" x14ac:dyDescent="0.25">
      <c r="A358" s="108" t="s">
        <v>13512</v>
      </c>
      <c r="B358" s="161" t="s">
        <v>9337</v>
      </c>
      <c r="C358" s="115" t="s">
        <v>9338</v>
      </c>
      <c r="D358" s="109" t="s">
        <v>9638</v>
      </c>
      <c r="E358" s="323" t="s">
        <v>13482</v>
      </c>
      <c r="F358" s="236" t="s">
        <v>9451</v>
      </c>
      <c r="G358" s="115" t="s">
        <v>9324</v>
      </c>
      <c r="H358" s="115" t="s">
        <v>9323</v>
      </c>
      <c r="I358" s="7" t="s">
        <v>9582</v>
      </c>
      <c r="J358" s="110" t="s">
        <v>9583</v>
      </c>
      <c r="K358" s="7" t="s">
        <v>9440</v>
      </c>
      <c r="L358" s="109" t="s">
        <v>9451</v>
      </c>
    </row>
    <row r="359" spans="1:12" ht="14.85" customHeight="1" x14ac:dyDescent="0.25">
      <c r="A359" s="108" t="s">
        <v>13512</v>
      </c>
      <c r="B359" s="161" t="s">
        <v>9337</v>
      </c>
      <c r="C359" s="115" t="s">
        <v>9338</v>
      </c>
      <c r="D359" s="109" t="s">
        <v>9638</v>
      </c>
      <c r="E359" s="323" t="s">
        <v>13482</v>
      </c>
      <c r="F359" s="236" t="s">
        <v>9451</v>
      </c>
      <c r="G359" s="115" t="s">
        <v>9324</v>
      </c>
      <c r="H359" s="115" t="s">
        <v>9323</v>
      </c>
      <c r="I359" s="7" t="s">
        <v>9634</v>
      </c>
      <c r="J359" s="110" t="s">
        <v>9635</v>
      </c>
      <c r="K359" s="7" t="s">
        <v>9440</v>
      </c>
      <c r="L359" s="109" t="s">
        <v>9451</v>
      </c>
    </row>
    <row r="360" spans="1:12" ht="14.85" customHeight="1" x14ac:dyDescent="0.25">
      <c r="A360" s="108" t="s">
        <v>13512</v>
      </c>
      <c r="B360" s="161" t="s">
        <v>9337</v>
      </c>
      <c r="C360" s="115" t="s">
        <v>9338</v>
      </c>
      <c r="D360" s="109" t="s">
        <v>9638</v>
      </c>
      <c r="E360" s="323" t="s">
        <v>13482</v>
      </c>
      <c r="F360" s="236" t="s">
        <v>9451</v>
      </c>
      <c r="G360" s="115" t="s">
        <v>9324</v>
      </c>
      <c r="H360" s="115" t="s">
        <v>9323</v>
      </c>
      <c r="I360" s="7" t="s">
        <v>9351</v>
      </c>
      <c r="J360" s="110" t="s">
        <v>9352</v>
      </c>
      <c r="K360" s="7" t="s">
        <v>9353</v>
      </c>
      <c r="L360" s="109" t="s">
        <v>9451</v>
      </c>
    </row>
    <row r="361" spans="1:12" ht="14.85" customHeight="1" x14ac:dyDescent="0.25">
      <c r="A361" s="108" t="s">
        <v>13512</v>
      </c>
      <c r="B361" s="161" t="s">
        <v>9337</v>
      </c>
      <c r="C361" s="115" t="s">
        <v>9338</v>
      </c>
      <c r="D361" s="109" t="s">
        <v>9639</v>
      </c>
      <c r="E361" s="323" t="s">
        <v>13483</v>
      </c>
      <c r="F361" s="236" t="s">
        <v>9451</v>
      </c>
      <c r="G361" s="115" t="s">
        <v>9324</v>
      </c>
      <c r="H361" s="115" t="s">
        <v>9323</v>
      </c>
      <c r="I361" s="7" t="s">
        <v>9582</v>
      </c>
      <c r="J361" s="110" t="s">
        <v>9583</v>
      </c>
      <c r="K361" s="7" t="s">
        <v>9440</v>
      </c>
      <c r="L361" s="109" t="s">
        <v>9451</v>
      </c>
    </row>
    <row r="362" spans="1:12" ht="14.85" customHeight="1" x14ac:dyDescent="0.25">
      <c r="A362" s="108" t="s">
        <v>13512</v>
      </c>
      <c r="B362" s="161" t="s">
        <v>9337</v>
      </c>
      <c r="C362" s="115" t="s">
        <v>9338</v>
      </c>
      <c r="D362" s="109" t="s">
        <v>9639</v>
      </c>
      <c r="E362" s="323" t="s">
        <v>13483</v>
      </c>
      <c r="F362" s="236" t="s">
        <v>9451</v>
      </c>
      <c r="G362" s="115" t="s">
        <v>9324</v>
      </c>
      <c r="H362" s="115" t="s">
        <v>9323</v>
      </c>
      <c r="I362" s="7" t="s">
        <v>9634</v>
      </c>
      <c r="J362" s="110" t="s">
        <v>9635</v>
      </c>
      <c r="K362" s="7" t="s">
        <v>9440</v>
      </c>
      <c r="L362" s="109" t="s">
        <v>9451</v>
      </c>
    </row>
    <row r="363" spans="1:12" ht="14.85" customHeight="1" x14ac:dyDescent="0.25">
      <c r="A363" s="108" t="s">
        <v>13512</v>
      </c>
      <c r="B363" s="161" t="s">
        <v>9337</v>
      </c>
      <c r="C363" s="115" t="s">
        <v>9338</v>
      </c>
      <c r="D363" s="109" t="s">
        <v>9639</v>
      </c>
      <c r="E363" s="323" t="s">
        <v>13483</v>
      </c>
      <c r="F363" s="236" t="s">
        <v>9451</v>
      </c>
      <c r="G363" s="115" t="s">
        <v>9324</v>
      </c>
      <c r="H363" s="115" t="s">
        <v>9323</v>
      </c>
      <c r="I363" s="7" t="s">
        <v>9351</v>
      </c>
      <c r="J363" s="110" t="s">
        <v>9352</v>
      </c>
      <c r="K363" s="7" t="s">
        <v>9353</v>
      </c>
      <c r="L363" s="109" t="s">
        <v>9451</v>
      </c>
    </row>
    <row r="364" spans="1:12" ht="14.85" customHeight="1" x14ac:dyDescent="0.25">
      <c r="A364" s="108" t="s">
        <v>9308</v>
      </c>
      <c r="B364" s="115" t="s">
        <v>9337</v>
      </c>
      <c r="C364" s="115" t="s">
        <v>9338</v>
      </c>
      <c r="D364" s="109" t="s">
        <v>9640</v>
      </c>
      <c r="E364" s="110" t="s">
        <v>9641</v>
      </c>
      <c r="F364" s="236" t="s">
        <v>9467</v>
      </c>
      <c r="G364" s="115" t="s">
        <v>9324</v>
      </c>
      <c r="H364" s="115" t="s">
        <v>9323</v>
      </c>
      <c r="I364" s="7" t="s">
        <v>9582</v>
      </c>
      <c r="J364" s="110" t="s">
        <v>9583</v>
      </c>
      <c r="K364" s="7" t="s">
        <v>9440</v>
      </c>
      <c r="L364" s="109" t="s">
        <v>9440</v>
      </c>
    </row>
    <row r="365" spans="1:12" ht="14.85" customHeight="1" x14ac:dyDescent="0.25">
      <c r="A365" s="108" t="s">
        <v>9308</v>
      </c>
      <c r="B365" s="115" t="s">
        <v>9337</v>
      </c>
      <c r="C365" s="115" t="s">
        <v>9338</v>
      </c>
      <c r="D365" s="109" t="s">
        <v>9640</v>
      </c>
      <c r="E365" s="110" t="s">
        <v>9641</v>
      </c>
      <c r="F365" s="236" t="s">
        <v>9467</v>
      </c>
      <c r="G365" s="115" t="s">
        <v>9324</v>
      </c>
      <c r="H365" s="115" t="s">
        <v>9323</v>
      </c>
      <c r="I365" s="7" t="s">
        <v>9642</v>
      </c>
      <c r="J365" s="110" t="s">
        <v>9643</v>
      </c>
      <c r="K365" s="7" t="s">
        <v>9440</v>
      </c>
      <c r="L365" s="109" t="s">
        <v>9440</v>
      </c>
    </row>
    <row r="366" spans="1:12" ht="14.85" customHeight="1" x14ac:dyDescent="0.25">
      <c r="A366" s="108" t="s">
        <v>9308</v>
      </c>
      <c r="B366" s="115" t="s">
        <v>9337</v>
      </c>
      <c r="C366" s="115" t="s">
        <v>9338</v>
      </c>
      <c r="D366" s="109" t="s">
        <v>9640</v>
      </c>
      <c r="E366" s="110" t="s">
        <v>9641</v>
      </c>
      <c r="F366" s="236" t="s">
        <v>9467</v>
      </c>
      <c r="G366" s="115" t="s">
        <v>9324</v>
      </c>
      <c r="H366" s="115" t="s">
        <v>9323</v>
      </c>
      <c r="I366" s="7" t="s">
        <v>9627</v>
      </c>
      <c r="J366" s="110" t="s">
        <v>9628</v>
      </c>
      <c r="K366" s="7" t="s">
        <v>9440</v>
      </c>
      <c r="L366" s="109" t="s">
        <v>9440</v>
      </c>
    </row>
    <row r="367" spans="1:12" ht="14.85" customHeight="1" x14ac:dyDescent="0.25">
      <c r="A367" s="108" t="s">
        <v>9308</v>
      </c>
      <c r="B367" s="115" t="s">
        <v>9337</v>
      </c>
      <c r="C367" s="115" t="s">
        <v>9338</v>
      </c>
      <c r="D367" s="109" t="s">
        <v>9640</v>
      </c>
      <c r="E367" s="110" t="s">
        <v>9641</v>
      </c>
      <c r="F367" s="236" t="s">
        <v>9467</v>
      </c>
      <c r="G367" s="115" t="s">
        <v>9324</v>
      </c>
      <c r="H367" s="115" t="s">
        <v>9323</v>
      </c>
      <c r="I367" s="7" t="s">
        <v>9351</v>
      </c>
      <c r="J367" s="110" t="s">
        <v>9352</v>
      </c>
      <c r="K367" s="7" t="s">
        <v>9353</v>
      </c>
      <c r="L367" s="109" t="s">
        <v>9467</v>
      </c>
    </row>
    <row r="368" spans="1:12" ht="14.85" customHeight="1" x14ac:dyDescent="0.25">
      <c r="A368" s="108" t="s">
        <v>9308</v>
      </c>
      <c r="B368" s="115" t="s">
        <v>9337</v>
      </c>
      <c r="C368" s="115" t="s">
        <v>9338</v>
      </c>
      <c r="D368" s="109" t="s">
        <v>9640</v>
      </c>
      <c r="E368" s="110" t="s">
        <v>9641</v>
      </c>
      <c r="F368" s="236" t="s">
        <v>9467</v>
      </c>
      <c r="G368" s="115" t="s">
        <v>9324</v>
      </c>
      <c r="H368" s="115" t="s">
        <v>9323</v>
      </c>
      <c r="I368" s="7" t="s">
        <v>9586</v>
      </c>
      <c r="J368" s="110" t="s">
        <v>9587</v>
      </c>
      <c r="K368" s="7" t="s">
        <v>9443</v>
      </c>
      <c r="L368" s="109" t="s">
        <v>9443</v>
      </c>
    </row>
    <row r="369" spans="1:12" ht="14.85" customHeight="1" x14ac:dyDescent="0.25">
      <c r="A369" s="108" t="s">
        <v>9308</v>
      </c>
      <c r="B369" s="115" t="s">
        <v>9337</v>
      </c>
      <c r="C369" s="115" t="s">
        <v>9338</v>
      </c>
      <c r="D369" s="109" t="s">
        <v>9640</v>
      </c>
      <c r="E369" s="110" t="s">
        <v>9641</v>
      </c>
      <c r="F369" s="236" t="s">
        <v>9467</v>
      </c>
      <c r="G369" s="115" t="s">
        <v>9324</v>
      </c>
      <c r="H369" s="115" t="s">
        <v>9323</v>
      </c>
      <c r="I369" s="7" t="s">
        <v>9644</v>
      </c>
      <c r="J369" s="110" t="s">
        <v>9645</v>
      </c>
      <c r="K369" s="7" t="s">
        <v>9443</v>
      </c>
      <c r="L369" s="109" t="s">
        <v>9443</v>
      </c>
    </row>
    <row r="370" spans="1:12" ht="14.85" customHeight="1" x14ac:dyDescent="0.25">
      <c r="A370" s="108" t="s">
        <v>9308</v>
      </c>
      <c r="B370" s="115" t="s">
        <v>9337</v>
      </c>
      <c r="C370" s="115" t="s">
        <v>9338</v>
      </c>
      <c r="D370" s="109" t="s">
        <v>9640</v>
      </c>
      <c r="E370" s="110" t="s">
        <v>9641</v>
      </c>
      <c r="F370" s="236" t="s">
        <v>9467</v>
      </c>
      <c r="G370" s="115" t="s">
        <v>9324</v>
      </c>
      <c r="H370" s="115" t="s">
        <v>9323</v>
      </c>
      <c r="I370" s="7" t="s">
        <v>9629</v>
      </c>
      <c r="J370" s="110" t="s">
        <v>9630</v>
      </c>
      <c r="K370" s="7" t="s">
        <v>9443</v>
      </c>
      <c r="L370" s="109" t="s">
        <v>9443</v>
      </c>
    </row>
    <row r="371" spans="1:12" ht="14.85" customHeight="1" x14ac:dyDescent="0.25">
      <c r="A371" s="108" t="s">
        <v>9308</v>
      </c>
      <c r="B371" s="115" t="s">
        <v>9337</v>
      </c>
      <c r="C371" s="115" t="s">
        <v>9338</v>
      </c>
      <c r="D371" s="109" t="s">
        <v>9646</v>
      </c>
      <c r="E371" s="110" t="s">
        <v>9647</v>
      </c>
      <c r="F371" s="236" t="s">
        <v>9467</v>
      </c>
      <c r="G371" s="115" t="s">
        <v>9324</v>
      </c>
      <c r="H371" s="115" t="s">
        <v>9323</v>
      </c>
      <c r="I371" s="7" t="s">
        <v>9438</v>
      </c>
      <c r="J371" s="110" t="s">
        <v>9439</v>
      </c>
      <c r="K371" s="7" t="s">
        <v>9440</v>
      </c>
      <c r="L371" s="109" t="s">
        <v>9440</v>
      </c>
    </row>
    <row r="372" spans="1:12" ht="14.85" customHeight="1" x14ac:dyDescent="0.25">
      <c r="A372" s="108" t="s">
        <v>9308</v>
      </c>
      <c r="B372" s="115" t="s">
        <v>9337</v>
      </c>
      <c r="C372" s="115" t="s">
        <v>9338</v>
      </c>
      <c r="D372" s="109" t="s">
        <v>9646</v>
      </c>
      <c r="E372" s="110" t="s">
        <v>9647</v>
      </c>
      <c r="F372" s="236" t="s">
        <v>9467</v>
      </c>
      <c r="G372" s="115" t="s">
        <v>9324</v>
      </c>
      <c r="H372" s="115" t="s">
        <v>9323</v>
      </c>
      <c r="I372" s="7" t="s">
        <v>9648</v>
      </c>
      <c r="J372" s="110" t="s">
        <v>9649</v>
      </c>
      <c r="K372" s="7" t="s">
        <v>9440</v>
      </c>
      <c r="L372" s="109" t="s">
        <v>9440</v>
      </c>
    </row>
    <row r="373" spans="1:12" ht="14.85" customHeight="1" x14ac:dyDescent="0.25">
      <c r="A373" s="108" t="s">
        <v>9308</v>
      </c>
      <c r="B373" s="115" t="s">
        <v>9337</v>
      </c>
      <c r="C373" s="115" t="s">
        <v>9338</v>
      </c>
      <c r="D373" s="109" t="s">
        <v>9646</v>
      </c>
      <c r="E373" s="110" t="s">
        <v>9647</v>
      </c>
      <c r="F373" s="236" t="s">
        <v>9467</v>
      </c>
      <c r="G373" s="115" t="s">
        <v>9324</v>
      </c>
      <c r="H373" s="115" t="s">
        <v>9323</v>
      </c>
      <c r="I373" s="7" t="s">
        <v>9582</v>
      </c>
      <c r="J373" s="110" t="s">
        <v>9583</v>
      </c>
      <c r="K373" s="7" t="s">
        <v>9440</v>
      </c>
      <c r="L373" s="109" t="s">
        <v>9440</v>
      </c>
    </row>
    <row r="374" spans="1:12" ht="14.85" customHeight="1" x14ac:dyDescent="0.25">
      <c r="A374" s="108" t="s">
        <v>9308</v>
      </c>
      <c r="B374" s="115" t="s">
        <v>9337</v>
      </c>
      <c r="C374" s="115" t="s">
        <v>9338</v>
      </c>
      <c r="D374" s="109" t="s">
        <v>9646</v>
      </c>
      <c r="E374" s="110" t="s">
        <v>9647</v>
      </c>
      <c r="F374" s="236" t="s">
        <v>9467</v>
      </c>
      <c r="G374" s="115" t="s">
        <v>9324</v>
      </c>
      <c r="H374" s="115" t="s">
        <v>9323</v>
      </c>
      <c r="I374" s="7" t="s">
        <v>9594</v>
      </c>
      <c r="J374" s="110" t="s">
        <v>9595</v>
      </c>
      <c r="K374" s="7" t="s">
        <v>9440</v>
      </c>
      <c r="L374" s="109" t="s">
        <v>9440</v>
      </c>
    </row>
    <row r="375" spans="1:12" ht="14.85" customHeight="1" x14ac:dyDescent="0.25">
      <c r="A375" s="108" t="s">
        <v>9308</v>
      </c>
      <c r="B375" s="115" t="s">
        <v>9337</v>
      </c>
      <c r="C375" s="115" t="s">
        <v>9338</v>
      </c>
      <c r="D375" s="109" t="s">
        <v>9646</v>
      </c>
      <c r="E375" s="110" t="s">
        <v>9647</v>
      </c>
      <c r="F375" s="236" t="s">
        <v>9467</v>
      </c>
      <c r="G375" s="115" t="s">
        <v>9324</v>
      </c>
      <c r="H375" s="115" t="s">
        <v>9323</v>
      </c>
      <c r="I375" s="7" t="s">
        <v>9642</v>
      </c>
      <c r="J375" s="110" t="s">
        <v>9643</v>
      </c>
      <c r="K375" s="7" t="s">
        <v>9440</v>
      </c>
      <c r="L375" s="109" t="s">
        <v>9440</v>
      </c>
    </row>
    <row r="376" spans="1:12" ht="14.85" customHeight="1" x14ac:dyDescent="0.25">
      <c r="A376" s="108" t="s">
        <v>9308</v>
      </c>
      <c r="B376" s="115" t="s">
        <v>9337</v>
      </c>
      <c r="C376" s="115" t="s">
        <v>9338</v>
      </c>
      <c r="D376" s="109" t="s">
        <v>9646</v>
      </c>
      <c r="E376" s="110" t="s">
        <v>9647</v>
      </c>
      <c r="F376" s="236" t="s">
        <v>9467</v>
      </c>
      <c r="G376" s="115" t="s">
        <v>9324</v>
      </c>
      <c r="H376" s="115" t="s">
        <v>9323</v>
      </c>
      <c r="I376" s="7" t="s">
        <v>9634</v>
      </c>
      <c r="J376" s="110" t="s">
        <v>9635</v>
      </c>
      <c r="K376" s="7" t="s">
        <v>9440</v>
      </c>
      <c r="L376" s="109" t="s">
        <v>9440</v>
      </c>
    </row>
    <row r="377" spans="1:12" ht="14.85" customHeight="1" x14ac:dyDescent="0.25">
      <c r="A377" s="108" t="s">
        <v>9308</v>
      </c>
      <c r="B377" s="115" t="s">
        <v>9337</v>
      </c>
      <c r="C377" s="115" t="s">
        <v>9338</v>
      </c>
      <c r="D377" s="109" t="s">
        <v>9646</v>
      </c>
      <c r="E377" s="110" t="s">
        <v>9647</v>
      </c>
      <c r="F377" s="236" t="s">
        <v>9467</v>
      </c>
      <c r="G377" s="115" t="s">
        <v>9324</v>
      </c>
      <c r="H377" s="115" t="s">
        <v>9323</v>
      </c>
      <c r="I377" s="7" t="s">
        <v>9627</v>
      </c>
      <c r="J377" s="110" t="s">
        <v>9628</v>
      </c>
      <c r="K377" s="7" t="s">
        <v>9440</v>
      </c>
      <c r="L377" s="109" t="s">
        <v>9440</v>
      </c>
    </row>
    <row r="378" spans="1:12" ht="14.85" customHeight="1" x14ac:dyDescent="0.25">
      <c r="A378" s="108" t="s">
        <v>9308</v>
      </c>
      <c r="B378" s="115" t="s">
        <v>9337</v>
      </c>
      <c r="C378" s="115" t="s">
        <v>9338</v>
      </c>
      <c r="D378" s="109" t="s">
        <v>9646</v>
      </c>
      <c r="E378" s="110" t="s">
        <v>9647</v>
      </c>
      <c r="F378" s="236" t="s">
        <v>9467</v>
      </c>
      <c r="G378" s="115" t="s">
        <v>9324</v>
      </c>
      <c r="H378" s="115" t="s">
        <v>9323</v>
      </c>
      <c r="I378" s="7" t="s">
        <v>9650</v>
      </c>
      <c r="J378" s="110" t="s">
        <v>9651</v>
      </c>
      <c r="K378" s="7" t="s">
        <v>9440</v>
      </c>
      <c r="L378" s="109" t="s">
        <v>9440</v>
      </c>
    </row>
    <row r="379" spans="1:12" ht="14.85" customHeight="1" x14ac:dyDescent="0.25">
      <c r="A379" s="108" t="s">
        <v>9308</v>
      </c>
      <c r="B379" s="115" t="s">
        <v>9337</v>
      </c>
      <c r="C379" s="115" t="s">
        <v>9338</v>
      </c>
      <c r="D379" s="109" t="s">
        <v>9646</v>
      </c>
      <c r="E379" s="110" t="s">
        <v>9647</v>
      </c>
      <c r="F379" s="236" t="s">
        <v>9467</v>
      </c>
      <c r="G379" s="115" t="s">
        <v>9324</v>
      </c>
      <c r="H379" s="115" t="s">
        <v>9323</v>
      </c>
      <c r="I379" s="7" t="s">
        <v>9366</v>
      </c>
      <c r="J379" s="110" t="s">
        <v>9367</v>
      </c>
      <c r="K379" s="7" t="s">
        <v>9353</v>
      </c>
      <c r="L379" s="109" t="s">
        <v>9467</v>
      </c>
    </row>
    <row r="380" spans="1:12" ht="14.85" customHeight="1" x14ac:dyDescent="0.25">
      <c r="A380" s="108" t="s">
        <v>9308</v>
      </c>
      <c r="B380" s="115" t="s">
        <v>9337</v>
      </c>
      <c r="C380" s="115" t="s">
        <v>9338</v>
      </c>
      <c r="D380" s="109" t="s">
        <v>9646</v>
      </c>
      <c r="E380" s="110" t="s">
        <v>9647</v>
      </c>
      <c r="F380" s="236" t="s">
        <v>9467</v>
      </c>
      <c r="G380" s="115" t="s">
        <v>9324</v>
      </c>
      <c r="H380" s="115" t="s">
        <v>9323</v>
      </c>
      <c r="I380" s="7" t="s">
        <v>9652</v>
      </c>
      <c r="J380" s="110" t="s">
        <v>9653</v>
      </c>
      <c r="K380" s="7" t="s">
        <v>9440</v>
      </c>
      <c r="L380" s="109" t="s">
        <v>9440</v>
      </c>
    </row>
    <row r="381" spans="1:12" ht="14.85" customHeight="1" x14ac:dyDescent="0.25">
      <c r="A381" s="108" t="s">
        <v>9308</v>
      </c>
      <c r="B381" s="115" t="s">
        <v>9337</v>
      </c>
      <c r="C381" s="115" t="s">
        <v>9338</v>
      </c>
      <c r="D381" s="109" t="s">
        <v>9646</v>
      </c>
      <c r="E381" s="110" t="s">
        <v>9647</v>
      </c>
      <c r="F381" s="236" t="s">
        <v>9467</v>
      </c>
      <c r="G381" s="115" t="s">
        <v>9324</v>
      </c>
      <c r="H381" s="115" t="s">
        <v>9323</v>
      </c>
      <c r="I381" s="7" t="s">
        <v>9368</v>
      </c>
      <c r="J381" s="110" t="s">
        <v>9365</v>
      </c>
      <c r="K381" s="7" t="s">
        <v>9353</v>
      </c>
      <c r="L381" s="109" t="s">
        <v>9467</v>
      </c>
    </row>
    <row r="382" spans="1:12" ht="14.85" customHeight="1" x14ac:dyDescent="0.25">
      <c r="A382" s="108" t="s">
        <v>9308</v>
      </c>
      <c r="B382" s="115" t="s">
        <v>9337</v>
      </c>
      <c r="C382" s="115" t="s">
        <v>9338</v>
      </c>
      <c r="D382" s="109" t="s">
        <v>9646</v>
      </c>
      <c r="E382" s="110" t="s">
        <v>9647</v>
      </c>
      <c r="F382" s="236" t="s">
        <v>9467</v>
      </c>
      <c r="G382" s="115" t="s">
        <v>9324</v>
      </c>
      <c r="H382" s="115" t="s">
        <v>9323</v>
      </c>
      <c r="I382" s="7" t="s">
        <v>9369</v>
      </c>
      <c r="J382" s="110" t="s">
        <v>9370</v>
      </c>
      <c r="K382" s="7" t="s">
        <v>9353</v>
      </c>
      <c r="L382" s="109" t="s">
        <v>9467</v>
      </c>
    </row>
    <row r="383" spans="1:12" ht="14.85" customHeight="1" x14ac:dyDescent="0.25">
      <c r="A383" s="108" t="s">
        <v>9308</v>
      </c>
      <c r="B383" s="115" t="s">
        <v>9337</v>
      </c>
      <c r="C383" s="115" t="s">
        <v>9338</v>
      </c>
      <c r="D383" s="109" t="s">
        <v>9646</v>
      </c>
      <c r="E383" s="110" t="s">
        <v>9647</v>
      </c>
      <c r="F383" s="236" t="s">
        <v>9467</v>
      </c>
      <c r="G383" s="115" t="s">
        <v>9324</v>
      </c>
      <c r="H383" s="115" t="s">
        <v>9323</v>
      </c>
      <c r="I383" s="7" t="s">
        <v>9371</v>
      </c>
      <c r="J383" s="110" t="s">
        <v>9372</v>
      </c>
      <c r="K383" s="7" t="s">
        <v>9353</v>
      </c>
      <c r="L383" s="109" t="s">
        <v>9467</v>
      </c>
    </row>
    <row r="384" spans="1:12" ht="14.85" customHeight="1" x14ac:dyDescent="0.25">
      <c r="A384" s="108" t="s">
        <v>9308</v>
      </c>
      <c r="B384" s="115" t="s">
        <v>9337</v>
      </c>
      <c r="C384" s="115" t="s">
        <v>9338</v>
      </c>
      <c r="D384" s="109" t="s">
        <v>9646</v>
      </c>
      <c r="E384" s="110" t="s">
        <v>9647</v>
      </c>
      <c r="F384" s="236" t="s">
        <v>9467</v>
      </c>
      <c r="G384" s="115" t="s">
        <v>9324</v>
      </c>
      <c r="H384" s="115" t="s">
        <v>9323</v>
      </c>
      <c r="I384" s="7" t="s">
        <v>9373</v>
      </c>
      <c r="J384" s="110" t="s">
        <v>9374</v>
      </c>
      <c r="K384" s="7" t="s">
        <v>9353</v>
      </c>
      <c r="L384" s="109" t="s">
        <v>9467</v>
      </c>
    </row>
    <row r="385" spans="1:12" ht="14.85" customHeight="1" x14ac:dyDescent="0.25">
      <c r="A385" s="108" t="s">
        <v>9308</v>
      </c>
      <c r="B385" s="115" t="s">
        <v>9337</v>
      </c>
      <c r="C385" s="115" t="s">
        <v>9338</v>
      </c>
      <c r="D385" s="109" t="s">
        <v>9646</v>
      </c>
      <c r="E385" s="110" t="s">
        <v>9647</v>
      </c>
      <c r="F385" s="236" t="s">
        <v>9467</v>
      </c>
      <c r="G385" s="115" t="s">
        <v>9324</v>
      </c>
      <c r="H385" s="115" t="s">
        <v>9323</v>
      </c>
      <c r="I385" s="7" t="s">
        <v>9375</v>
      </c>
      <c r="J385" s="110" t="s">
        <v>9376</v>
      </c>
      <c r="K385" s="7" t="s">
        <v>9353</v>
      </c>
      <c r="L385" s="109" t="s">
        <v>9467</v>
      </c>
    </row>
    <row r="386" spans="1:12" ht="14.85" customHeight="1" x14ac:dyDescent="0.25">
      <c r="A386" s="108" t="s">
        <v>9308</v>
      </c>
      <c r="B386" s="115" t="s">
        <v>9337</v>
      </c>
      <c r="C386" s="115" t="s">
        <v>9338</v>
      </c>
      <c r="D386" s="109" t="s">
        <v>9646</v>
      </c>
      <c r="E386" s="110" t="s">
        <v>9647</v>
      </c>
      <c r="F386" s="236" t="s">
        <v>9467</v>
      </c>
      <c r="G386" s="115" t="s">
        <v>9324</v>
      </c>
      <c r="H386" s="115" t="s">
        <v>9323</v>
      </c>
      <c r="I386" s="7" t="s">
        <v>9377</v>
      </c>
      <c r="J386" s="110" t="s">
        <v>9378</v>
      </c>
      <c r="K386" s="7" t="s">
        <v>9353</v>
      </c>
      <c r="L386" s="109" t="s">
        <v>9467</v>
      </c>
    </row>
    <row r="387" spans="1:12" ht="14.85" customHeight="1" x14ac:dyDescent="0.25">
      <c r="A387" s="108" t="s">
        <v>9308</v>
      </c>
      <c r="B387" s="115" t="s">
        <v>9337</v>
      </c>
      <c r="C387" s="115" t="s">
        <v>9338</v>
      </c>
      <c r="D387" s="109" t="s">
        <v>9646</v>
      </c>
      <c r="E387" s="110" t="s">
        <v>9647</v>
      </c>
      <c r="F387" s="236" t="s">
        <v>9467</v>
      </c>
      <c r="G387" s="115" t="s">
        <v>9324</v>
      </c>
      <c r="H387" s="115" t="s">
        <v>9323</v>
      </c>
      <c r="I387" s="7" t="s">
        <v>9654</v>
      </c>
      <c r="J387" s="110" t="s">
        <v>9655</v>
      </c>
      <c r="K387" s="7" t="s">
        <v>9440</v>
      </c>
      <c r="L387" s="109" t="s">
        <v>9440</v>
      </c>
    </row>
    <row r="388" spans="1:12" ht="14.85" customHeight="1" x14ac:dyDescent="0.25">
      <c r="A388" s="108" t="s">
        <v>9308</v>
      </c>
      <c r="B388" s="115" t="s">
        <v>9337</v>
      </c>
      <c r="C388" s="115" t="s">
        <v>9338</v>
      </c>
      <c r="D388" s="109" t="s">
        <v>9646</v>
      </c>
      <c r="E388" s="110" t="s">
        <v>9647</v>
      </c>
      <c r="F388" s="236" t="s">
        <v>9467</v>
      </c>
      <c r="G388" s="115" t="s">
        <v>9324</v>
      </c>
      <c r="H388" s="115" t="s">
        <v>9323</v>
      </c>
      <c r="I388" s="7" t="s">
        <v>9656</v>
      </c>
      <c r="J388" s="110" t="s">
        <v>9657</v>
      </c>
      <c r="K388" s="7" t="s">
        <v>9440</v>
      </c>
      <c r="L388" s="109" t="s">
        <v>9440</v>
      </c>
    </row>
    <row r="389" spans="1:12" ht="14.85" customHeight="1" x14ac:dyDescent="0.25">
      <c r="A389" s="108" t="s">
        <v>9308</v>
      </c>
      <c r="B389" s="115" t="s">
        <v>9337</v>
      </c>
      <c r="C389" s="115" t="s">
        <v>9338</v>
      </c>
      <c r="D389" s="109" t="s">
        <v>9646</v>
      </c>
      <c r="E389" s="110" t="s">
        <v>9647</v>
      </c>
      <c r="F389" s="236" t="s">
        <v>9467</v>
      </c>
      <c r="G389" s="115" t="s">
        <v>9324</v>
      </c>
      <c r="H389" s="115" t="s">
        <v>9323</v>
      </c>
      <c r="I389" s="7" t="s">
        <v>9658</v>
      </c>
      <c r="J389" s="110" t="s">
        <v>9659</v>
      </c>
      <c r="K389" s="7" t="s">
        <v>9440</v>
      </c>
      <c r="L389" s="109" t="s">
        <v>9440</v>
      </c>
    </row>
    <row r="390" spans="1:12" ht="14.85" customHeight="1" x14ac:dyDescent="0.25">
      <c r="A390" s="108" t="s">
        <v>9308</v>
      </c>
      <c r="B390" s="115" t="s">
        <v>9337</v>
      </c>
      <c r="C390" s="115" t="s">
        <v>9338</v>
      </c>
      <c r="D390" s="109" t="s">
        <v>9646</v>
      </c>
      <c r="E390" s="110" t="s">
        <v>9647</v>
      </c>
      <c r="F390" s="236" t="s">
        <v>9467</v>
      </c>
      <c r="G390" s="115" t="s">
        <v>9324</v>
      </c>
      <c r="H390" s="115" t="s">
        <v>9323</v>
      </c>
      <c r="I390" s="7" t="s">
        <v>9379</v>
      </c>
      <c r="J390" s="110" t="s">
        <v>9380</v>
      </c>
      <c r="K390" s="7" t="s">
        <v>9353</v>
      </c>
      <c r="L390" s="109" t="s">
        <v>9467</v>
      </c>
    </row>
    <row r="391" spans="1:12" ht="14.85" customHeight="1" x14ac:dyDescent="0.25">
      <c r="A391" s="108" t="s">
        <v>9308</v>
      </c>
      <c r="B391" s="115" t="s">
        <v>9337</v>
      </c>
      <c r="C391" s="115" t="s">
        <v>9338</v>
      </c>
      <c r="D391" s="109" t="s">
        <v>9646</v>
      </c>
      <c r="E391" s="110" t="s">
        <v>9647</v>
      </c>
      <c r="F391" s="236" t="s">
        <v>9467</v>
      </c>
      <c r="G391" s="115" t="s">
        <v>9324</v>
      </c>
      <c r="H391" s="115" t="s">
        <v>9323</v>
      </c>
      <c r="I391" s="7" t="s">
        <v>9660</v>
      </c>
      <c r="J391" s="110" t="s">
        <v>9661</v>
      </c>
      <c r="K391" s="7" t="s">
        <v>9440</v>
      </c>
      <c r="L391" s="109" t="s">
        <v>9440</v>
      </c>
    </row>
    <row r="392" spans="1:12" ht="14.85" customHeight="1" x14ac:dyDescent="0.25">
      <c r="A392" s="108" t="s">
        <v>9308</v>
      </c>
      <c r="B392" s="115" t="s">
        <v>9337</v>
      </c>
      <c r="C392" s="115" t="s">
        <v>9338</v>
      </c>
      <c r="D392" s="109" t="s">
        <v>9646</v>
      </c>
      <c r="E392" s="110" t="s">
        <v>9647</v>
      </c>
      <c r="F392" s="236" t="s">
        <v>9467</v>
      </c>
      <c r="G392" s="115" t="s">
        <v>9324</v>
      </c>
      <c r="H392" s="115" t="s">
        <v>9323</v>
      </c>
      <c r="I392" s="7" t="s">
        <v>9662</v>
      </c>
      <c r="J392" s="110" t="s">
        <v>9663</v>
      </c>
      <c r="K392" s="7" t="s">
        <v>9440</v>
      </c>
      <c r="L392" s="109" t="s">
        <v>9440</v>
      </c>
    </row>
    <row r="393" spans="1:12" ht="14.85" customHeight="1" x14ac:dyDescent="0.25">
      <c r="A393" s="108" t="s">
        <v>9308</v>
      </c>
      <c r="B393" s="115" t="s">
        <v>9337</v>
      </c>
      <c r="C393" s="115" t="s">
        <v>9338</v>
      </c>
      <c r="D393" s="109" t="s">
        <v>9646</v>
      </c>
      <c r="E393" s="110" t="s">
        <v>9647</v>
      </c>
      <c r="F393" s="236" t="s">
        <v>9467</v>
      </c>
      <c r="G393" s="115" t="s">
        <v>9324</v>
      </c>
      <c r="H393" s="115" t="s">
        <v>9323</v>
      </c>
      <c r="I393" s="7" t="s">
        <v>9381</v>
      </c>
      <c r="J393" s="110" t="s">
        <v>9382</v>
      </c>
      <c r="K393" s="7" t="s">
        <v>9353</v>
      </c>
      <c r="L393" s="109" t="s">
        <v>9467</v>
      </c>
    </row>
    <row r="394" spans="1:12" ht="14.85" customHeight="1" x14ac:dyDescent="0.25">
      <c r="A394" s="108" t="s">
        <v>9308</v>
      </c>
      <c r="B394" s="115" t="s">
        <v>9337</v>
      </c>
      <c r="C394" s="115" t="s">
        <v>9338</v>
      </c>
      <c r="D394" s="109" t="s">
        <v>9646</v>
      </c>
      <c r="E394" s="110" t="s">
        <v>9647</v>
      </c>
      <c r="F394" s="236" t="s">
        <v>9467</v>
      </c>
      <c r="G394" s="115" t="s">
        <v>9324</v>
      </c>
      <c r="H394" s="115" t="s">
        <v>9323</v>
      </c>
      <c r="I394" s="7" t="s">
        <v>9664</v>
      </c>
      <c r="J394" s="110" t="s">
        <v>9665</v>
      </c>
      <c r="K394" s="7" t="s">
        <v>9440</v>
      </c>
      <c r="L394" s="109" t="s">
        <v>9440</v>
      </c>
    </row>
    <row r="395" spans="1:12" ht="14.85" customHeight="1" x14ac:dyDescent="0.25">
      <c r="A395" s="108" t="s">
        <v>9308</v>
      </c>
      <c r="B395" s="115" t="s">
        <v>9337</v>
      </c>
      <c r="C395" s="115" t="s">
        <v>9338</v>
      </c>
      <c r="D395" s="109" t="s">
        <v>9646</v>
      </c>
      <c r="E395" s="110" t="s">
        <v>9647</v>
      </c>
      <c r="F395" s="236" t="s">
        <v>9467</v>
      </c>
      <c r="G395" s="115" t="s">
        <v>9324</v>
      </c>
      <c r="H395" s="115" t="s">
        <v>9323</v>
      </c>
      <c r="I395" s="7" t="s">
        <v>9383</v>
      </c>
      <c r="J395" s="110" t="s">
        <v>9384</v>
      </c>
      <c r="K395" s="7" t="s">
        <v>9353</v>
      </c>
      <c r="L395" s="109" t="s">
        <v>9467</v>
      </c>
    </row>
    <row r="396" spans="1:12" ht="14.85" customHeight="1" x14ac:dyDescent="0.25">
      <c r="A396" s="108" t="s">
        <v>9308</v>
      </c>
      <c r="B396" s="115" t="s">
        <v>9337</v>
      </c>
      <c r="C396" s="115" t="s">
        <v>9338</v>
      </c>
      <c r="D396" s="109" t="s">
        <v>9646</v>
      </c>
      <c r="E396" s="110" t="s">
        <v>9647</v>
      </c>
      <c r="F396" s="236" t="s">
        <v>9467</v>
      </c>
      <c r="G396" s="115" t="s">
        <v>9324</v>
      </c>
      <c r="H396" s="115" t="s">
        <v>9323</v>
      </c>
      <c r="I396" s="7" t="s">
        <v>9666</v>
      </c>
      <c r="J396" s="110" t="s">
        <v>9667</v>
      </c>
      <c r="K396" s="7" t="s">
        <v>9440</v>
      </c>
      <c r="L396" s="109" t="s">
        <v>9440</v>
      </c>
    </row>
    <row r="397" spans="1:12" ht="14.85" customHeight="1" x14ac:dyDescent="0.25">
      <c r="A397" s="108" t="s">
        <v>9308</v>
      </c>
      <c r="B397" s="115" t="s">
        <v>9337</v>
      </c>
      <c r="C397" s="115" t="s">
        <v>9338</v>
      </c>
      <c r="D397" s="109" t="s">
        <v>9646</v>
      </c>
      <c r="E397" s="110" t="s">
        <v>9647</v>
      </c>
      <c r="F397" s="236" t="s">
        <v>9467</v>
      </c>
      <c r="G397" s="115" t="s">
        <v>9324</v>
      </c>
      <c r="H397" s="115" t="s">
        <v>9323</v>
      </c>
      <c r="I397" s="7" t="s">
        <v>9385</v>
      </c>
      <c r="J397" s="110" t="s">
        <v>9386</v>
      </c>
      <c r="K397" s="7" t="s">
        <v>9353</v>
      </c>
      <c r="L397" s="109" t="s">
        <v>9467</v>
      </c>
    </row>
    <row r="398" spans="1:12" ht="14.85" customHeight="1" x14ac:dyDescent="0.25">
      <c r="A398" s="108" t="s">
        <v>9308</v>
      </c>
      <c r="B398" s="115" t="s">
        <v>9337</v>
      </c>
      <c r="C398" s="115" t="s">
        <v>9338</v>
      </c>
      <c r="D398" s="109" t="s">
        <v>9646</v>
      </c>
      <c r="E398" s="110" t="s">
        <v>9647</v>
      </c>
      <c r="F398" s="236" t="s">
        <v>9467</v>
      </c>
      <c r="G398" s="115" t="s">
        <v>9324</v>
      </c>
      <c r="H398" s="115" t="s">
        <v>9323</v>
      </c>
      <c r="I398" s="7" t="s">
        <v>9387</v>
      </c>
      <c r="J398" s="110" t="s">
        <v>9388</v>
      </c>
      <c r="K398" s="7" t="s">
        <v>9353</v>
      </c>
      <c r="L398" s="109" t="s">
        <v>9467</v>
      </c>
    </row>
    <row r="399" spans="1:12" ht="14.85" customHeight="1" x14ac:dyDescent="0.25">
      <c r="A399" s="108" t="s">
        <v>9308</v>
      </c>
      <c r="B399" s="115" t="s">
        <v>9337</v>
      </c>
      <c r="C399" s="115" t="s">
        <v>9338</v>
      </c>
      <c r="D399" s="109" t="s">
        <v>9646</v>
      </c>
      <c r="E399" s="110" t="s">
        <v>9647</v>
      </c>
      <c r="F399" s="236" t="s">
        <v>9467</v>
      </c>
      <c r="G399" s="115" t="s">
        <v>9324</v>
      </c>
      <c r="H399" s="115" t="s">
        <v>9323</v>
      </c>
      <c r="I399" s="7" t="s">
        <v>9389</v>
      </c>
      <c r="J399" s="110" t="s">
        <v>9390</v>
      </c>
      <c r="K399" s="7" t="s">
        <v>9353</v>
      </c>
      <c r="L399" s="109" t="s">
        <v>9467</v>
      </c>
    </row>
    <row r="400" spans="1:12" ht="14.85" customHeight="1" x14ac:dyDescent="0.25">
      <c r="A400" s="108" t="s">
        <v>9308</v>
      </c>
      <c r="B400" s="115" t="s">
        <v>9337</v>
      </c>
      <c r="C400" s="115" t="s">
        <v>9338</v>
      </c>
      <c r="D400" s="109" t="s">
        <v>9646</v>
      </c>
      <c r="E400" s="110" t="s">
        <v>9647</v>
      </c>
      <c r="F400" s="236" t="s">
        <v>9467</v>
      </c>
      <c r="G400" s="115" t="s">
        <v>9324</v>
      </c>
      <c r="H400" s="115" t="s">
        <v>9323</v>
      </c>
      <c r="I400" s="7" t="s">
        <v>9391</v>
      </c>
      <c r="J400" s="110" t="s">
        <v>9392</v>
      </c>
      <c r="K400" s="7" t="s">
        <v>9353</v>
      </c>
      <c r="L400" s="109" t="s">
        <v>9467</v>
      </c>
    </row>
    <row r="401" spans="1:12" ht="14.85" customHeight="1" x14ac:dyDescent="0.25">
      <c r="A401" s="108" t="s">
        <v>9308</v>
      </c>
      <c r="B401" s="115" t="s">
        <v>9337</v>
      </c>
      <c r="C401" s="115" t="s">
        <v>9338</v>
      </c>
      <c r="D401" s="109" t="s">
        <v>9646</v>
      </c>
      <c r="E401" s="110" t="s">
        <v>9647</v>
      </c>
      <c r="F401" s="236" t="s">
        <v>9467</v>
      </c>
      <c r="G401" s="115" t="s">
        <v>9324</v>
      </c>
      <c r="H401" s="115" t="s">
        <v>9323</v>
      </c>
      <c r="I401" s="7" t="s">
        <v>9393</v>
      </c>
      <c r="J401" s="110" t="s">
        <v>9394</v>
      </c>
      <c r="K401" s="7" t="s">
        <v>9353</v>
      </c>
      <c r="L401" s="109" t="s">
        <v>9467</v>
      </c>
    </row>
    <row r="402" spans="1:12" ht="14.85" customHeight="1" x14ac:dyDescent="0.25">
      <c r="A402" s="108" t="s">
        <v>9308</v>
      </c>
      <c r="B402" s="115" t="s">
        <v>9337</v>
      </c>
      <c r="C402" s="115" t="s">
        <v>9338</v>
      </c>
      <c r="D402" s="109" t="s">
        <v>9646</v>
      </c>
      <c r="E402" s="110" t="s">
        <v>9647</v>
      </c>
      <c r="F402" s="236" t="s">
        <v>9467</v>
      </c>
      <c r="G402" s="115" t="s">
        <v>9324</v>
      </c>
      <c r="H402" s="115" t="s">
        <v>9323</v>
      </c>
      <c r="I402" s="7" t="s">
        <v>9395</v>
      </c>
      <c r="J402" s="110" t="s">
        <v>9396</v>
      </c>
      <c r="K402" s="7" t="s">
        <v>9353</v>
      </c>
      <c r="L402" s="109" t="s">
        <v>9467</v>
      </c>
    </row>
    <row r="403" spans="1:12" ht="14.85" customHeight="1" x14ac:dyDescent="0.25">
      <c r="A403" s="108" t="s">
        <v>9308</v>
      </c>
      <c r="B403" s="115" t="s">
        <v>9337</v>
      </c>
      <c r="C403" s="115" t="s">
        <v>9338</v>
      </c>
      <c r="D403" s="109" t="s">
        <v>9646</v>
      </c>
      <c r="E403" s="110" t="s">
        <v>9647</v>
      </c>
      <c r="F403" s="236" t="s">
        <v>9467</v>
      </c>
      <c r="G403" s="115" t="s">
        <v>9324</v>
      </c>
      <c r="H403" s="115" t="s">
        <v>9323</v>
      </c>
      <c r="I403" s="7" t="s">
        <v>9668</v>
      </c>
      <c r="J403" s="110" t="s">
        <v>9669</v>
      </c>
      <c r="K403" s="7" t="s">
        <v>9440</v>
      </c>
      <c r="L403" s="109" t="s">
        <v>9440</v>
      </c>
    </row>
    <row r="404" spans="1:12" ht="14.85" customHeight="1" x14ac:dyDescent="0.25">
      <c r="A404" s="108" t="s">
        <v>9308</v>
      </c>
      <c r="B404" s="115" t="s">
        <v>9337</v>
      </c>
      <c r="C404" s="115" t="s">
        <v>9338</v>
      </c>
      <c r="D404" s="109" t="s">
        <v>9646</v>
      </c>
      <c r="E404" s="110" t="s">
        <v>9647</v>
      </c>
      <c r="F404" s="236" t="s">
        <v>9467</v>
      </c>
      <c r="G404" s="115" t="s">
        <v>9324</v>
      </c>
      <c r="H404" s="115" t="s">
        <v>9323</v>
      </c>
      <c r="I404" s="7" t="s">
        <v>9397</v>
      </c>
      <c r="J404" s="110" t="s">
        <v>9398</v>
      </c>
      <c r="K404" s="7" t="s">
        <v>9353</v>
      </c>
      <c r="L404" s="109" t="s">
        <v>9467</v>
      </c>
    </row>
    <row r="405" spans="1:12" ht="14.85" customHeight="1" x14ac:dyDescent="0.25">
      <c r="A405" s="108" t="s">
        <v>9308</v>
      </c>
      <c r="B405" s="115" t="s">
        <v>9337</v>
      </c>
      <c r="C405" s="115" t="s">
        <v>9338</v>
      </c>
      <c r="D405" s="109" t="s">
        <v>9646</v>
      </c>
      <c r="E405" s="110" t="s">
        <v>9647</v>
      </c>
      <c r="F405" s="236" t="s">
        <v>9467</v>
      </c>
      <c r="G405" s="115" t="s">
        <v>9324</v>
      </c>
      <c r="H405" s="115" t="s">
        <v>9323</v>
      </c>
      <c r="I405" s="7" t="s">
        <v>9399</v>
      </c>
      <c r="J405" s="110" t="s">
        <v>9400</v>
      </c>
      <c r="K405" s="7" t="s">
        <v>9353</v>
      </c>
      <c r="L405" s="109" t="s">
        <v>9467</v>
      </c>
    </row>
    <row r="406" spans="1:12" ht="14.85" customHeight="1" x14ac:dyDescent="0.25">
      <c r="A406" s="108" t="s">
        <v>9308</v>
      </c>
      <c r="B406" s="115" t="s">
        <v>9337</v>
      </c>
      <c r="C406" s="115" t="s">
        <v>9338</v>
      </c>
      <c r="D406" s="109" t="s">
        <v>9646</v>
      </c>
      <c r="E406" s="110" t="s">
        <v>9647</v>
      </c>
      <c r="F406" s="236" t="s">
        <v>9467</v>
      </c>
      <c r="G406" s="115" t="s">
        <v>9324</v>
      </c>
      <c r="H406" s="115" t="s">
        <v>9323</v>
      </c>
      <c r="I406" s="7" t="s">
        <v>9403</v>
      </c>
      <c r="J406" s="110" t="s">
        <v>9402</v>
      </c>
      <c r="K406" s="7" t="s">
        <v>9353</v>
      </c>
      <c r="L406" s="109" t="s">
        <v>9467</v>
      </c>
    </row>
    <row r="407" spans="1:12" ht="14.85" customHeight="1" x14ac:dyDescent="0.25">
      <c r="A407" s="108" t="s">
        <v>9308</v>
      </c>
      <c r="B407" s="115" t="s">
        <v>9337</v>
      </c>
      <c r="C407" s="115" t="s">
        <v>9338</v>
      </c>
      <c r="D407" s="109" t="s">
        <v>9646</v>
      </c>
      <c r="E407" s="110" t="s">
        <v>9647</v>
      </c>
      <c r="F407" s="236" t="s">
        <v>9467</v>
      </c>
      <c r="G407" s="115" t="s">
        <v>9324</v>
      </c>
      <c r="H407" s="115" t="s">
        <v>9323</v>
      </c>
      <c r="I407" s="7" t="s">
        <v>9670</v>
      </c>
      <c r="J407" s="110" t="s">
        <v>9671</v>
      </c>
      <c r="K407" s="7" t="s">
        <v>9440</v>
      </c>
      <c r="L407" s="109" t="s">
        <v>9440</v>
      </c>
    </row>
    <row r="408" spans="1:12" ht="14.85" customHeight="1" x14ac:dyDescent="0.25">
      <c r="A408" s="108" t="s">
        <v>9308</v>
      </c>
      <c r="B408" s="115" t="s">
        <v>9337</v>
      </c>
      <c r="C408" s="115" t="s">
        <v>9338</v>
      </c>
      <c r="D408" s="109" t="s">
        <v>9646</v>
      </c>
      <c r="E408" s="110" t="s">
        <v>9647</v>
      </c>
      <c r="F408" s="236" t="s">
        <v>9467</v>
      </c>
      <c r="G408" s="115" t="s">
        <v>9324</v>
      </c>
      <c r="H408" s="115" t="s">
        <v>9323</v>
      </c>
      <c r="I408" s="7" t="s">
        <v>9406</v>
      </c>
      <c r="J408" s="110" t="s">
        <v>9405</v>
      </c>
      <c r="K408" s="7" t="s">
        <v>9353</v>
      </c>
      <c r="L408" s="109" t="s">
        <v>9467</v>
      </c>
    </row>
    <row r="409" spans="1:12" ht="14.85" customHeight="1" x14ac:dyDescent="0.25">
      <c r="A409" s="108" t="s">
        <v>9308</v>
      </c>
      <c r="B409" s="115" t="s">
        <v>9337</v>
      </c>
      <c r="C409" s="115" t="s">
        <v>9338</v>
      </c>
      <c r="D409" s="109" t="s">
        <v>9646</v>
      </c>
      <c r="E409" s="110" t="s">
        <v>9647</v>
      </c>
      <c r="F409" s="236" t="s">
        <v>9467</v>
      </c>
      <c r="G409" s="115" t="s">
        <v>9324</v>
      </c>
      <c r="H409" s="115" t="s">
        <v>9323</v>
      </c>
      <c r="I409" s="7" t="s">
        <v>9672</v>
      </c>
      <c r="J409" s="110" t="s">
        <v>9673</v>
      </c>
      <c r="K409" s="7" t="s">
        <v>9440</v>
      </c>
      <c r="L409" s="109" t="s">
        <v>9440</v>
      </c>
    </row>
    <row r="410" spans="1:12" ht="14.85" customHeight="1" x14ac:dyDescent="0.25">
      <c r="A410" s="108" t="s">
        <v>9308</v>
      </c>
      <c r="B410" s="115" t="s">
        <v>9337</v>
      </c>
      <c r="C410" s="115" t="s">
        <v>9338</v>
      </c>
      <c r="D410" s="109" t="s">
        <v>9646</v>
      </c>
      <c r="E410" s="110" t="s">
        <v>9647</v>
      </c>
      <c r="F410" s="236" t="s">
        <v>9467</v>
      </c>
      <c r="G410" s="115" t="s">
        <v>9324</v>
      </c>
      <c r="H410" s="115" t="s">
        <v>9323</v>
      </c>
      <c r="I410" s="7" t="s">
        <v>9351</v>
      </c>
      <c r="J410" s="110" t="s">
        <v>9352</v>
      </c>
      <c r="K410" s="7" t="s">
        <v>9353</v>
      </c>
      <c r="L410" s="109" t="s">
        <v>9467</v>
      </c>
    </row>
    <row r="411" spans="1:12" ht="14.85" customHeight="1" x14ac:dyDescent="0.25">
      <c r="A411" s="108" t="s">
        <v>9308</v>
      </c>
      <c r="B411" s="115" t="s">
        <v>9337</v>
      </c>
      <c r="C411" s="115" t="s">
        <v>9338</v>
      </c>
      <c r="D411" s="109" t="s">
        <v>9674</v>
      </c>
      <c r="E411" s="110" t="s">
        <v>9675</v>
      </c>
      <c r="F411" s="236" t="s">
        <v>9467</v>
      </c>
      <c r="G411" s="115" t="s">
        <v>9324</v>
      </c>
      <c r="H411" s="115" t="s">
        <v>9323</v>
      </c>
      <c r="I411" s="7" t="s">
        <v>9676</v>
      </c>
      <c r="J411" s="110" t="s">
        <v>9677</v>
      </c>
      <c r="K411" s="7" t="s">
        <v>9440</v>
      </c>
      <c r="L411" s="109" t="s">
        <v>9440</v>
      </c>
    </row>
    <row r="412" spans="1:12" ht="14.85" customHeight="1" x14ac:dyDescent="0.25">
      <c r="A412" s="108" t="s">
        <v>9308</v>
      </c>
      <c r="B412" s="115" t="s">
        <v>9337</v>
      </c>
      <c r="C412" s="115" t="s">
        <v>9338</v>
      </c>
      <c r="D412" s="109" t="s">
        <v>9674</v>
      </c>
      <c r="E412" s="110" t="s">
        <v>9675</v>
      </c>
      <c r="F412" s="236" t="s">
        <v>9467</v>
      </c>
      <c r="G412" s="115" t="s">
        <v>9324</v>
      </c>
      <c r="H412" s="115" t="s">
        <v>9323</v>
      </c>
      <c r="I412" s="7" t="s">
        <v>9351</v>
      </c>
      <c r="J412" s="110" t="s">
        <v>9352</v>
      </c>
      <c r="K412" s="7" t="s">
        <v>9353</v>
      </c>
      <c r="L412" s="109" t="s">
        <v>9467</v>
      </c>
    </row>
    <row r="413" spans="1:12" ht="14.85" customHeight="1" x14ac:dyDescent="0.25">
      <c r="A413" s="108" t="s">
        <v>9308</v>
      </c>
      <c r="B413" s="115" t="s">
        <v>9337</v>
      </c>
      <c r="C413" s="115" t="s">
        <v>9338</v>
      </c>
      <c r="D413" s="109" t="s">
        <v>9674</v>
      </c>
      <c r="E413" s="110" t="s">
        <v>9675</v>
      </c>
      <c r="F413" s="236" t="s">
        <v>9467</v>
      </c>
      <c r="G413" s="115" t="s">
        <v>9324</v>
      </c>
      <c r="H413" s="115" t="s">
        <v>9323</v>
      </c>
      <c r="I413" s="7" t="s">
        <v>9678</v>
      </c>
      <c r="J413" s="110" t="s">
        <v>9679</v>
      </c>
      <c r="K413" s="7" t="s">
        <v>9443</v>
      </c>
      <c r="L413" s="109" t="s">
        <v>9443</v>
      </c>
    </row>
    <row r="414" spans="1:12" ht="14.85" customHeight="1" x14ac:dyDescent="0.25">
      <c r="A414" s="108" t="s">
        <v>13512</v>
      </c>
      <c r="B414" s="161" t="s">
        <v>9337</v>
      </c>
      <c r="C414" s="115" t="s">
        <v>9338</v>
      </c>
      <c r="D414" s="109" t="s">
        <v>9680</v>
      </c>
      <c r="E414" s="323" t="s">
        <v>13484</v>
      </c>
      <c r="F414" s="236" t="s">
        <v>9451</v>
      </c>
      <c r="G414" s="115" t="s">
        <v>9324</v>
      </c>
      <c r="H414" s="115" t="s">
        <v>9323</v>
      </c>
      <c r="I414" s="7" t="s">
        <v>9403</v>
      </c>
      <c r="J414" s="110" t="s">
        <v>9402</v>
      </c>
      <c r="K414" s="7" t="s">
        <v>9353</v>
      </c>
      <c r="L414" s="109" t="s">
        <v>9451</v>
      </c>
    </row>
    <row r="415" spans="1:12" ht="14.85" customHeight="1" x14ac:dyDescent="0.25">
      <c r="A415" s="108" t="s">
        <v>13512</v>
      </c>
      <c r="B415" s="161" t="s">
        <v>9337</v>
      </c>
      <c r="C415" s="115" t="s">
        <v>9338</v>
      </c>
      <c r="D415" s="109" t="s">
        <v>9680</v>
      </c>
      <c r="E415" s="323" t="s">
        <v>13484</v>
      </c>
      <c r="F415" s="236" t="s">
        <v>9451</v>
      </c>
      <c r="G415" s="115" t="s">
        <v>9324</v>
      </c>
      <c r="H415" s="115" t="s">
        <v>9323</v>
      </c>
      <c r="I415" s="7" t="s">
        <v>9670</v>
      </c>
      <c r="J415" s="110" t="s">
        <v>9671</v>
      </c>
      <c r="K415" s="7" t="s">
        <v>9440</v>
      </c>
      <c r="L415" s="109" t="s">
        <v>9451</v>
      </c>
    </row>
    <row r="416" spans="1:12" ht="14.85" customHeight="1" x14ac:dyDescent="0.25">
      <c r="A416" s="108" t="s">
        <v>13512</v>
      </c>
      <c r="B416" s="161" t="s">
        <v>9337</v>
      </c>
      <c r="C416" s="115" t="s">
        <v>9338</v>
      </c>
      <c r="D416" s="109" t="s">
        <v>9680</v>
      </c>
      <c r="E416" s="323" t="s">
        <v>13484</v>
      </c>
      <c r="F416" s="236" t="s">
        <v>9451</v>
      </c>
      <c r="G416" s="115" t="s">
        <v>9324</v>
      </c>
      <c r="H416" s="115" t="s">
        <v>9323</v>
      </c>
      <c r="I416" s="7" t="s">
        <v>9351</v>
      </c>
      <c r="J416" s="110" t="s">
        <v>9352</v>
      </c>
      <c r="K416" s="7" t="s">
        <v>9353</v>
      </c>
      <c r="L416" s="109" t="s">
        <v>9451</v>
      </c>
    </row>
    <row r="417" spans="1:12" ht="14.85" customHeight="1" x14ac:dyDescent="0.25">
      <c r="A417" s="108" t="s">
        <v>13512</v>
      </c>
      <c r="B417" s="161" t="s">
        <v>9337</v>
      </c>
      <c r="C417" s="115" t="s">
        <v>9338</v>
      </c>
      <c r="D417" s="109" t="s">
        <v>9681</v>
      </c>
      <c r="E417" s="323" t="s">
        <v>13485</v>
      </c>
      <c r="F417" s="236" t="s">
        <v>9451</v>
      </c>
      <c r="G417" s="115" t="s">
        <v>9324</v>
      </c>
      <c r="H417" s="115" t="s">
        <v>9323</v>
      </c>
      <c r="I417" s="7" t="s">
        <v>9403</v>
      </c>
      <c r="J417" s="110" t="s">
        <v>9402</v>
      </c>
      <c r="K417" s="7" t="s">
        <v>9353</v>
      </c>
      <c r="L417" s="109" t="s">
        <v>9451</v>
      </c>
    </row>
    <row r="418" spans="1:12" ht="14.85" customHeight="1" x14ac:dyDescent="0.25">
      <c r="A418" s="108" t="s">
        <v>13512</v>
      </c>
      <c r="B418" s="161" t="s">
        <v>9337</v>
      </c>
      <c r="C418" s="115" t="s">
        <v>9338</v>
      </c>
      <c r="D418" s="109" t="s">
        <v>9681</v>
      </c>
      <c r="E418" s="323" t="s">
        <v>13485</v>
      </c>
      <c r="F418" s="236" t="s">
        <v>9451</v>
      </c>
      <c r="G418" s="115" t="s">
        <v>9324</v>
      </c>
      <c r="H418" s="115" t="s">
        <v>9323</v>
      </c>
      <c r="I418" s="7" t="s">
        <v>9670</v>
      </c>
      <c r="J418" s="110" t="s">
        <v>9671</v>
      </c>
      <c r="K418" s="7" t="s">
        <v>9440</v>
      </c>
      <c r="L418" s="109" t="s">
        <v>9451</v>
      </c>
    </row>
    <row r="419" spans="1:12" ht="14.85" customHeight="1" x14ac:dyDescent="0.25">
      <c r="A419" s="108" t="s">
        <v>13512</v>
      </c>
      <c r="B419" s="161" t="s">
        <v>9337</v>
      </c>
      <c r="C419" s="115" t="s">
        <v>9338</v>
      </c>
      <c r="D419" s="109" t="s">
        <v>9681</v>
      </c>
      <c r="E419" s="323" t="s">
        <v>13485</v>
      </c>
      <c r="F419" s="236" t="s">
        <v>9451</v>
      </c>
      <c r="G419" s="115" t="s">
        <v>9324</v>
      </c>
      <c r="H419" s="115" t="s">
        <v>9323</v>
      </c>
      <c r="I419" s="7" t="s">
        <v>9351</v>
      </c>
      <c r="J419" s="110" t="s">
        <v>9352</v>
      </c>
      <c r="K419" s="7" t="s">
        <v>9353</v>
      </c>
      <c r="L419" s="109" t="s">
        <v>9451</v>
      </c>
    </row>
    <row r="420" spans="1:12" ht="14.85" customHeight="1" x14ac:dyDescent="0.25">
      <c r="A420" s="108" t="s">
        <v>9308</v>
      </c>
      <c r="B420" s="115" t="s">
        <v>9337</v>
      </c>
      <c r="C420" s="115" t="s">
        <v>9338</v>
      </c>
      <c r="D420" s="109" t="s">
        <v>9682</v>
      </c>
      <c r="E420" s="110" t="s">
        <v>9683</v>
      </c>
      <c r="F420" s="236" t="s">
        <v>9467</v>
      </c>
      <c r="G420" s="115" t="s">
        <v>9324</v>
      </c>
      <c r="H420" s="115" t="s">
        <v>9323</v>
      </c>
      <c r="I420" s="7" t="s">
        <v>9403</v>
      </c>
      <c r="J420" s="110" t="s">
        <v>9402</v>
      </c>
      <c r="K420" s="7" t="s">
        <v>9353</v>
      </c>
      <c r="L420" s="109" t="s">
        <v>9467</v>
      </c>
    </row>
    <row r="421" spans="1:12" ht="14.85" customHeight="1" x14ac:dyDescent="0.25">
      <c r="A421" s="108" t="s">
        <v>9308</v>
      </c>
      <c r="B421" s="115" t="s">
        <v>9337</v>
      </c>
      <c r="C421" s="115" t="s">
        <v>9338</v>
      </c>
      <c r="D421" s="109" t="s">
        <v>9682</v>
      </c>
      <c r="E421" s="110" t="s">
        <v>9683</v>
      </c>
      <c r="F421" s="236" t="s">
        <v>9467</v>
      </c>
      <c r="G421" s="115" t="s">
        <v>9324</v>
      </c>
      <c r="H421" s="115" t="s">
        <v>9323</v>
      </c>
      <c r="I421" s="7" t="s">
        <v>9670</v>
      </c>
      <c r="J421" s="110" t="s">
        <v>9671</v>
      </c>
      <c r="K421" s="7" t="s">
        <v>9440</v>
      </c>
      <c r="L421" s="109" t="s">
        <v>9440</v>
      </c>
    </row>
    <row r="422" spans="1:12" ht="14.85" customHeight="1" x14ac:dyDescent="0.25">
      <c r="A422" s="108" t="s">
        <v>9308</v>
      </c>
      <c r="B422" s="115" t="s">
        <v>9337</v>
      </c>
      <c r="C422" s="115" t="s">
        <v>9338</v>
      </c>
      <c r="D422" s="109" t="s">
        <v>9682</v>
      </c>
      <c r="E422" s="110" t="s">
        <v>9683</v>
      </c>
      <c r="F422" s="236" t="s">
        <v>9467</v>
      </c>
      <c r="G422" s="115" t="s">
        <v>9324</v>
      </c>
      <c r="H422" s="115" t="s">
        <v>9323</v>
      </c>
      <c r="I422" s="7" t="s">
        <v>9351</v>
      </c>
      <c r="J422" s="110" t="s">
        <v>9352</v>
      </c>
      <c r="K422" s="7" t="s">
        <v>9353</v>
      </c>
      <c r="L422" s="109" t="s">
        <v>9467</v>
      </c>
    </row>
    <row r="423" spans="1:12" ht="14.85" customHeight="1" x14ac:dyDescent="0.25">
      <c r="A423" s="108" t="s">
        <v>9308</v>
      </c>
      <c r="B423" s="115" t="s">
        <v>9337</v>
      </c>
      <c r="C423" s="115" t="s">
        <v>9338</v>
      </c>
      <c r="D423" s="109" t="s">
        <v>9682</v>
      </c>
      <c r="E423" s="110" t="s">
        <v>9683</v>
      </c>
      <c r="F423" s="236" t="s">
        <v>9467</v>
      </c>
      <c r="G423" s="115" t="s">
        <v>9324</v>
      </c>
      <c r="H423" s="115" t="s">
        <v>9323</v>
      </c>
      <c r="I423" s="7" t="s">
        <v>9684</v>
      </c>
      <c r="J423" s="110" t="s">
        <v>9685</v>
      </c>
      <c r="K423" s="7" t="s">
        <v>9443</v>
      </c>
      <c r="L423" s="109" t="s">
        <v>9443</v>
      </c>
    </row>
    <row r="424" spans="1:12" ht="14.85" customHeight="1" x14ac:dyDescent="0.25">
      <c r="A424" s="108" t="s">
        <v>13512</v>
      </c>
      <c r="B424" s="161" t="s">
        <v>9337</v>
      </c>
      <c r="C424" s="115" t="s">
        <v>9338</v>
      </c>
      <c r="D424" s="109" t="s">
        <v>9686</v>
      </c>
      <c r="E424" s="323" t="s">
        <v>13486</v>
      </c>
      <c r="F424" s="236" t="s">
        <v>9451</v>
      </c>
      <c r="G424" s="115" t="s">
        <v>9324</v>
      </c>
      <c r="H424" s="115" t="s">
        <v>9323</v>
      </c>
      <c r="I424" s="7" t="s">
        <v>9406</v>
      </c>
      <c r="J424" s="110" t="s">
        <v>9405</v>
      </c>
      <c r="K424" s="7" t="s">
        <v>9353</v>
      </c>
      <c r="L424" s="109" t="s">
        <v>9451</v>
      </c>
    </row>
    <row r="425" spans="1:12" ht="14.85" customHeight="1" x14ac:dyDescent="0.25">
      <c r="A425" s="108" t="s">
        <v>13512</v>
      </c>
      <c r="B425" s="161" t="s">
        <v>9337</v>
      </c>
      <c r="C425" s="115" t="s">
        <v>9338</v>
      </c>
      <c r="D425" s="109" t="s">
        <v>9686</v>
      </c>
      <c r="E425" s="323" t="s">
        <v>13486</v>
      </c>
      <c r="F425" s="236" t="s">
        <v>9451</v>
      </c>
      <c r="G425" s="115" t="s">
        <v>9324</v>
      </c>
      <c r="H425" s="115" t="s">
        <v>9323</v>
      </c>
      <c r="I425" s="7" t="s">
        <v>9672</v>
      </c>
      <c r="J425" s="110" t="s">
        <v>9673</v>
      </c>
      <c r="K425" s="7" t="s">
        <v>9440</v>
      </c>
      <c r="L425" s="109" t="s">
        <v>9451</v>
      </c>
    </row>
    <row r="426" spans="1:12" ht="14.85" customHeight="1" x14ac:dyDescent="0.25">
      <c r="A426" s="108" t="s">
        <v>13512</v>
      </c>
      <c r="B426" s="161" t="s">
        <v>9337</v>
      </c>
      <c r="C426" s="115" t="s">
        <v>9338</v>
      </c>
      <c r="D426" s="109" t="s">
        <v>9686</v>
      </c>
      <c r="E426" s="323" t="s">
        <v>13486</v>
      </c>
      <c r="F426" s="236" t="s">
        <v>9451</v>
      </c>
      <c r="G426" s="115" t="s">
        <v>9324</v>
      </c>
      <c r="H426" s="115" t="s">
        <v>9323</v>
      </c>
      <c r="I426" s="7" t="s">
        <v>9351</v>
      </c>
      <c r="J426" s="110" t="s">
        <v>9352</v>
      </c>
      <c r="K426" s="7" t="s">
        <v>9353</v>
      </c>
      <c r="L426" s="109" t="s">
        <v>9451</v>
      </c>
    </row>
    <row r="427" spans="1:12" ht="14.85" customHeight="1" x14ac:dyDescent="0.25">
      <c r="A427" s="108" t="s">
        <v>13512</v>
      </c>
      <c r="B427" s="161" t="s">
        <v>9337</v>
      </c>
      <c r="C427" s="115" t="s">
        <v>9338</v>
      </c>
      <c r="D427" s="109" t="s">
        <v>9687</v>
      </c>
      <c r="E427" s="323" t="s">
        <v>13487</v>
      </c>
      <c r="F427" s="236" t="s">
        <v>9451</v>
      </c>
      <c r="G427" s="115" t="s">
        <v>9324</v>
      </c>
      <c r="H427" s="115" t="s">
        <v>9323</v>
      </c>
      <c r="I427" s="7" t="s">
        <v>9406</v>
      </c>
      <c r="J427" s="110" t="s">
        <v>9405</v>
      </c>
      <c r="K427" s="7" t="s">
        <v>9353</v>
      </c>
      <c r="L427" s="109" t="s">
        <v>9451</v>
      </c>
    </row>
    <row r="428" spans="1:12" ht="14.85" customHeight="1" x14ac:dyDescent="0.25">
      <c r="A428" s="108" t="s">
        <v>13512</v>
      </c>
      <c r="B428" s="161" t="s">
        <v>9337</v>
      </c>
      <c r="C428" s="115" t="s">
        <v>9338</v>
      </c>
      <c r="D428" s="109" t="s">
        <v>9687</v>
      </c>
      <c r="E428" s="323" t="s">
        <v>13487</v>
      </c>
      <c r="F428" s="236" t="s">
        <v>9451</v>
      </c>
      <c r="G428" s="115" t="s">
        <v>9324</v>
      </c>
      <c r="H428" s="115" t="s">
        <v>9323</v>
      </c>
      <c r="I428" s="7" t="s">
        <v>9672</v>
      </c>
      <c r="J428" s="110" t="s">
        <v>9673</v>
      </c>
      <c r="K428" s="7" t="s">
        <v>9440</v>
      </c>
      <c r="L428" s="109" t="s">
        <v>9451</v>
      </c>
    </row>
    <row r="429" spans="1:12" ht="14.85" customHeight="1" x14ac:dyDescent="0.25">
      <c r="A429" s="108" t="s">
        <v>13512</v>
      </c>
      <c r="B429" s="161" t="s">
        <v>9337</v>
      </c>
      <c r="C429" s="115" t="s">
        <v>9338</v>
      </c>
      <c r="D429" s="109" t="s">
        <v>9687</v>
      </c>
      <c r="E429" s="323" t="s">
        <v>13487</v>
      </c>
      <c r="F429" s="236" t="s">
        <v>9451</v>
      </c>
      <c r="G429" s="115" t="s">
        <v>9324</v>
      </c>
      <c r="H429" s="115" t="s">
        <v>9323</v>
      </c>
      <c r="I429" s="7" t="s">
        <v>9351</v>
      </c>
      <c r="J429" s="110" t="s">
        <v>9352</v>
      </c>
      <c r="K429" s="7" t="s">
        <v>9353</v>
      </c>
      <c r="L429" s="109" t="s">
        <v>9451</v>
      </c>
    </row>
    <row r="430" spans="1:12" ht="14.85" customHeight="1" x14ac:dyDescent="0.25">
      <c r="A430" s="108" t="s">
        <v>9308</v>
      </c>
      <c r="B430" s="115" t="s">
        <v>9337</v>
      </c>
      <c r="C430" s="115" t="s">
        <v>9338</v>
      </c>
      <c r="D430" s="109" t="s">
        <v>9688</v>
      </c>
      <c r="E430" s="110" t="s">
        <v>9689</v>
      </c>
      <c r="F430" s="236" t="s">
        <v>9467</v>
      </c>
      <c r="G430" s="115" t="s">
        <v>9324</v>
      </c>
      <c r="H430" s="115" t="s">
        <v>9323</v>
      </c>
      <c r="I430" s="7" t="s">
        <v>9406</v>
      </c>
      <c r="J430" s="110" t="s">
        <v>9405</v>
      </c>
      <c r="K430" s="7" t="s">
        <v>9353</v>
      </c>
      <c r="L430" s="109" t="s">
        <v>9467</v>
      </c>
    </row>
    <row r="431" spans="1:12" ht="14.85" customHeight="1" x14ac:dyDescent="0.25">
      <c r="A431" s="108" t="s">
        <v>9308</v>
      </c>
      <c r="B431" s="115" t="s">
        <v>9337</v>
      </c>
      <c r="C431" s="115" t="s">
        <v>9338</v>
      </c>
      <c r="D431" s="109" t="s">
        <v>9688</v>
      </c>
      <c r="E431" s="110" t="s">
        <v>9689</v>
      </c>
      <c r="F431" s="236" t="s">
        <v>9467</v>
      </c>
      <c r="G431" s="115" t="s">
        <v>9324</v>
      </c>
      <c r="H431" s="115" t="s">
        <v>9323</v>
      </c>
      <c r="I431" s="7" t="s">
        <v>9672</v>
      </c>
      <c r="J431" s="110" t="s">
        <v>9673</v>
      </c>
      <c r="K431" s="7" t="s">
        <v>9440</v>
      </c>
      <c r="L431" s="109" t="s">
        <v>9440</v>
      </c>
    </row>
    <row r="432" spans="1:12" ht="14.85" customHeight="1" x14ac:dyDescent="0.25">
      <c r="A432" s="108" t="s">
        <v>9308</v>
      </c>
      <c r="B432" s="115" t="s">
        <v>9337</v>
      </c>
      <c r="C432" s="115" t="s">
        <v>9338</v>
      </c>
      <c r="D432" s="109" t="s">
        <v>9688</v>
      </c>
      <c r="E432" s="110" t="s">
        <v>9689</v>
      </c>
      <c r="F432" s="236" t="s">
        <v>9467</v>
      </c>
      <c r="G432" s="115" t="s">
        <v>9324</v>
      </c>
      <c r="H432" s="115" t="s">
        <v>9323</v>
      </c>
      <c r="I432" s="7" t="s">
        <v>9351</v>
      </c>
      <c r="J432" s="110" t="s">
        <v>9352</v>
      </c>
      <c r="K432" s="7" t="s">
        <v>9353</v>
      </c>
      <c r="L432" s="109" t="s">
        <v>9467</v>
      </c>
    </row>
    <row r="433" spans="1:12" ht="14.85" customHeight="1" x14ac:dyDescent="0.25">
      <c r="A433" s="108" t="s">
        <v>9308</v>
      </c>
      <c r="B433" s="115" t="s">
        <v>9337</v>
      </c>
      <c r="C433" s="115" t="s">
        <v>9338</v>
      </c>
      <c r="D433" s="109" t="s">
        <v>9688</v>
      </c>
      <c r="E433" s="110" t="s">
        <v>9689</v>
      </c>
      <c r="F433" s="236" t="s">
        <v>9467</v>
      </c>
      <c r="G433" s="115" t="s">
        <v>9324</v>
      </c>
      <c r="H433" s="115" t="s">
        <v>9323</v>
      </c>
      <c r="I433" s="7" t="s">
        <v>9690</v>
      </c>
      <c r="J433" s="110" t="s">
        <v>9691</v>
      </c>
      <c r="K433" s="7" t="s">
        <v>9443</v>
      </c>
      <c r="L433" s="109" t="s">
        <v>9443</v>
      </c>
    </row>
    <row r="434" spans="1:12" ht="14.85" customHeight="1" x14ac:dyDescent="0.25">
      <c r="A434" s="108" t="s">
        <v>9308</v>
      </c>
      <c r="B434" s="115" t="s">
        <v>9337</v>
      </c>
      <c r="C434" s="115" t="s">
        <v>9338</v>
      </c>
      <c r="D434" s="109" t="s">
        <v>9692</v>
      </c>
      <c r="E434" s="110" t="s">
        <v>9693</v>
      </c>
      <c r="F434" s="236" t="s">
        <v>9467</v>
      </c>
      <c r="G434" s="115" t="s">
        <v>9324</v>
      </c>
      <c r="H434" s="115" t="s">
        <v>9323</v>
      </c>
      <c r="I434" s="7" t="s">
        <v>9409</v>
      </c>
      <c r="J434" s="110" t="s">
        <v>9410</v>
      </c>
      <c r="K434" s="7" t="s">
        <v>9353</v>
      </c>
      <c r="L434" s="109" t="s">
        <v>9467</v>
      </c>
    </row>
    <row r="435" spans="1:12" ht="14.85" customHeight="1" x14ac:dyDescent="0.25">
      <c r="A435" s="108" t="s">
        <v>9308</v>
      </c>
      <c r="B435" s="115" t="s">
        <v>9337</v>
      </c>
      <c r="C435" s="115" t="s">
        <v>9338</v>
      </c>
      <c r="D435" s="109" t="s">
        <v>9692</v>
      </c>
      <c r="E435" s="110" t="s">
        <v>9693</v>
      </c>
      <c r="F435" s="236" t="s">
        <v>9467</v>
      </c>
      <c r="G435" s="115" t="s">
        <v>9324</v>
      </c>
      <c r="H435" s="115" t="s">
        <v>9323</v>
      </c>
      <c r="I435" s="7" t="s">
        <v>9694</v>
      </c>
      <c r="J435" s="110" t="s">
        <v>9695</v>
      </c>
      <c r="K435" s="7" t="s">
        <v>9440</v>
      </c>
      <c r="L435" s="109" t="s">
        <v>9440</v>
      </c>
    </row>
    <row r="436" spans="1:12" ht="14.85" customHeight="1" x14ac:dyDescent="0.25">
      <c r="A436" s="108" t="s">
        <v>9308</v>
      </c>
      <c r="B436" s="115" t="s">
        <v>9337</v>
      </c>
      <c r="C436" s="115" t="s">
        <v>9338</v>
      </c>
      <c r="D436" s="109" t="s">
        <v>9692</v>
      </c>
      <c r="E436" s="110" t="s">
        <v>9693</v>
      </c>
      <c r="F436" s="236" t="s">
        <v>9467</v>
      </c>
      <c r="G436" s="115" t="s">
        <v>9324</v>
      </c>
      <c r="H436" s="115" t="s">
        <v>9323</v>
      </c>
      <c r="I436" s="7" t="s">
        <v>9351</v>
      </c>
      <c r="J436" s="110" t="s">
        <v>9352</v>
      </c>
      <c r="K436" s="7" t="s">
        <v>9353</v>
      </c>
      <c r="L436" s="109" t="s">
        <v>9467</v>
      </c>
    </row>
    <row r="437" spans="1:12" ht="14.85" customHeight="1" x14ac:dyDescent="0.25">
      <c r="A437" s="108" t="s">
        <v>9308</v>
      </c>
      <c r="B437" s="115" t="s">
        <v>9337</v>
      </c>
      <c r="C437" s="115" t="s">
        <v>9338</v>
      </c>
      <c r="D437" s="109" t="s">
        <v>9692</v>
      </c>
      <c r="E437" s="110" t="s">
        <v>9693</v>
      </c>
      <c r="F437" s="236" t="s">
        <v>9467</v>
      </c>
      <c r="G437" s="115" t="s">
        <v>9324</v>
      </c>
      <c r="H437" s="115" t="s">
        <v>9323</v>
      </c>
      <c r="I437" s="7" t="s">
        <v>9696</v>
      </c>
      <c r="J437" s="110" t="s">
        <v>9697</v>
      </c>
      <c r="K437" s="7" t="s">
        <v>9443</v>
      </c>
      <c r="L437" s="109" t="s">
        <v>9443</v>
      </c>
    </row>
    <row r="438" spans="1:12" ht="14.85" customHeight="1" x14ac:dyDescent="0.25">
      <c r="A438" s="108" t="s">
        <v>9308</v>
      </c>
      <c r="B438" s="115" t="s">
        <v>9337</v>
      </c>
      <c r="C438" s="115" t="s">
        <v>9338</v>
      </c>
      <c r="D438" s="109" t="s">
        <v>9698</v>
      </c>
      <c r="E438" s="110" t="s">
        <v>9699</v>
      </c>
      <c r="F438" s="236" t="s">
        <v>9467</v>
      </c>
      <c r="G438" s="115" t="s">
        <v>9324</v>
      </c>
      <c r="H438" s="115" t="s">
        <v>9323</v>
      </c>
      <c r="I438" s="7" t="s">
        <v>9700</v>
      </c>
      <c r="J438" s="110" t="s">
        <v>9701</v>
      </c>
      <c r="K438" s="7" t="s">
        <v>9440</v>
      </c>
      <c r="L438" s="109" t="s">
        <v>9440</v>
      </c>
    </row>
    <row r="439" spans="1:12" ht="14.85" customHeight="1" x14ac:dyDescent="0.25">
      <c r="A439" s="108" t="s">
        <v>9308</v>
      </c>
      <c r="B439" s="115" t="s">
        <v>9337</v>
      </c>
      <c r="C439" s="115" t="s">
        <v>9338</v>
      </c>
      <c r="D439" s="109" t="s">
        <v>9698</v>
      </c>
      <c r="E439" s="110" t="s">
        <v>9699</v>
      </c>
      <c r="F439" s="236" t="s">
        <v>9467</v>
      </c>
      <c r="G439" s="115" t="s">
        <v>9324</v>
      </c>
      <c r="H439" s="115" t="s">
        <v>9323</v>
      </c>
      <c r="I439" s="7" t="s">
        <v>9413</v>
      </c>
      <c r="J439" s="110" t="s">
        <v>9414</v>
      </c>
      <c r="K439" s="7" t="s">
        <v>9353</v>
      </c>
      <c r="L439" s="109" t="s">
        <v>9467</v>
      </c>
    </row>
    <row r="440" spans="1:12" ht="14.85" customHeight="1" x14ac:dyDescent="0.25">
      <c r="A440" s="108" t="s">
        <v>9308</v>
      </c>
      <c r="B440" s="115" t="s">
        <v>9337</v>
      </c>
      <c r="C440" s="115" t="s">
        <v>9338</v>
      </c>
      <c r="D440" s="109" t="s">
        <v>9698</v>
      </c>
      <c r="E440" s="110" t="s">
        <v>9699</v>
      </c>
      <c r="F440" s="236" t="s">
        <v>9467</v>
      </c>
      <c r="G440" s="115" t="s">
        <v>9324</v>
      </c>
      <c r="H440" s="115" t="s">
        <v>9323</v>
      </c>
      <c r="I440" s="7" t="s">
        <v>9351</v>
      </c>
      <c r="J440" s="110" t="s">
        <v>9352</v>
      </c>
      <c r="K440" s="7" t="s">
        <v>9353</v>
      </c>
      <c r="L440" s="109" t="s">
        <v>9467</v>
      </c>
    </row>
    <row r="441" spans="1:12" ht="14.85" customHeight="1" x14ac:dyDescent="0.25">
      <c r="A441" s="108" t="s">
        <v>9308</v>
      </c>
      <c r="B441" s="115" t="s">
        <v>9337</v>
      </c>
      <c r="C441" s="115" t="s">
        <v>9338</v>
      </c>
      <c r="D441" s="109" t="s">
        <v>9698</v>
      </c>
      <c r="E441" s="110" t="s">
        <v>9699</v>
      </c>
      <c r="F441" s="236" t="s">
        <v>9467</v>
      </c>
      <c r="G441" s="115" t="s">
        <v>9324</v>
      </c>
      <c r="H441" s="115" t="s">
        <v>9323</v>
      </c>
      <c r="I441" s="7" t="s">
        <v>9702</v>
      </c>
      <c r="J441" s="110" t="s">
        <v>9703</v>
      </c>
      <c r="K441" s="7" t="s">
        <v>9443</v>
      </c>
      <c r="L441" s="109" t="s">
        <v>9443</v>
      </c>
    </row>
    <row r="442" spans="1:12" ht="14.85" customHeight="1" x14ac:dyDescent="0.25">
      <c r="A442" s="108" t="s">
        <v>9308</v>
      </c>
      <c r="B442" s="115" t="s">
        <v>9337</v>
      </c>
      <c r="C442" s="115" t="s">
        <v>9338</v>
      </c>
      <c r="D442" s="109" t="s">
        <v>9704</v>
      </c>
      <c r="E442" s="110" t="s">
        <v>9705</v>
      </c>
      <c r="F442" s="236" t="s">
        <v>9467</v>
      </c>
      <c r="G442" s="115" t="s">
        <v>9324</v>
      </c>
      <c r="H442" s="115" t="s">
        <v>9323</v>
      </c>
      <c r="I442" s="7" t="s">
        <v>9706</v>
      </c>
      <c r="J442" s="110" t="s">
        <v>9707</v>
      </c>
      <c r="K442" s="7" t="s">
        <v>9440</v>
      </c>
      <c r="L442" s="109" t="s">
        <v>9467</v>
      </c>
    </row>
    <row r="443" spans="1:12" ht="14.85" customHeight="1" x14ac:dyDescent="0.25">
      <c r="A443" s="108" t="s">
        <v>9308</v>
      </c>
      <c r="B443" s="115" t="s">
        <v>9337</v>
      </c>
      <c r="C443" s="115" t="s">
        <v>9338</v>
      </c>
      <c r="D443" s="109" t="s">
        <v>9708</v>
      </c>
      <c r="E443" s="110" t="s">
        <v>9709</v>
      </c>
      <c r="F443" s="236" t="s">
        <v>9467</v>
      </c>
      <c r="G443" s="115" t="s">
        <v>9324</v>
      </c>
      <c r="H443" s="115" t="s">
        <v>9323</v>
      </c>
      <c r="I443" s="7"/>
      <c r="J443" s="110" t="s">
        <v>9612</v>
      </c>
      <c r="K443" s="7"/>
      <c r="L443" s="109" t="s">
        <v>9467</v>
      </c>
    </row>
    <row r="444" spans="1:12" ht="14.85" customHeight="1" x14ac:dyDescent="0.25">
      <c r="A444" s="108" t="s">
        <v>9308</v>
      </c>
      <c r="B444" s="115" t="s">
        <v>9337</v>
      </c>
      <c r="C444" s="115" t="s">
        <v>9338</v>
      </c>
      <c r="D444" s="109" t="s">
        <v>9708</v>
      </c>
      <c r="E444" s="110" t="s">
        <v>9709</v>
      </c>
      <c r="F444" s="236" t="s">
        <v>9467</v>
      </c>
      <c r="G444" s="115" t="s">
        <v>9324</v>
      </c>
      <c r="H444" s="115" t="s">
        <v>9323</v>
      </c>
      <c r="I444" s="7" t="s">
        <v>9351</v>
      </c>
      <c r="J444" s="110" t="s">
        <v>9352</v>
      </c>
      <c r="K444" s="7" t="s">
        <v>9353</v>
      </c>
      <c r="L444" s="109" t="s">
        <v>9467</v>
      </c>
    </row>
    <row r="445" spans="1:12" s="319" customFormat="1" ht="14.85" customHeight="1" x14ac:dyDescent="0.25">
      <c r="A445" s="108" t="s">
        <v>13514</v>
      </c>
      <c r="B445" s="164" t="s">
        <v>9337</v>
      </c>
      <c r="C445" s="166" t="s">
        <v>9338</v>
      </c>
      <c r="D445" s="167" t="s">
        <v>13430</v>
      </c>
      <c r="E445" s="320" t="s">
        <v>13497</v>
      </c>
      <c r="F445" s="321" t="s">
        <v>9467</v>
      </c>
      <c r="G445" s="166" t="s">
        <v>9324</v>
      </c>
      <c r="H445" s="166" t="s">
        <v>9323</v>
      </c>
      <c r="I445" s="322">
        <v>7020</v>
      </c>
      <c r="J445" s="320" t="s">
        <v>9856</v>
      </c>
      <c r="K445" s="322" t="s">
        <v>9353</v>
      </c>
      <c r="L445" s="321" t="s">
        <v>9467</v>
      </c>
    </row>
    <row r="446" spans="1:12" s="319" customFormat="1" ht="14.85" customHeight="1" x14ac:dyDescent="0.25">
      <c r="A446" s="108" t="s">
        <v>13514</v>
      </c>
      <c r="B446" s="164" t="s">
        <v>9337</v>
      </c>
      <c r="C446" s="166" t="s">
        <v>9338</v>
      </c>
      <c r="D446" s="167" t="s">
        <v>13430</v>
      </c>
      <c r="E446" s="320" t="s">
        <v>13497</v>
      </c>
      <c r="F446" s="321" t="s">
        <v>9467</v>
      </c>
      <c r="G446" s="166" t="s">
        <v>9324</v>
      </c>
      <c r="H446" s="166" t="s">
        <v>9323</v>
      </c>
      <c r="I446" s="322">
        <v>7028</v>
      </c>
      <c r="J446" s="320" t="s">
        <v>9419</v>
      </c>
      <c r="K446" s="322" t="s">
        <v>9353</v>
      </c>
      <c r="L446" s="321" t="s">
        <v>9467</v>
      </c>
    </row>
    <row r="447" spans="1:12" s="319" customFormat="1" ht="14.85" customHeight="1" x14ac:dyDescent="0.25">
      <c r="A447" s="108" t="s">
        <v>13514</v>
      </c>
      <c r="B447" s="164" t="s">
        <v>9337</v>
      </c>
      <c r="C447" s="166" t="s">
        <v>9338</v>
      </c>
      <c r="D447" s="167" t="s">
        <v>13430</v>
      </c>
      <c r="E447" s="320" t="s">
        <v>13497</v>
      </c>
      <c r="F447" s="321" t="s">
        <v>9467</v>
      </c>
      <c r="G447" s="166" t="s">
        <v>9324</v>
      </c>
      <c r="H447" s="166" t="s">
        <v>9323</v>
      </c>
      <c r="I447" s="322">
        <v>7029</v>
      </c>
      <c r="J447" s="320" t="s">
        <v>9423</v>
      </c>
      <c r="K447" s="322" t="s">
        <v>9353</v>
      </c>
      <c r="L447" s="321" t="s">
        <v>9467</v>
      </c>
    </row>
    <row r="448" spans="1:12" s="319" customFormat="1" ht="14.85" customHeight="1" x14ac:dyDescent="0.25">
      <c r="A448" s="108" t="s">
        <v>13514</v>
      </c>
      <c r="B448" s="164" t="s">
        <v>9337</v>
      </c>
      <c r="C448" s="166" t="s">
        <v>9338</v>
      </c>
      <c r="D448" s="167" t="s">
        <v>13430</v>
      </c>
      <c r="E448" s="320" t="s">
        <v>13497</v>
      </c>
      <c r="F448" s="321" t="s">
        <v>9467</v>
      </c>
      <c r="G448" s="166" t="s">
        <v>9324</v>
      </c>
      <c r="H448" s="166" t="s">
        <v>9323</v>
      </c>
      <c r="I448" s="322">
        <v>7030</v>
      </c>
      <c r="J448" s="320" t="s">
        <v>9781</v>
      </c>
      <c r="K448" s="322" t="s">
        <v>9782</v>
      </c>
      <c r="L448" s="321" t="s">
        <v>9467</v>
      </c>
    </row>
    <row r="449" spans="1:12" s="319" customFormat="1" ht="14.85" customHeight="1" x14ac:dyDescent="0.25">
      <c r="A449" s="108" t="s">
        <v>13514</v>
      </c>
      <c r="B449" s="164" t="s">
        <v>9337</v>
      </c>
      <c r="C449" s="166" t="s">
        <v>9338</v>
      </c>
      <c r="D449" s="167" t="s">
        <v>13430</v>
      </c>
      <c r="E449" s="320" t="s">
        <v>13497</v>
      </c>
      <c r="F449" s="321" t="s">
        <v>9467</v>
      </c>
      <c r="G449" s="166" t="s">
        <v>9324</v>
      </c>
      <c r="H449" s="166" t="s">
        <v>9323</v>
      </c>
      <c r="I449" s="322">
        <v>7035</v>
      </c>
      <c r="J449" s="320" t="s">
        <v>9895</v>
      </c>
      <c r="K449" s="322" t="s">
        <v>9782</v>
      </c>
      <c r="L449" s="321" t="s">
        <v>9467</v>
      </c>
    </row>
    <row r="450" spans="1:12" s="319" customFormat="1" ht="14.85" customHeight="1" x14ac:dyDescent="0.25">
      <c r="A450" s="108" t="s">
        <v>13514</v>
      </c>
      <c r="B450" s="164" t="s">
        <v>9337</v>
      </c>
      <c r="C450" s="166" t="s">
        <v>9338</v>
      </c>
      <c r="D450" s="167" t="s">
        <v>13430</v>
      </c>
      <c r="E450" s="320" t="s">
        <v>13497</v>
      </c>
      <c r="F450" s="321" t="s">
        <v>9467</v>
      </c>
      <c r="G450" s="166" t="s">
        <v>9324</v>
      </c>
      <c r="H450" s="166" t="s">
        <v>9323</v>
      </c>
      <c r="I450" s="322">
        <v>7037</v>
      </c>
      <c r="J450" s="320" t="s">
        <v>9890</v>
      </c>
      <c r="K450" s="322" t="s">
        <v>9440</v>
      </c>
      <c r="L450" s="321" t="s">
        <v>9440</v>
      </c>
    </row>
    <row r="451" spans="1:12" s="319" customFormat="1" ht="14.85" customHeight="1" x14ac:dyDescent="0.25">
      <c r="A451" s="108" t="s">
        <v>13514</v>
      </c>
      <c r="B451" s="164" t="s">
        <v>9337</v>
      </c>
      <c r="C451" s="166" t="s">
        <v>9338</v>
      </c>
      <c r="D451" s="167" t="s">
        <v>13430</v>
      </c>
      <c r="E451" s="320" t="s">
        <v>13497</v>
      </c>
      <c r="F451" s="321" t="s">
        <v>9467</v>
      </c>
      <c r="G451" s="166" t="s">
        <v>9324</v>
      </c>
      <c r="H451" s="166" t="s">
        <v>9323</v>
      </c>
      <c r="I451" s="322">
        <v>7038</v>
      </c>
      <c r="J451" s="320" t="s">
        <v>9457</v>
      </c>
      <c r="K451" s="322" t="s">
        <v>9353</v>
      </c>
      <c r="L451" s="321" t="s">
        <v>9467</v>
      </c>
    </row>
    <row r="452" spans="1:12" s="319" customFormat="1" ht="14.85" customHeight="1" x14ac:dyDescent="0.25">
      <c r="A452" s="108" t="s">
        <v>13514</v>
      </c>
      <c r="B452" s="164" t="s">
        <v>9337</v>
      </c>
      <c r="C452" s="166" t="s">
        <v>9338</v>
      </c>
      <c r="D452" s="167" t="s">
        <v>13430</v>
      </c>
      <c r="E452" s="320" t="s">
        <v>13497</v>
      </c>
      <c r="F452" s="321" t="s">
        <v>9467</v>
      </c>
      <c r="G452" s="166" t="s">
        <v>9324</v>
      </c>
      <c r="H452" s="166" t="s">
        <v>9323</v>
      </c>
      <c r="I452" s="322">
        <v>7120</v>
      </c>
      <c r="J452" s="320" t="s">
        <v>9439</v>
      </c>
      <c r="K452" s="322" t="s">
        <v>9440</v>
      </c>
      <c r="L452" s="321" t="s">
        <v>9440</v>
      </c>
    </row>
    <row r="453" spans="1:12" s="319" customFormat="1" ht="14.85" customHeight="1" x14ac:dyDescent="0.25">
      <c r="A453" s="108" t="s">
        <v>13514</v>
      </c>
      <c r="B453" s="164" t="s">
        <v>9337</v>
      </c>
      <c r="C453" s="166" t="s">
        <v>9338</v>
      </c>
      <c r="D453" s="167" t="s">
        <v>13430</v>
      </c>
      <c r="E453" s="320" t="s">
        <v>13497</v>
      </c>
      <c r="F453" s="321" t="s">
        <v>9467</v>
      </c>
      <c r="G453" s="166" t="s">
        <v>9324</v>
      </c>
      <c r="H453" s="166" t="s">
        <v>9323</v>
      </c>
      <c r="I453" s="322">
        <v>7126</v>
      </c>
      <c r="J453" s="320" t="s">
        <v>9459</v>
      </c>
      <c r="K453" s="322" t="s">
        <v>9353</v>
      </c>
      <c r="L453" s="321" t="s">
        <v>9467</v>
      </c>
    </row>
    <row r="454" spans="1:12" s="319" customFormat="1" ht="14.85" customHeight="1" x14ac:dyDescent="0.25">
      <c r="A454" s="108" t="s">
        <v>13514</v>
      </c>
      <c r="B454" s="164" t="s">
        <v>9337</v>
      </c>
      <c r="C454" s="166" t="s">
        <v>9338</v>
      </c>
      <c r="D454" s="167" t="s">
        <v>13430</v>
      </c>
      <c r="E454" s="320" t="s">
        <v>13497</v>
      </c>
      <c r="F454" s="321" t="s">
        <v>9467</v>
      </c>
      <c r="G454" s="166" t="s">
        <v>9324</v>
      </c>
      <c r="H454" s="166" t="s">
        <v>9323</v>
      </c>
      <c r="I454" s="322">
        <v>7133</v>
      </c>
      <c r="J454" s="320" t="s">
        <v>9649</v>
      </c>
      <c r="K454" s="322" t="s">
        <v>9440</v>
      </c>
      <c r="L454" s="321" t="s">
        <v>9440</v>
      </c>
    </row>
    <row r="455" spans="1:12" s="319" customFormat="1" ht="14.85" customHeight="1" x14ac:dyDescent="0.25">
      <c r="A455" s="108" t="s">
        <v>13514</v>
      </c>
      <c r="B455" s="164" t="s">
        <v>9337</v>
      </c>
      <c r="C455" s="166" t="s">
        <v>9338</v>
      </c>
      <c r="D455" s="167" t="s">
        <v>13430</v>
      </c>
      <c r="E455" s="320" t="s">
        <v>13497</v>
      </c>
      <c r="F455" s="321" t="s">
        <v>9467</v>
      </c>
      <c r="G455" s="166" t="s">
        <v>9324</v>
      </c>
      <c r="H455" s="166" t="s">
        <v>9323</v>
      </c>
      <c r="I455" s="322">
        <v>7134</v>
      </c>
      <c r="J455" s="320" t="s">
        <v>9473</v>
      </c>
      <c r="K455" s="322" t="s">
        <v>9440</v>
      </c>
      <c r="L455" s="321" t="s">
        <v>9440</v>
      </c>
    </row>
    <row r="456" spans="1:12" s="319" customFormat="1" ht="14.85" customHeight="1" x14ac:dyDescent="0.25">
      <c r="A456" s="108" t="s">
        <v>13514</v>
      </c>
      <c r="B456" s="164" t="s">
        <v>9337</v>
      </c>
      <c r="C456" s="166" t="s">
        <v>9338</v>
      </c>
      <c r="D456" s="167" t="s">
        <v>13430</v>
      </c>
      <c r="E456" s="320" t="s">
        <v>13497</v>
      </c>
      <c r="F456" s="321" t="s">
        <v>9467</v>
      </c>
      <c r="G456" s="166" t="s">
        <v>9324</v>
      </c>
      <c r="H456" s="166" t="s">
        <v>9323</v>
      </c>
      <c r="I456" s="322">
        <v>7137</v>
      </c>
      <c r="J456" s="320" t="s">
        <v>9677</v>
      </c>
      <c r="K456" s="322" t="s">
        <v>9440</v>
      </c>
      <c r="L456" s="321" t="s">
        <v>9440</v>
      </c>
    </row>
    <row r="457" spans="1:12" s="319" customFormat="1" ht="14.85" customHeight="1" x14ac:dyDescent="0.25">
      <c r="A457" s="108" t="s">
        <v>13514</v>
      </c>
      <c r="B457" s="164" t="s">
        <v>9337</v>
      </c>
      <c r="C457" s="166" t="s">
        <v>9338</v>
      </c>
      <c r="D457" s="167" t="s">
        <v>13430</v>
      </c>
      <c r="E457" s="320" t="s">
        <v>13497</v>
      </c>
      <c r="F457" s="321" t="s">
        <v>9467</v>
      </c>
      <c r="G457" s="166" t="s">
        <v>9324</v>
      </c>
      <c r="H457" s="166" t="s">
        <v>9323</v>
      </c>
      <c r="I457" s="322">
        <v>7139</v>
      </c>
      <c r="J457" s="320" t="s">
        <v>9355</v>
      </c>
      <c r="K457" s="322" t="s">
        <v>9353</v>
      </c>
      <c r="L457" s="321" t="s">
        <v>9467</v>
      </c>
    </row>
    <row r="458" spans="1:12" s="319" customFormat="1" ht="14.85" customHeight="1" x14ac:dyDescent="0.25">
      <c r="A458" s="108" t="s">
        <v>13514</v>
      </c>
      <c r="B458" s="164" t="s">
        <v>9337</v>
      </c>
      <c r="C458" s="166" t="s">
        <v>9338</v>
      </c>
      <c r="D458" s="167" t="s">
        <v>13430</v>
      </c>
      <c r="E458" s="320" t="s">
        <v>13497</v>
      </c>
      <c r="F458" s="321" t="s">
        <v>9467</v>
      </c>
      <c r="G458" s="166" t="s">
        <v>9324</v>
      </c>
      <c r="H458" s="166" t="s">
        <v>9323</v>
      </c>
      <c r="I458" s="322">
        <v>7144</v>
      </c>
      <c r="J458" s="320" t="s">
        <v>9475</v>
      </c>
      <c r="K458" s="322" t="s">
        <v>9440</v>
      </c>
      <c r="L458" s="321" t="s">
        <v>9440</v>
      </c>
    </row>
    <row r="459" spans="1:12" s="319" customFormat="1" ht="14.85" customHeight="1" x14ac:dyDescent="0.25">
      <c r="A459" s="108" t="s">
        <v>13514</v>
      </c>
      <c r="B459" s="164" t="s">
        <v>9337</v>
      </c>
      <c r="C459" s="166" t="s">
        <v>9338</v>
      </c>
      <c r="D459" s="167" t="s">
        <v>13430</v>
      </c>
      <c r="E459" s="320" t="s">
        <v>13497</v>
      </c>
      <c r="F459" s="321" t="s">
        <v>9467</v>
      </c>
      <c r="G459" s="166" t="s">
        <v>9324</v>
      </c>
      <c r="H459" s="166" t="s">
        <v>9323</v>
      </c>
      <c r="I459" s="322">
        <v>7200</v>
      </c>
      <c r="J459" s="320" t="s">
        <v>9583</v>
      </c>
      <c r="K459" s="322" t="s">
        <v>9440</v>
      </c>
      <c r="L459" s="321" t="s">
        <v>9440</v>
      </c>
    </row>
    <row r="460" spans="1:12" s="319" customFormat="1" ht="14.85" customHeight="1" x14ac:dyDescent="0.25">
      <c r="A460" s="108" t="s">
        <v>13514</v>
      </c>
      <c r="B460" s="164" t="s">
        <v>9337</v>
      </c>
      <c r="C460" s="166" t="s">
        <v>9338</v>
      </c>
      <c r="D460" s="167" t="s">
        <v>13430</v>
      </c>
      <c r="E460" s="320" t="s">
        <v>13497</v>
      </c>
      <c r="F460" s="321" t="s">
        <v>9467</v>
      </c>
      <c r="G460" s="166" t="s">
        <v>9324</v>
      </c>
      <c r="H460" s="166" t="s">
        <v>9323</v>
      </c>
      <c r="I460" s="322">
        <v>7221</v>
      </c>
      <c r="J460" s="320" t="s">
        <v>9595</v>
      </c>
      <c r="K460" s="322" t="s">
        <v>9440</v>
      </c>
      <c r="L460" s="321" t="s">
        <v>9440</v>
      </c>
    </row>
    <row r="461" spans="1:12" s="319" customFormat="1" ht="14.85" customHeight="1" x14ac:dyDescent="0.25">
      <c r="A461" s="108" t="s">
        <v>13514</v>
      </c>
      <c r="B461" s="164" t="s">
        <v>9337</v>
      </c>
      <c r="C461" s="166" t="s">
        <v>9338</v>
      </c>
      <c r="D461" s="167" t="s">
        <v>13430</v>
      </c>
      <c r="E461" s="320" t="s">
        <v>13497</v>
      </c>
      <c r="F461" s="321" t="s">
        <v>9467</v>
      </c>
      <c r="G461" s="166" t="s">
        <v>9324</v>
      </c>
      <c r="H461" s="166" t="s">
        <v>9323</v>
      </c>
      <c r="I461" s="322">
        <v>7222</v>
      </c>
      <c r="J461" s="320" t="s">
        <v>9606</v>
      </c>
      <c r="K461" s="322" t="s">
        <v>9440</v>
      </c>
      <c r="L461" s="321" t="s">
        <v>9440</v>
      </c>
    </row>
    <row r="462" spans="1:12" s="319" customFormat="1" ht="14.85" customHeight="1" x14ac:dyDescent="0.25">
      <c r="A462" s="108" t="s">
        <v>13514</v>
      </c>
      <c r="B462" s="164" t="s">
        <v>9337</v>
      </c>
      <c r="C462" s="166" t="s">
        <v>9338</v>
      </c>
      <c r="D462" s="167" t="s">
        <v>13430</v>
      </c>
      <c r="E462" s="320" t="s">
        <v>13497</v>
      </c>
      <c r="F462" s="321" t="s">
        <v>9467</v>
      </c>
      <c r="G462" s="166" t="s">
        <v>9324</v>
      </c>
      <c r="H462" s="166" t="s">
        <v>9323</v>
      </c>
      <c r="I462" s="322">
        <v>7226</v>
      </c>
      <c r="J462" s="320" t="s">
        <v>9585</v>
      </c>
      <c r="K462" s="322" t="s">
        <v>9440</v>
      </c>
      <c r="L462" s="321" t="s">
        <v>9440</v>
      </c>
    </row>
    <row r="463" spans="1:12" s="319" customFormat="1" ht="14.85" customHeight="1" x14ac:dyDescent="0.25">
      <c r="A463" s="108" t="s">
        <v>13514</v>
      </c>
      <c r="B463" s="164" t="s">
        <v>9337</v>
      </c>
      <c r="C463" s="166" t="s">
        <v>9338</v>
      </c>
      <c r="D463" s="167" t="s">
        <v>13430</v>
      </c>
      <c r="E463" s="320" t="s">
        <v>13497</v>
      </c>
      <c r="F463" s="321" t="s">
        <v>9467</v>
      </c>
      <c r="G463" s="166" t="s">
        <v>9324</v>
      </c>
      <c r="H463" s="166" t="s">
        <v>9323</v>
      </c>
      <c r="I463" s="322">
        <v>7228</v>
      </c>
      <c r="J463" s="320" t="s">
        <v>9616</v>
      </c>
      <c r="K463" s="322" t="s">
        <v>9440</v>
      </c>
      <c r="L463" s="321" t="s">
        <v>9440</v>
      </c>
    </row>
    <row r="464" spans="1:12" s="319" customFormat="1" ht="14.85" customHeight="1" x14ac:dyDescent="0.25">
      <c r="A464" s="108" t="s">
        <v>13514</v>
      </c>
      <c r="B464" s="164" t="s">
        <v>9337</v>
      </c>
      <c r="C464" s="166" t="s">
        <v>9338</v>
      </c>
      <c r="D464" s="167" t="s">
        <v>13430</v>
      </c>
      <c r="E464" s="320" t="s">
        <v>13497</v>
      </c>
      <c r="F464" s="321" t="s">
        <v>9467</v>
      </c>
      <c r="G464" s="166" t="s">
        <v>9324</v>
      </c>
      <c r="H464" s="166" t="s">
        <v>9323</v>
      </c>
      <c r="I464" s="322">
        <v>7229</v>
      </c>
      <c r="J464" s="320" t="s">
        <v>9643</v>
      </c>
      <c r="K464" s="322" t="s">
        <v>9440</v>
      </c>
      <c r="L464" s="321" t="s">
        <v>9440</v>
      </c>
    </row>
    <row r="465" spans="1:12" s="319" customFormat="1" ht="14.85" customHeight="1" x14ac:dyDescent="0.25">
      <c r="A465" s="108" t="s">
        <v>13514</v>
      </c>
      <c r="B465" s="164" t="s">
        <v>9337</v>
      </c>
      <c r="C465" s="166" t="s">
        <v>9338</v>
      </c>
      <c r="D465" s="167" t="s">
        <v>13430</v>
      </c>
      <c r="E465" s="320" t="s">
        <v>13497</v>
      </c>
      <c r="F465" s="321" t="s">
        <v>9467</v>
      </c>
      <c r="G465" s="166" t="s">
        <v>9324</v>
      </c>
      <c r="H465" s="166" t="s">
        <v>9323</v>
      </c>
      <c r="I465" s="322">
        <v>7231</v>
      </c>
      <c r="J465" s="320" t="s">
        <v>9635</v>
      </c>
      <c r="K465" s="322" t="s">
        <v>9440</v>
      </c>
      <c r="L465" s="321" t="s">
        <v>9440</v>
      </c>
    </row>
    <row r="466" spans="1:12" s="319" customFormat="1" ht="14.85" customHeight="1" x14ac:dyDescent="0.25">
      <c r="A466" s="108" t="s">
        <v>13514</v>
      </c>
      <c r="B466" s="164" t="s">
        <v>9337</v>
      </c>
      <c r="C466" s="166" t="s">
        <v>9338</v>
      </c>
      <c r="D466" s="167" t="s">
        <v>13430</v>
      </c>
      <c r="E466" s="320" t="s">
        <v>13497</v>
      </c>
      <c r="F466" s="321" t="s">
        <v>9467</v>
      </c>
      <c r="G466" s="166" t="s">
        <v>9324</v>
      </c>
      <c r="H466" s="166" t="s">
        <v>9323</v>
      </c>
      <c r="I466" s="322">
        <v>7236</v>
      </c>
      <c r="J466" s="320" t="s">
        <v>9628</v>
      </c>
      <c r="K466" s="322" t="s">
        <v>9440</v>
      </c>
      <c r="L466" s="321" t="s">
        <v>9440</v>
      </c>
    </row>
    <row r="467" spans="1:12" s="319" customFormat="1" ht="14.85" customHeight="1" x14ac:dyDescent="0.25">
      <c r="A467" s="108" t="s">
        <v>13514</v>
      </c>
      <c r="B467" s="164" t="s">
        <v>9337</v>
      </c>
      <c r="C467" s="166" t="s">
        <v>9338</v>
      </c>
      <c r="D467" s="167" t="s">
        <v>13430</v>
      </c>
      <c r="E467" s="320" t="s">
        <v>13497</v>
      </c>
      <c r="F467" s="321" t="s">
        <v>9467</v>
      </c>
      <c r="G467" s="166" t="s">
        <v>9324</v>
      </c>
      <c r="H467" s="166" t="s">
        <v>9323</v>
      </c>
      <c r="I467" s="322">
        <v>7300</v>
      </c>
      <c r="J467" s="320" t="s">
        <v>9486</v>
      </c>
      <c r="K467" s="322" t="s">
        <v>9440</v>
      </c>
      <c r="L467" s="321" t="s">
        <v>9440</v>
      </c>
    </row>
    <row r="468" spans="1:12" s="319" customFormat="1" ht="14.85" customHeight="1" x14ac:dyDescent="0.25">
      <c r="A468" s="108" t="s">
        <v>13514</v>
      </c>
      <c r="B468" s="164" t="s">
        <v>9337</v>
      </c>
      <c r="C468" s="166" t="s">
        <v>9338</v>
      </c>
      <c r="D468" s="167" t="s">
        <v>13430</v>
      </c>
      <c r="E468" s="320" t="s">
        <v>13497</v>
      </c>
      <c r="F468" s="321" t="s">
        <v>9467</v>
      </c>
      <c r="G468" s="166" t="s">
        <v>9324</v>
      </c>
      <c r="H468" s="166" t="s">
        <v>9323</v>
      </c>
      <c r="I468" s="322">
        <v>7400</v>
      </c>
      <c r="J468" s="320" t="s">
        <v>9520</v>
      </c>
      <c r="K468" s="322" t="s">
        <v>9440</v>
      </c>
      <c r="L468" s="321" t="s">
        <v>9440</v>
      </c>
    </row>
    <row r="469" spans="1:12" s="319" customFormat="1" ht="14.85" customHeight="1" x14ac:dyDescent="0.25">
      <c r="A469" s="108" t="s">
        <v>13514</v>
      </c>
      <c r="B469" s="164" t="s">
        <v>9337</v>
      </c>
      <c r="C469" s="166" t="s">
        <v>9338</v>
      </c>
      <c r="D469" s="167" t="s">
        <v>13430</v>
      </c>
      <c r="E469" s="320" t="s">
        <v>13497</v>
      </c>
      <c r="F469" s="321" t="s">
        <v>9467</v>
      </c>
      <c r="G469" s="166" t="s">
        <v>9324</v>
      </c>
      <c r="H469" s="166" t="s">
        <v>9323</v>
      </c>
      <c r="I469" s="322">
        <v>7420</v>
      </c>
      <c r="J469" s="320" t="s">
        <v>9527</v>
      </c>
      <c r="K469" s="322" t="s">
        <v>9440</v>
      </c>
      <c r="L469" s="321" t="s">
        <v>9440</v>
      </c>
    </row>
    <row r="470" spans="1:12" s="319" customFormat="1" ht="14.85" customHeight="1" x14ac:dyDescent="0.25">
      <c r="A470" s="108" t="s">
        <v>13514</v>
      </c>
      <c r="B470" s="164" t="s">
        <v>9337</v>
      </c>
      <c r="C470" s="166" t="s">
        <v>9338</v>
      </c>
      <c r="D470" s="167" t="s">
        <v>13430</v>
      </c>
      <c r="E470" s="320" t="s">
        <v>13497</v>
      </c>
      <c r="F470" s="321" t="s">
        <v>9467</v>
      </c>
      <c r="G470" s="166" t="s">
        <v>9324</v>
      </c>
      <c r="H470" s="166" t="s">
        <v>9323</v>
      </c>
      <c r="I470" s="322">
        <v>7421</v>
      </c>
      <c r="J470" s="320" t="s">
        <v>9557</v>
      </c>
      <c r="K470" s="322" t="s">
        <v>9440</v>
      </c>
      <c r="L470" s="321" t="s">
        <v>9440</v>
      </c>
    </row>
    <row r="471" spans="1:12" s="319" customFormat="1" ht="14.85" customHeight="1" x14ac:dyDescent="0.25">
      <c r="A471" s="108" t="s">
        <v>13514</v>
      </c>
      <c r="B471" s="164" t="s">
        <v>9337</v>
      </c>
      <c r="C471" s="166" t="s">
        <v>9338</v>
      </c>
      <c r="D471" s="167" t="s">
        <v>13430</v>
      </c>
      <c r="E471" s="320" t="s">
        <v>13497</v>
      </c>
      <c r="F471" s="321" t="s">
        <v>9467</v>
      </c>
      <c r="G471" s="166" t="s">
        <v>9324</v>
      </c>
      <c r="H471" s="166" t="s">
        <v>9323</v>
      </c>
      <c r="I471" s="322">
        <v>7430</v>
      </c>
      <c r="J471" s="320" t="s">
        <v>9543</v>
      </c>
      <c r="K471" s="322" t="s">
        <v>9440</v>
      </c>
      <c r="L471" s="321" t="s">
        <v>9440</v>
      </c>
    </row>
    <row r="472" spans="1:12" s="319" customFormat="1" ht="14.85" customHeight="1" x14ac:dyDescent="0.25">
      <c r="A472" s="108" t="s">
        <v>13514</v>
      </c>
      <c r="B472" s="164" t="s">
        <v>9337</v>
      </c>
      <c r="C472" s="166" t="s">
        <v>9338</v>
      </c>
      <c r="D472" s="167" t="s">
        <v>13430</v>
      </c>
      <c r="E472" s="320" t="s">
        <v>13497</v>
      </c>
      <c r="F472" s="321" t="s">
        <v>9467</v>
      </c>
      <c r="G472" s="166" t="s">
        <v>9324</v>
      </c>
      <c r="H472" s="166" t="s">
        <v>9323</v>
      </c>
      <c r="I472" s="322">
        <v>7440</v>
      </c>
      <c r="J472" s="320" t="s">
        <v>9545</v>
      </c>
      <c r="K472" s="322" t="s">
        <v>9440</v>
      </c>
      <c r="L472" s="321" t="s">
        <v>9440</v>
      </c>
    </row>
    <row r="473" spans="1:12" s="319" customFormat="1" ht="14.85" customHeight="1" x14ac:dyDescent="0.25">
      <c r="A473" s="108" t="s">
        <v>13514</v>
      </c>
      <c r="B473" s="164" t="s">
        <v>9337</v>
      </c>
      <c r="C473" s="166" t="s">
        <v>9338</v>
      </c>
      <c r="D473" s="167" t="s">
        <v>13430</v>
      </c>
      <c r="E473" s="320" t="s">
        <v>13497</v>
      </c>
      <c r="F473" s="321" t="s">
        <v>9467</v>
      </c>
      <c r="G473" s="166" t="s">
        <v>9324</v>
      </c>
      <c r="H473" s="166" t="s">
        <v>9323</v>
      </c>
      <c r="I473" s="322">
        <v>7450</v>
      </c>
      <c r="J473" s="320" t="s">
        <v>9547</v>
      </c>
      <c r="K473" s="322" t="s">
        <v>9440</v>
      </c>
      <c r="L473" s="321" t="s">
        <v>9440</v>
      </c>
    </row>
    <row r="474" spans="1:12" s="319" customFormat="1" ht="14.85" customHeight="1" x14ac:dyDescent="0.25">
      <c r="A474" s="108" t="s">
        <v>13514</v>
      </c>
      <c r="B474" s="164" t="s">
        <v>9337</v>
      </c>
      <c r="C474" s="166" t="s">
        <v>9338</v>
      </c>
      <c r="D474" s="167" t="s">
        <v>13430</v>
      </c>
      <c r="E474" s="320" t="s">
        <v>13497</v>
      </c>
      <c r="F474" s="321" t="s">
        <v>9467</v>
      </c>
      <c r="G474" s="166" t="s">
        <v>9324</v>
      </c>
      <c r="H474" s="166" t="s">
        <v>9323</v>
      </c>
      <c r="I474" s="322">
        <v>7451</v>
      </c>
      <c r="J474" s="320" t="s">
        <v>9529</v>
      </c>
      <c r="K474" s="322" t="s">
        <v>9440</v>
      </c>
      <c r="L474" s="321" t="s">
        <v>9440</v>
      </c>
    </row>
    <row r="475" spans="1:12" s="319" customFormat="1" ht="14.85" customHeight="1" x14ac:dyDescent="0.25">
      <c r="A475" s="108" t="s">
        <v>13514</v>
      </c>
      <c r="B475" s="164" t="s">
        <v>9337</v>
      </c>
      <c r="C475" s="166" t="s">
        <v>9338</v>
      </c>
      <c r="D475" s="167" t="s">
        <v>13430</v>
      </c>
      <c r="E475" s="320" t="s">
        <v>13497</v>
      </c>
      <c r="F475" s="321" t="s">
        <v>9467</v>
      </c>
      <c r="G475" s="166" t="s">
        <v>9324</v>
      </c>
      <c r="H475" s="166" t="s">
        <v>9323</v>
      </c>
      <c r="I475" s="322">
        <v>7452</v>
      </c>
      <c r="J475" s="320" t="s">
        <v>9531</v>
      </c>
      <c r="K475" s="322" t="s">
        <v>9440</v>
      </c>
      <c r="L475" s="321" t="s">
        <v>9440</v>
      </c>
    </row>
    <row r="476" spans="1:12" s="319" customFormat="1" ht="14.85" customHeight="1" x14ac:dyDescent="0.25">
      <c r="A476" s="108" t="s">
        <v>13514</v>
      </c>
      <c r="B476" s="164" t="s">
        <v>9337</v>
      </c>
      <c r="C476" s="166" t="s">
        <v>9338</v>
      </c>
      <c r="D476" s="167" t="s">
        <v>13430</v>
      </c>
      <c r="E476" s="320" t="s">
        <v>13497</v>
      </c>
      <c r="F476" s="321" t="s">
        <v>9467</v>
      </c>
      <c r="G476" s="166" t="s">
        <v>9324</v>
      </c>
      <c r="H476" s="166" t="s">
        <v>9323</v>
      </c>
      <c r="I476" s="322">
        <v>7511</v>
      </c>
      <c r="J476" s="320" t="s">
        <v>9410</v>
      </c>
      <c r="K476" s="322" t="s">
        <v>9353</v>
      </c>
      <c r="L476" s="321" t="s">
        <v>9467</v>
      </c>
    </row>
    <row r="477" spans="1:12" s="319" customFormat="1" ht="14.85" customHeight="1" x14ac:dyDescent="0.25">
      <c r="A477" s="108" t="s">
        <v>13514</v>
      </c>
      <c r="B477" s="164" t="s">
        <v>9337</v>
      </c>
      <c r="C477" s="166" t="s">
        <v>9338</v>
      </c>
      <c r="D477" s="167" t="s">
        <v>13430</v>
      </c>
      <c r="E477" s="320" t="s">
        <v>13497</v>
      </c>
      <c r="F477" s="321" t="s">
        <v>9467</v>
      </c>
      <c r="G477" s="166" t="s">
        <v>9324</v>
      </c>
      <c r="H477" s="166" t="s">
        <v>9323</v>
      </c>
      <c r="I477" s="322">
        <v>7512</v>
      </c>
      <c r="J477" s="320" t="s">
        <v>9695</v>
      </c>
      <c r="K477" s="322" t="s">
        <v>9440</v>
      </c>
      <c r="L477" s="321" t="s">
        <v>9440</v>
      </c>
    </row>
    <row r="478" spans="1:12" s="319" customFormat="1" ht="14.85" customHeight="1" x14ac:dyDescent="0.25">
      <c r="A478" s="108" t="s">
        <v>13514</v>
      </c>
      <c r="B478" s="164" t="s">
        <v>9337</v>
      </c>
      <c r="C478" s="166" t="s">
        <v>9338</v>
      </c>
      <c r="D478" s="167" t="s">
        <v>13430</v>
      </c>
      <c r="E478" s="320" t="s">
        <v>13497</v>
      </c>
      <c r="F478" s="321" t="s">
        <v>9467</v>
      </c>
      <c r="G478" s="166" t="s">
        <v>9324</v>
      </c>
      <c r="H478" s="166" t="s">
        <v>9323</v>
      </c>
      <c r="I478" s="322">
        <v>7520</v>
      </c>
      <c r="J478" s="320" t="s">
        <v>9701</v>
      </c>
      <c r="K478" s="322" t="s">
        <v>9440</v>
      </c>
      <c r="L478" s="321" t="s">
        <v>9440</v>
      </c>
    </row>
    <row r="479" spans="1:12" s="319" customFormat="1" ht="14.85" customHeight="1" x14ac:dyDescent="0.25">
      <c r="A479" s="108" t="s">
        <v>13514</v>
      </c>
      <c r="B479" s="164" t="s">
        <v>9337</v>
      </c>
      <c r="C479" s="166" t="s">
        <v>9338</v>
      </c>
      <c r="D479" s="167" t="s">
        <v>13430</v>
      </c>
      <c r="E479" s="320" t="s">
        <v>13497</v>
      </c>
      <c r="F479" s="321" t="s">
        <v>9467</v>
      </c>
      <c r="G479" s="166" t="s">
        <v>9324</v>
      </c>
      <c r="H479" s="166" t="s">
        <v>9323</v>
      </c>
      <c r="I479" s="322">
        <v>7521</v>
      </c>
      <c r="J479" s="320" t="s">
        <v>9414</v>
      </c>
      <c r="K479" s="322" t="s">
        <v>9353</v>
      </c>
      <c r="L479" s="321" t="s">
        <v>9467</v>
      </c>
    </row>
    <row r="480" spans="1:12" s="319" customFormat="1" ht="14.85" customHeight="1" x14ac:dyDescent="0.25">
      <c r="A480" s="108" t="s">
        <v>13514</v>
      </c>
      <c r="B480" s="164" t="s">
        <v>9337</v>
      </c>
      <c r="C480" s="166" t="s">
        <v>9338</v>
      </c>
      <c r="D480" s="167" t="s">
        <v>13430</v>
      </c>
      <c r="E480" s="320" t="s">
        <v>13497</v>
      </c>
      <c r="F480" s="321" t="s">
        <v>9467</v>
      </c>
      <c r="G480" s="166" t="s">
        <v>9324</v>
      </c>
      <c r="H480" s="166" t="s">
        <v>9323</v>
      </c>
      <c r="I480" s="322">
        <v>7700</v>
      </c>
      <c r="J480" s="320" t="s">
        <v>9651</v>
      </c>
      <c r="K480" s="322" t="s">
        <v>9440</v>
      </c>
      <c r="L480" s="321" t="s">
        <v>9440</v>
      </c>
    </row>
    <row r="481" spans="1:12" s="319" customFormat="1" ht="14.85" customHeight="1" x14ac:dyDescent="0.25">
      <c r="A481" s="108" t="s">
        <v>13514</v>
      </c>
      <c r="B481" s="164" t="s">
        <v>9337</v>
      </c>
      <c r="C481" s="166" t="s">
        <v>9338</v>
      </c>
      <c r="D481" s="167" t="s">
        <v>13430</v>
      </c>
      <c r="E481" s="320" t="s">
        <v>13497</v>
      </c>
      <c r="F481" s="321" t="s">
        <v>9467</v>
      </c>
      <c r="G481" s="166" t="s">
        <v>9324</v>
      </c>
      <c r="H481" s="166" t="s">
        <v>9323</v>
      </c>
      <c r="I481" s="322">
        <v>7701</v>
      </c>
      <c r="J481" s="320" t="s">
        <v>9367</v>
      </c>
      <c r="K481" s="322" t="s">
        <v>9353</v>
      </c>
      <c r="L481" s="321" t="s">
        <v>9467</v>
      </c>
    </row>
    <row r="482" spans="1:12" s="319" customFormat="1" ht="14.85" customHeight="1" x14ac:dyDescent="0.25">
      <c r="A482" s="108" t="s">
        <v>13514</v>
      </c>
      <c r="B482" s="164" t="s">
        <v>9337</v>
      </c>
      <c r="C482" s="166" t="s">
        <v>9338</v>
      </c>
      <c r="D482" s="167" t="s">
        <v>13430</v>
      </c>
      <c r="E482" s="320" t="s">
        <v>13497</v>
      </c>
      <c r="F482" s="321" t="s">
        <v>9467</v>
      </c>
      <c r="G482" s="166" t="s">
        <v>9324</v>
      </c>
      <c r="H482" s="166" t="s">
        <v>9323</v>
      </c>
      <c r="I482" s="322">
        <v>7702</v>
      </c>
      <c r="J482" s="320" t="s">
        <v>9653</v>
      </c>
      <c r="K482" s="322" t="s">
        <v>9440</v>
      </c>
      <c r="L482" s="321" t="s">
        <v>9440</v>
      </c>
    </row>
    <row r="483" spans="1:12" s="319" customFormat="1" ht="14.85" customHeight="1" x14ac:dyDescent="0.25">
      <c r="A483" s="108" t="s">
        <v>13514</v>
      </c>
      <c r="B483" s="164" t="s">
        <v>9337</v>
      </c>
      <c r="C483" s="166" t="s">
        <v>9338</v>
      </c>
      <c r="D483" s="167" t="s">
        <v>13430</v>
      </c>
      <c r="E483" s="320" t="s">
        <v>13497</v>
      </c>
      <c r="F483" s="321" t="s">
        <v>9467</v>
      </c>
      <c r="G483" s="166" t="s">
        <v>9324</v>
      </c>
      <c r="H483" s="166" t="s">
        <v>9323</v>
      </c>
      <c r="I483" s="322">
        <v>7710</v>
      </c>
      <c r="J483" s="320" t="s">
        <v>9365</v>
      </c>
      <c r="K483" s="322" t="s">
        <v>9353</v>
      </c>
      <c r="L483" s="321" t="s">
        <v>9467</v>
      </c>
    </row>
    <row r="484" spans="1:12" s="319" customFormat="1" ht="14.85" customHeight="1" x14ac:dyDescent="0.25">
      <c r="A484" s="108" t="s">
        <v>13514</v>
      </c>
      <c r="B484" s="164" t="s">
        <v>9337</v>
      </c>
      <c r="C484" s="166" t="s">
        <v>9338</v>
      </c>
      <c r="D484" s="167" t="s">
        <v>13430</v>
      </c>
      <c r="E484" s="320" t="s">
        <v>13497</v>
      </c>
      <c r="F484" s="321" t="s">
        <v>9467</v>
      </c>
      <c r="G484" s="166" t="s">
        <v>9324</v>
      </c>
      <c r="H484" s="166" t="s">
        <v>9323</v>
      </c>
      <c r="I484" s="322">
        <v>7711</v>
      </c>
      <c r="J484" s="320" t="s">
        <v>9370</v>
      </c>
      <c r="K484" s="322" t="s">
        <v>9353</v>
      </c>
      <c r="L484" s="321" t="s">
        <v>9467</v>
      </c>
    </row>
    <row r="485" spans="1:12" s="319" customFormat="1" ht="14.85" customHeight="1" x14ac:dyDescent="0.25">
      <c r="A485" s="108" t="s">
        <v>13514</v>
      </c>
      <c r="B485" s="164" t="s">
        <v>9337</v>
      </c>
      <c r="C485" s="166" t="s">
        <v>9338</v>
      </c>
      <c r="D485" s="167" t="s">
        <v>13430</v>
      </c>
      <c r="E485" s="320" t="s">
        <v>13497</v>
      </c>
      <c r="F485" s="321" t="s">
        <v>9467</v>
      </c>
      <c r="G485" s="166" t="s">
        <v>9324</v>
      </c>
      <c r="H485" s="166" t="s">
        <v>9323</v>
      </c>
      <c r="I485" s="322">
        <v>7712</v>
      </c>
      <c r="J485" s="320" t="s">
        <v>9372</v>
      </c>
      <c r="K485" s="322" t="s">
        <v>9353</v>
      </c>
      <c r="L485" s="321" t="s">
        <v>9467</v>
      </c>
    </row>
    <row r="486" spans="1:12" s="319" customFormat="1" ht="14.85" customHeight="1" x14ac:dyDescent="0.25">
      <c r="A486" s="108" t="s">
        <v>13514</v>
      </c>
      <c r="B486" s="164" t="s">
        <v>9337</v>
      </c>
      <c r="C486" s="166" t="s">
        <v>9338</v>
      </c>
      <c r="D486" s="167" t="s">
        <v>13430</v>
      </c>
      <c r="E486" s="320" t="s">
        <v>13497</v>
      </c>
      <c r="F486" s="321" t="s">
        <v>9467</v>
      </c>
      <c r="G486" s="166" t="s">
        <v>9324</v>
      </c>
      <c r="H486" s="166" t="s">
        <v>9323</v>
      </c>
      <c r="I486" s="322">
        <v>7713</v>
      </c>
      <c r="J486" s="320" t="s">
        <v>9374</v>
      </c>
      <c r="K486" s="322" t="s">
        <v>9353</v>
      </c>
      <c r="L486" s="321" t="s">
        <v>9467</v>
      </c>
    </row>
    <row r="487" spans="1:12" s="319" customFormat="1" ht="14.85" customHeight="1" x14ac:dyDescent="0.25">
      <c r="A487" s="108" t="s">
        <v>13514</v>
      </c>
      <c r="B487" s="164" t="s">
        <v>9337</v>
      </c>
      <c r="C487" s="166" t="s">
        <v>9338</v>
      </c>
      <c r="D487" s="167" t="s">
        <v>13430</v>
      </c>
      <c r="E487" s="320" t="s">
        <v>13497</v>
      </c>
      <c r="F487" s="321" t="s">
        <v>9467</v>
      </c>
      <c r="G487" s="166" t="s">
        <v>9324</v>
      </c>
      <c r="H487" s="166" t="s">
        <v>9323</v>
      </c>
      <c r="I487" s="322">
        <v>7714</v>
      </c>
      <c r="J487" s="320" t="s">
        <v>9376</v>
      </c>
      <c r="K487" s="322" t="s">
        <v>9353</v>
      </c>
      <c r="L487" s="321" t="s">
        <v>9467</v>
      </c>
    </row>
    <row r="488" spans="1:12" s="319" customFormat="1" ht="14.85" customHeight="1" x14ac:dyDescent="0.25">
      <c r="A488" s="108" t="s">
        <v>13514</v>
      </c>
      <c r="B488" s="164" t="s">
        <v>9337</v>
      </c>
      <c r="C488" s="166" t="s">
        <v>9338</v>
      </c>
      <c r="D488" s="167" t="s">
        <v>13430</v>
      </c>
      <c r="E488" s="320" t="s">
        <v>13497</v>
      </c>
      <c r="F488" s="321" t="s">
        <v>9467</v>
      </c>
      <c r="G488" s="166" t="s">
        <v>9324</v>
      </c>
      <c r="H488" s="166" t="s">
        <v>9323</v>
      </c>
      <c r="I488" s="322">
        <v>7715</v>
      </c>
      <c r="J488" s="320" t="s">
        <v>9378</v>
      </c>
      <c r="K488" s="322" t="s">
        <v>9353</v>
      </c>
      <c r="L488" s="321" t="s">
        <v>9467</v>
      </c>
    </row>
    <row r="489" spans="1:12" s="319" customFormat="1" ht="14.85" customHeight="1" x14ac:dyDescent="0.25">
      <c r="A489" s="108" t="s">
        <v>13514</v>
      </c>
      <c r="B489" s="164" t="s">
        <v>9337</v>
      </c>
      <c r="C489" s="166" t="s">
        <v>9338</v>
      </c>
      <c r="D489" s="167" t="s">
        <v>13430</v>
      </c>
      <c r="E489" s="320" t="s">
        <v>13497</v>
      </c>
      <c r="F489" s="321" t="s">
        <v>9467</v>
      </c>
      <c r="G489" s="166" t="s">
        <v>9324</v>
      </c>
      <c r="H489" s="166" t="s">
        <v>9323</v>
      </c>
      <c r="I489" s="322">
        <v>7720</v>
      </c>
      <c r="J489" s="320" t="s">
        <v>9655</v>
      </c>
      <c r="K489" s="322" t="s">
        <v>9440</v>
      </c>
      <c r="L489" s="321" t="s">
        <v>9440</v>
      </c>
    </row>
    <row r="490" spans="1:12" s="319" customFormat="1" ht="14.85" customHeight="1" x14ac:dyDescent="0.25">
      <c r="A490" s="108" t="s">
        <v>13514</v>
      </c>
      <c r="B490" s="164" t="s">
        <v>9337</v>
      </c>
      <c r="C490" s="166" t="s">
        <v>9338</v>
      </c>
      <c r="D490" s="167" t="s">
        <v>13430</v>
      </c>
      <c r="E490" s="320" t="s">
        <v>13497</v>
      </c>
      <c r="F490" s="321" t="s">
        <v>9467</v>
      </c>
      <c r="G490" s="166" t="s">
        <v>9324</v>
      </c>
      <c r="H490" s="166" t="s">
        <v>9323</v>
      </c>
      <c r="I490" s="322">
        <v>7730</v>
      </c>
      <c r="J490" s="320" t="s">
        <v>9657</v>
      </c>
      <c r="K490" s="322" t="s">
        <v>9440</v>
      </c>
      <c r="L490" s="321" t="s">
        <v>9440</v>
      </c>
    </row>
    <row r="491" spans="1:12" s="319" customFormat="1" ht="14.85" customHeight="1" x14ac:dyDescent="0.25">
      <c r="A491" s="108" t="s">
        <v>13514</v>
      </c>
      <c r="B491" s="164" t="s">
        <v>9337</v>
      </c>
      <c r="C491" s="166" t="s">
        <v>9338</v>
      </c>
      <c r="D491" s="167" t="s">
        <v>13430</v>
      </c>
      <c r="E491" s="320" t="s">
        <v>13497</v>
      </c>
      <c r="F491" s="321" t="s">
        <v>9467</v>
      </c>
      <c r="G491" s="166" t="s">
        <v>9324</v>
      </c>
      <c r="H491" s="166" t="s">
        <v>9323</v>
      </c>
      <c r="I491" s="322">
        <v>7740</v>
      </c>
      <c r="J491" s="320" t="s">
        <v>9659</v>
      </c>
      <c r="K491" s="322" t="s">
        <v>9440</v>
      </c>
      <c r="L491" s="321" t="s">
        <v>9440</v>
      </c>
    </row>
    <row r="492" spans="1:12" s="319" customFormat="1" ht="14.85" customHeight="1" x14ac:dyDescent="0.25">
      <c r="A492" s="108" t="s">
        <v>13514</v>
      </c>
      <c r="B492" s="164" t="s">
        <v>9337</v>
      </c>
      <c r="C492" s="166" t="s">
        <v>9338</v>
      </c>
      <c r="D492" s="167" t="s">
        <v>13430</v>
      </c>
      <c r="E492" s="320" t="s">
        <v>13497</v>
      </c>
      <c r="F492" s="321" t="s">
        <v>9467</v>
      </c>
      <c r="G492" s="166" t="s">
        <v>9324</v>
      </c>
      <c r="H492" s="166" t="s">
        <v>9323</v>
      </c>
      <c r="I492" s="322">
        <v>7750</v>
      </c>
      <c r="J492" s="320" t="s">
        <v>9380</v>
      </c>
      <c r="K492" s="322" t="s">
        <v>9353</v>
      </c>
      <c r="L492" s="321" t="s">
        <v>9467</v>
      </c>
    </row>
    <row r="493" spans="1:12" s="319" customFormat="1" ht="14.85" customHeight="1" x14ac:dyDescent="0.25">
      <c r="A493" s="108" t="s">
        <v>13514</v>
      </c>
      <c r="B493" s="164" t="s">
        <v>9337</v>
      </c>
      <c r="C493" s="166" t="s">
        <v>9338</v>
      </c>
      <c r="D493" s="167" t="s">
        <v>13430</v>
      </c>
      <c r="E493" s="320" t="s">
        <v>13497</v>
      </c>
      <c r="F493" s="321" t="s">
        <v>9467</v>
      </c>
      <c r="G493" s="166" t="s">
        <v>9324</v>
      </c>
      <c r="H493" s="166" t="s">
        <v>9323</v>
      </c>
      <c r="I493" s="322">
        <v>7760</v>
      </c>
      <c r="J493" s="320" t="s">
        <v>9661</v>
      </c>
      <c r="K493" s="322" t="s">
        <v>9440</v>
      </c>
      <c r="L493" s="321" t="s">
        <v>9440</v>
      </c>
    </row>
    <row r="494" spans="1:12" s="319" customFormat="1" ht="14.85" customHeight="1" x14ac:dyDescent="0.25">
      <c r="A494" s="108" t="s">
        <v>13514</v>
      </c>
      <c r="B494" s="164" t="s">
        <v>9337</v>
      </c>
      <c r="C494" s="166" t="s">
        <v>9338</v>
      </c>
      <c r="D494" s="167" t="s">
        <v>13430</v>
      </c>
      <c r="E494" s="320" t="s">
        <v>13497</v>
      </c>
      <c r="F494" s="321" t="s">
        <v>9467</v>
      </c>
      <c r="G494" s="166" t="s">
        <v>9324</v>
      </c>
      <c r="H494" s="166" t="s">
        <v>9323</v>
      </c>
      <c r="I494" s="322">
        <v>7779</v>
      </c>
      <c r="J494" s="320" t="s">
        <v>9663</v>
      </c>
      <c r="K494" s="322" t="s">
        <v>9440</v>
      </c>
      <c r="L494" s="321" t="s">
        <v>9440</v>
      </c>
    </row>
    <row r="495" spans="1:12" s="319" customFormat="1" ht="14.85" customHeight="1" x14ac:dyDescent="0.25">
      <c r="A495" s="108" t="s">
        <v>13514</v>
      </c>
      <c r="B495" s="164" t="s">
        <v>9337</v>
      </c>
      <c r="C495" s="166" t="s">
        <v>9338</v>
      </c>
      <c r="D495" s="167" t="s">
        <v>13430</v>
      </c>
      <c r="E495" s="320" t="s">
        <v>13497</v>
      </c>
      <c r="F495" s="321" t="s">
        <v>9467</v>
      </c>
      <c r="G495" s="166" t="s">
        <v>9324</v>
      </c>
      <c r="H495" s="166" t="s">
        <v>9323</v>
      </c>
      <c r="I495" s="322">
        <v>7780</v>
      </c>
      <c r="J495" s="320" t="s">
        <v>9382</v>
      </c>
      <c r="K495" s="322" t="s">
        <v>9353</v>
      </c>
      <c r="L495" s="321" t="s">
        <v>9467</v>
      </c>
    </row>
    <row r="496" spans="1:12" s="319" customFormat="1" ht="14.85" customHeight="1" x14ac:dyDescent="0.25">
      <c r="A496" s="108" t="s">
        <v>13514</v>
      </c>
      <c r="B496" s="164" t="s">
        <v>9337</v>
      </c>
      <c r="C496" s="166" t="s">
        <v>9338</v>
      </c>
      <c r="D496" s="167" t="s">
        <v>13430</v>
      </c>
      <c r="E496" s="320" t="s">
        <v>13497</v>
      </c>
      <c r="F496" s="321" t="s">
        <v>9467</v>
      </c>
      <c r="G496" s="166" t="s">
        <v>9324</v>
      </c>
      <c r="H496" s="166" t="s">
        <v>9323</v>
      </c>
      <c r="I496" s="322">
        <v>7781</v>
      </c>
      <c r="J496" s="320" t="s">
        <v>9665</v>
      </c>
      <c r="K496" s="322" t="s">
        <v>9440</v>
      </c>
      <c r="L496" s="321" t="s">
        <v>9440</v>
      </c>
    </row>
    <row r="497" spans="1:12" s="319" customFormat="1" ht="14.85" customHeight="1" x14ac:dyDescent="0.25">
      <c r="A497" s="108" t="s">
        <v>13514</v>
      </c>
      <c r="B497" s="164" t="s">
        <v>9337</v>
      </c>
      <c r="C497" s="166" t="s">
        <v>9338</v>
      </c>
      <c r="D497" s="167" t="s">
        <v>13430</v>
      </c>
      <c r="E497" s="320" t="s">
        <v>13497</v>
      </c>
      <c r="F497" s="321" t="s">
        <v>9467</v>
      </c>
      <c r="G497" s="166" t="s">
        <v>9324</v>
      </c>
      <c r="H497" s="166" t="s">
        <v>9323</v>
      </c>
      <c r="I497" s="322">
        <v>7782</v>
      </c>
      <c r="J497" s="320" t="s">
        <v>9384</v>
      </c>
      <c r="K497" s="322" t="s">
        <v>9353</v>
      </c>
      <c r="L497" s="321" t="s">
        <v>9467</v>
      </c>
    </row>
    <row r="498" spans="1:12" s="319" customFormat="1" ht="14.85" customHeight="1" x14ac:dyDescent="0.25">
      <c r="A498" s="108" t="s">
        <v>13514</v>
      </c>
      <c r="B498" s="164" t="s">
        <v>9337</v>
      </c>
      <c r="C498" s="166" t="s">
        <v>9338</v>
      </c>
      <c r="D498" s="167" t="s">
        <v>13430</v>
      </c>
      <c r="E498" s="320" t="s">
        <v>13497</v>
      </c>
      <c r="F498" s="321" t="s">
        <v>9467</v>
      </c>
      <c r="G498" s="166" t="s">
        <v>9324</v>
      </c>
      <c r="H498" s="166" t="s">
        <v>9323</v>
      </c>
      <c r="I498" s="322">
        <v>7789</v>
      </c>
      <c r="J498" s="320" t="s">
        <v>9667</v>
      </c>
      <c r="K498" s="322" t="s">
        <v>9440</v>
      </c>
      <c r="L498" s="321" t="s">
        <v>9440</v>
      </c>
    </row>
    <row r="499" spans="1:12" s="319" customFormat="1" ht="14.85" customHeight="1" x14ac:dyDescent="0.25">
      <c r="A499" s="108" t="s">
        <v>13514</v>
      </c>
      <c r="B499" s="164" t="s">
        <v>9337</v>
      </c>
      <c r="C499" s="166" t="s">
        <v>9338</v>
      </c>
      <c r="D499" s="167" t="s">
        <v>13430</v>
      </c>
      <c r="E499" s="320" t="s">
        <v>13497</v>
      </c>
      <c r="F499" s="321" t="s">
        <v>9467</v>
      </c>
      <c r="G499" s="166" t="s">
        <v>9324</v>
      </c>
      <c r="H499" s="166" t="s">
        <v>9323</v>
      </c>
      <c r="I499" s="322">
        <v>7790</v>
      </c>
      <c r="J499" s="320" t="s">
        <v>9386</v>
      </c>
      <c r="K499" s="322" t="s">
        <v>9353</v>
      </c>
      <c r="L499" s="321" t="s">
        <v>9467</v>
      </c>
    </row>
    <row r="500" spans="1:12" s="319" customFormat="1" ht="14.85" customHeight="1" x14ac:dyDescent="0.25">
      <c r="A500" s="108" t="s">
        <v>13514</v>
      </c>
      <c r="B500" s="164" t="s">
        <v>9337</v>
      </c>
      <c r="C500" s="166" t="s">
        <v>9338</v>
      </c>
      <c r="D500" s="167" t="s">
        <v>13430</v>
      </c>
      <c r="E500" s="320" t="s">
        <v>13497</v>
      </c>
      <c r="F500" s="321" t="s">
        <v>9467</v>
      </c>
      <c r="G500" s="166" t="s">
        <v>9324</v>
      </c>
      <c r="H500" s="166" t="s">
        <v>9323</v>
      </c>
      <c r="I500" s="322">
        <v>7791</v>
      </c>
      <c r="J500" s="320" t="s">
        <v>9388</v>
      </c>
      <c r="K500" s="322" t="s">
        <v>9353</v>
      </c>
      <c r="L500" s="321" t="s">
        <v>9467</v>
      </c>
    </row>
    <row r="501" spans="1:12" s="319" customFormat="1" ht="14.85" customHeight="1" x14ac:dyDescent="0.25">
      <c r="A501" s="108" t="s">
        <v>13514</v>
      </c>
      <c r="B501" s="164" t="s">
        <v>9337</v>
      </c>
      <c r="C501" s="166" t="s">
        <v>9338</v>
      </c>
      <c r="D501" s="167" t="s">
        <v>13430</v>
      </c>
      <c r="E501" s="320" t="s">
        <v>13497</v>
      </c>
      <c r="F501" s="321" t="s">
        <v>9467</v>
      </c>
      <c r="G501" s="166" t="s">
        <v>9324</v>
      </c>
      <c r="H501" s="166" t="s">
        <v>9323</v>
      </c>
      <c r="I501" s="322">
        <v>7792</v>
      </c>
      <c r="J501" s="320" t="s">
        <v>9390</v>
      </c>
      <c r="K501" s="322" t="s">
        <v>9353</v>
      </c>
      <c r="L501" s="321" t="s">
        <v>9467</v>
      </c>
    </row>
    <row r="502" spans="1:12" s="319" customFormat="1" ht="14.85" customHeight="1" x14ac:dyDescent="0.25">
      <c r="A502" s="108" t="s">
        <v>13514</v>
      </c>
      <c r="B502" s="164" t="s">
        <v>9337</v>
      </c>
      <c r="C502" s="166" t="s">
        <v>9338</v>
      </c>
      <c r="D502" s="167" t="s">
        <v>13430</v>
      </c>
      <c r="E502" s="320" t="s">
        <v>13497</v>
      </c>
      <c r="F502" s="321" t="s">
        <v>9467</v>
      </c>
      <c r="G502" s="166" t="s">
        <v>9324</v>
      </c>
      <c r="H502" s="166" t="s">
        <v>9323</v>
      </c>
      <c r="I502" s="322">
        <v>7793</v>
      </c>
      <c r="J502" s="320" t="s">
        <v>9392</v>
      </c>
      <c r="K502" s="322" t="s">
        <v>9353</v>
      </c>
      <c r="L502" s="321" t="s">
        <v>9467</v>
      </c>
    </row>
    <row r="503" spans="1:12" s="319" customFormat="1" ht="14.85" customHeight="1" x14ac:dyDescent="0.25">
      <c r="A503" s="108" t="s">
        <v>13514</v>
      </c>
      <c r="B503" s="164" t="s">
        <v>9337</v>
      </c>
      <c r="C503" s="166" t="s">
        <v>9338</v>
      </c>
      <c r="D503" s="167" t="s">
        <v>13430</v>
      </c>
      <c r="E503" s="320" t="s">
        <v>13497</v>
      </c>
      <c r="F503" s="321" t="s">
        <v>9467</v>
      </c>
      <c r="G503" s="166" t="s">
        <v>9324</v>
      </c>
      <c r="H503" s="166" t="s">
        <v>9323</v>
      </c>
      <c r="I503" s="322">
        <v>7794</v>
      </c>
      <c r="J503" s="320" t="s">
        <v>9394</v>
      </c>
      <c r="K503" s="322" t="s">
        <v>9353</v>
      </c>
      <c r="L503" s="321" t="s">
        <v>9467</v>
      </c>
    </row>
    <row r="504" spans="1:12" s="319" customFormat="1" ht="14.85" customHeight="1" x14ac:dyDescent="0.25">
      <c r="A504" s="108" t="s">
        <v>13514</v>
      </c>
      <c r="B504" s="164" t="s">
        <v>9337</v>
      </c>
      <c r="C504" s="166" t="s">
        <v>9338</v>
      </c>
      <c r="D504" s="167" t="s">
        <v>13430</v>
      </c>
      <c r="E504" s="320" t="s">
        <v>13497</v>
      </c>
      <c r="F504" s="321" t="s">
        <v>9467</v>
      </c>
      <c r="G504" s="166" t="s">
        <v>9324</v>
      </c>
      <c r="H504" s="166" t="s">
        <v>9323</v>
      </c>
      <c r="I504" s="322">
        <v>7795</v>
      </c>
      <c r="J504" s="320" t="s">
        <v>9396</v>
      </c>
      <c r="K504" s="322" t="s">
        <v>9353</v>
      </c>
      <c r="L504" s="321" t="s">
        <v>9467</v>
      </c>
    </row>
    <row r="505" spans="1:12" s="319" customFormat="1" ht="14.85" customHeight="1" x14ac:dyDescent="0.25">
      <c r="A505" s="108" t="s">
        <v>13514</v>
      </c>
      <c r="B505" s="164" t="s">
        <v>9337</v>
      </c>
      <c r="C505" s="166" t="s">
        <v>9338</v>
      </c>
      <c r="D505" s="167" t="s">
        <v>13430</v>
      </c>
      <c r="E505" s="320" t="s">
        <v>13497</v>
      </c>
      <c r="F505" s="321" t="s">
        <v>9467</v>
      </c>
      <c r="G505" s="166" t="s">
        <v>9324</v>
      </c>
      <c r="H505" s="166" t="s">
        <v>9323</v>
      </c>
      <c r="I505" s="322">
        <v>7796</v>
      </c>
      <c r="J505" s="320" t="s">
        <v>9669</v>
      </c>
      <c r="K505" s="322" t="s">
        <v>9440</v>
      </c>
      <c r="L505" s="321" t="s">
        <v>9440</v>
      </c>
    </row>
    <row r="506" spans="1:12" s="319" customFormat="1" ht="14.85" customHeight="1" x14ac:dyDescent="0.25">
      <c r="A506" s="108" t="s">
        <v>13514</v>
      </c>
      <c r="B506" s="164" t="s">
        <v>9337</v>
      </c>
      <c r="C506" s="166" t="s">
        <v>9338</v>
      </c>
      <c r="D506" s="167" t="s">
        <v>13430</v>
      </c>
      <c r="E506" s="320" t="s">
        <v>13497</v>
      </c>
      <c r="F506" s="321" t="s">
        <v>9467</v>
      </c>
      <c r="G506" s="166" t="s">
        <v>9324</v>
      </c>
      <c r="H506" s="166" t="s">
        <v>9323</v>
      </c>
      <c r="I506" s="322">
        <v>7797</v>
      </c>
      <c r="J506" s="320" t="s">
        <v>9398</v>
      </c>
      <c r="K506" s="322" t="s">
        <v>9353</v>
      </c>
      <c r="L506" s="321" t="s">
        <v>9467</v>
      </c>
    </row>
    <row r="507" spans="1:12" s="319" customFormat="1" ht="14.85" customHeight="1" x14ac:dyDescent="0.25">
      <c r="A507" s="108" t="s">
        <v>13514</v>
      </c>
      <c r="B507" s="164" t="s">
        <v>9337</v>
      </c>
      <c r="C507" s="166" t="s">
        <v>9338</v>
      </c>
      <c r="D507" s="167" t="s">
        <v>13430</v>
      </c>
      <c r="E507" s="320" t="s">
        <v>13497</v>
      </c>
      <c r="F507" s="321" t="s">
        <v>9467</v>
      </c>
      <c r="G507" s="166" t="s">
        <v>9324</v>
      </c>
      <c r="H507" s="166" t="s">
        <v>9323</v>
      </c>
      <c r="I507" s="322">
        <v>7798</v>
      </c>
      <c r="J507" s="320" t="s">
        <v>9400</v>
      </c>
      <c r="K507" s="322" t="s">
        <v>9353</v>
      </c>
      <c r="L507" s="321" t="s">
        <v>9467</v>
      </c>
    </row>
    <row r="508" spans="1:12" s="319" customFormat="1" ht="14.85" customHeight="1" x14ac:dyDescent="0.25">
      <c r="A508" s="108" t="s">
        <v>13514</v>
      </c>
      <c r="B508" s="164" t="s">
        <v>9337</v>
      </c>
      <c r="C508" s="166" t="s">
        <v>9338</v>
      </c>
      <c r="D508" s="167" t="s">
        <v>13430</v>
      </c>
      <c r="E508" s="320" t="s">
        <v>13497</v>
      </c>
      <c r="F508" s="321" t="s">
        <v>9467</v>
      </c>
      <c r="G508" s="166" t="s">
        <v>9324</v>
      </c>
      <c r="H508" s="166" t="s">
        <v>9323</v>
      </c>
      <c r="I508" s="322">
        <v>7810</v>
      </c>
      <c r="J508" s="320" t="s">
        <v>9402</v>
      </c>
      <c r="K508" s="322" t="s">
        <v>9353</v>
      </c>
      <c r="L508" s="321" t="s">
        <v>9467</v>
      </c>
    </row>
    <row r="509" spans="1:12" s="319" customFormat="1" ht="14.85" customHeight="1" x14ac:dyDescent="0.25">
      <c r="A509" s="108" t="s">
        <v>13514</v>
      </c>
      <c r="B509" s="164" t="s">
        <v>9337</v>
      </c>
      <c r="C509" s="166" t="s">
        <v>9338</v>
      </c>
      <c r="D509" s="167" t="s">
        <v>13430</v>
      </c>
      <c r="E509" s="320" t="s">
        <v>13497</v>
      </c>
      <c r="F509" s="321" t="s">
        <v>9467</v>
      </c>
      <c r="G509" s="166" t="s">
        <v>9324</v>
      </c>
      <c r="H509" s="166" t="s">
        <v>9323</v>
      </c>
      <c r="I509" s="322">
        <v>7820</v>
      </c>
      <c r="J509" s="320" t="s">
        <v>9671</v>
      </c>
      <c r="K509" s="322" t="s">
        <v>9440</v>
      </c>
      <c r="L509" s="321" t="s">
        <v>9440</v>
      </c>
    </row>
    <row r="510" spans="1:12" s="319" customFormat="1" ht="14.85" customHeight="1" x14ac:dyDescent="0.25">
      <c r="A510" s="108" t="s">
        <v>13514</v>
      </c>
      <c r="B510" s="164" t="s">
        <v>9337</v>
      </c>
      <c r="C510" s="166" t="s">
        <v>9338</v>
      </c>
      <c r="D510" s="167" t="s">
        <v>13430</v>
      </c>
      <c r="E510" s="320" t="s">
        <v>13497</v>
      </c>
      <c r="F510" s="321" t="s">
        <v>9467</v>
      </c>
      <c r="G510" s="166" t="s">
        <v>9324</v>
      </c>
      <c r="H510" s="166" t="s">
        <v>9323</v>
      </c>
      <c r="I510" s="322">
        <v>7851</v>
      </c>
      <c r="J510" s="320" t="s">
        <v>9405</v>
      </c>
      <c r="K510" s="322" t="s">
        <v>9353</v>
      </c>
      <c r="L510" s="321" t="s">
        <v>9467</v>
      </c>
    </row>
    <row r="511" spans="1:12" s="319" customFormat="1" ht="14.85" customHeight="1" x14ac:dyDescent="0.25">
      <c r="A511" s="108" t="s">
        <v>13514</v>
      </c>
      <c r="B511" s="164" t="s">
        <v>9337</v>
      </c>
      <c r="C511" s="166" t="s">
        <v>9338</v>
      </c>
      <c r="D511" s="167" t="s">
        <v>13430</v>
      </c>
      <c r="E511" s="320" t="s">
        <v>13497</v>
      </c>
      <c r="F511" s="321" t="s">
        <v>9467</v>
      </c>
      <c r="G511" s="166" t="s">
        <v>9324</v>
      </c>
      <c r="H511" s="166" t="s">
        <v>9323</v>
      </c>
      <c r="I511" s="322">
        <v>7852</v>
      </c>
      <c r="J511" s="320" t="s">
        <v>9673</v>
      </c>
      <c r="K511" s="322" t="s">
        <v>9440</v>
      </c>
      <c r="L511" s="321" t="s">
        <v>9440</v>
      </c>
    </row>
    <row r="512" spans="1:12" s="319" customFormat="1" ht="14.85" customHeight="1" x14ac:dyDescent="0.25">
      <c r="A512" s="108" t="s">
        <v>13514</v>
      </c>
      <c r="B512" s="164" t="s">
        <v>9337</v>
      </c>
      <c r="C512" s="166" t="s">
        <v>9338</v>
      </c>
      <c r="D512" s="167" t="s">
        <v>13430</v>
      </c>
      <c r="E512" s="320" t="s">
        <v>13497</v>
      </c>
      <c r="F512" s="321" t="s">
        <v>9467</v>
      </c>
      <c r="G512" s="166" t="s">
        <v>9324</v>
      </c>
      <c r="H512" s="166" t="s">
        <v>9323</v>
      </c>
      <c r="I512" s="322">
        <v>7989</v>
      </c>
      <c r="J512" s="320" t="s">
        <v>13435</v>
      </c>
      <c r="K512" s="322" t="s">
        <v>9353</v>
      </c>
      <c r="L512" s="321" t="s">
        <v>9467</v>
      </c>
    </row>
    <row r="513" spans="1:12" s="319" customFormat="1" ht="14.85" customHeight="1" x14ac:dyDescent="0.25">
      <c r="A513" s="108" t="s">
        <v>13514</v>
      </c>
      <c r="B513" s="164" t="s">
        <v>9337</v>
      </c>
      <c r="C513" s="166" t="s">
        <v>9338</v>
      </c>
      <c r="D513" s="167" t="s">
        <v>13430</v>
      </c>
      <c r="E513" s="320" t="s">
        <v>13497</v>
      </c>
      <c r="F513" s="321" t="s">
        <v>9467</v>
      </c>
      <c r="G513" s="166" t="s">
        <v>9324</v>
      </c>
      <c r="H513" s="166" t="s">
        <v>9323</v>
      </c>
      <c r="I513" s="322">
        <v>7990</v>
      </c>
      <c r="J513" s="320" t="s">
        <v>9523</v>
      </c>
      <c r="K513" s="322" t="s">
        <v>9440</v>
      </c>
      <c r="L513" s="321" t="s">
        <v>9440</v>
      </c>
    </row>
    <row r="514" spans="1:12" s="319" customFormat="1" ht="14.85" customHeight="1" x14ac:dyDescent="0.25">
      <c r="A514" s="108" t="s">
        <v>13514</v>
      </c>
      <c r="B514" s="164" t="s">
        <v>9337</v>
      </c>
      <c r="C514" s="166" t="s">
        <v>9338</v>
      </c>
      <c r="D514" s="167" t="s">
        <v>13430</v>
      </c>
      <c r="E514" s="320" t="s">
        <v>13497</v>
      </c>
      <c r="F514" s="321" t="s">
        <v>9467</v>
      </c>
      <c r="G514" s="166" t="s">
        <v>9324</v>
      </c>
      <c r="H514" s="166" t="s">
        <v>9323</v>
      </c>
      <c r="I514" s="322">
        <v>7999</v>
      </c>
      <c r="J514" s="320" t="s">
        <v>9352</v>
      </c>
      <c r="K514" s="322" t="s">
        <v>9353</v>
      </c>
      <c r="L514" s="321" t="s">
        <v>9467</v>
      </c>
    </row>
    <row r="515" spans="1:12" s="319" customFormat="1" ht="14.85" customHeight="1" x14ac:dyDescent="0.25">
      <c r="A515" s="108" t="s">
        <v>13514</v>
      </c>
      <c r="B515" s="164" t="s">
        <v>9337</v>
      </c>
      <c r="C515" s="166" t="s">
        <v>9338</v>
      </c>
      <c r="D515" s="167" t="s">
        <v>13430</v>
      </c>
      <c r="E515" s="320" t="s">
        <v>13497</v>
      </c>
      <c r="F515" s="321" t="s">
        <v>9467</v>
      </c>
      <c r="G515" s="166" t="s">
        <v>9324</v>
      </c>
      <c r="H515" s="166" t="s">
        <v>9323</v>
      </c>
      <c r="I515" s="322">
        <v>8100</v>
      </c>
      <c r="J515" s="320" t="s">
        <v>9752</v>
      </c>
      <c r="K515" s="322" t="s">
        <v>9443</v>
      </c>
      <c r="L515" s="322" t="s">
        <v>9443</v>
      </c>
    </row>
    <row r="516" spans="1:12" s="319" customFormat="1" ht="14.85" customHeight="1" x14ac:dyDescent="0.25">
      <c r="A516" s="108" t="s">
        <v>13514</v>
      </c>
      <c r="B516" s="164" t="s">
        <v>9337</v>
      </c>
      <c r="C516" s="166" t="s">
        <v>9338</v>
      </c>
      <c r="D516" s="167" t="s">
        <v>13430</v>
      </c>
      <c r="E516" s="320" t="s">
        <v>13497</v>
      </c>
      <c r="F516" s="321" t="s">
        <v>9467</v>
      </c>
      <c r="G516" s="166" t="s">
        <v>9324</v>
      </c>
      <c r="H516" s="166" t="s">
        <v>9323</v>
      </c>
      <c r="I516" s="322">
        <v>8120</v>
      </c>
      <c r="J516" s="320" t="s">
        <v>9442</v>
      </c>
      <c r="K516" s="322" t="s">
        <v>9443</v>
      </c>
      <c r="L516" s="322" t="s">
        <v>9443</v>
      </c>
    </row>
    <row r="517" spans="1:12" s="319" customFormat="1" ht="14.85" customHeight="1" x14ac:dyDescent="0.25">
      <c r="A517" s="108" t="s">
        <v>13514</v>
      </c>
      <c r="B517" s="164" t="s">
        <v>9337</v>
      </c>
      <c r="C517" s="166" t="s">
        <v>9338</v>
      </c>
      <c r="D517" s="167" t="s">
        <v>13430</v>
      </c>
      <c r="E517" s="320" t="s">
        <v>13497</v>
      </c>
      <c r="F517" s="321" t="s">
        <v>9467</v>
      </c>
      <c r="G517" s="166" t="s">
        <v>9324</v>
      </c>
      <c r="H517" s="166" t="s">
        <v>9323</v>
      </c>
      <c r="I517" s="322">
        <v>8133</v>
      </c>
      <c r="J517" s="320" t="s">
        <v>13436</v>
      </c>
      <c r="K517" s="322" t="s">
        <v>9443</v>
      </c>
      <c r="L517" s="322" t="s">
        <v>9443</v>
      </c>
    </row>
    <row r="518" spans="1:12" s="319" customFormat="1" ht="14.85" customHeight="1" x14ac:dyDescent="0.25">
      <c r="A518" s="108" t="s">
        <v>13514</v>
      </c>
      <c r="B518" s="164" t="s">
        <v>9337</v>
      </c>
      <c r="C518" s="166" t="s">
        <v>9338</v>
      </c>
      <c r="D518" s="167" t="s">
        <v>13430</v>
      </c>
      <c r="E518" s="320" t="s">
        <v>13497</v>
      </c>
      <c r="F518" s="321" t="s">
        <v>9467</v>
      </c>
      <c r="G518" s="166" t="s">
        <v>9324</v>
      </c>
      <c r="H518" s="166" t="s">
        <v>9323</v>
      </c>
      <c r="I518" s="322">
        <v>8134</v>
      </c>
      <c r="J518" s="320" t="s">
        <v>9477</v>
      </c>
      <c r="K518" s="322" t="s">
        <v>9443</v>
      </c>
      <c r="L518" s="322" t="s">
        <v>9443</v>
      </c>
    </row>
    <row r="519" spans="1:12" s="319" customFormat="1" ht="14.85" customHeight="1" x14ac:dyDescent="0.25">
      <c r="A519" s="108" t="s">
        <v>13514</v>
      </c>
      <c r="B519" s="164" t="s">
        <v>9337</v>
      </c>
      <c r="C519" s="166" t="s">
        <v>9338</v>
      </c>
      <c r="D519" s="167" t="s">
        <v>13430</v>
      </c>
      <c r="E519" s="320" t="s">
        <v>13497</v>
      </c>
      <c r="F519" s="321" t="s">
        <v>9467</v>
      </c>
      <c r="G519" s="166" t="s">
        <v>9324</v>
      </c>
      <c r="H519" s="166" t="s">
        <v>9323</v>
      </c>
      <c r="I519" s="322">
        <v>8137</v>
      </c>
      <c r="J519" s="320" t="s">
        <v>9679</v>
      </c>
      <c r="K519" s="322" t="s">
        <v>9443</v>
      </c>
      <c r="L519" s="322" t="s">
        <v>9443</v>
      </c>
    </row>
    <row r="520" spans="1:12" s="319" customFormat="1" ht="14.85" customHeight="1" x14ac:dyDescent="0.25">
      <c r="A520" s="108" t="s">
        <v>13514</v>
      </c>
      <c r="B520" s="164" t="s">
        <v>9337</v>
      </c>
      <c r="C520" s="166" t="s">
        <v>9338</v>
      </c>
      <c r="D520" s="167" t="s">
        <v>13430</v>
      </c>
      <c r="E520" s="320" t="s">
        <v>13497</v>
      </c>
      <c r="F520" s="321" t="s">
        <v>9467</v>
      </c>
      <c r="G520" s="166" t="s">
        <v>9324</v>
      </c>
      <c r="H520" s="166" t="s">
        <v>9323</v>
      </c>
      <c r="I520" s="322">
        <v>8144</v>
      </c>
      <c r="J520" s="320" t="s">
        <v>9479</v>
      </c>
      <c r="K520" s="322" t="s">
        <v>9443</v>
      </c>
      <c r="L520" s="322" t="s">
        <v>9443</v>
      </c>
    </row>
    <row r="521" spans="1:12" s="319" customFormat="1" ht="14.85" customHeight="1" x14ac:dyDescent="0.25">
      <c r="A521" s="108" t="s">
        <v>13514</v>
      </c>
      <c r="B521" s="164" t="s">
        <v>9337</v>
      </c>
      <c r="C521" s="166" t="s">
        <v>9338</v>
      </c>
      <c r="D521" s="167" t="s">
        <v>13430</v>
      </c>
      <c r="E521" s="320" t="s">
        <v>13497</v>
      </c>
      <c r="F521" s="321" t="s">
        <v>9467</v>
      </c>
      <c r="G521" s="166" t="s">
        <v>9324</v>
      </c>
      <c r="H521" s="166" t="s">
        <v>9323</v>
      </c>
      <c r="I521" s="322">
        <v>8220</v>
      </c>
      <c r="J521" s="320" t="s">
        <v>9587</v>
      </c>
      <c r="K521" s="322" t="s">
        <v>9443</v>
      </c>
      <c r="L521" s="322" t="s">
        <v>9443</v>
      </c>
    </row>
    <row r="522" spans="1:12" s="319" customFormat="1" ht="14.85" customHeight="1" x14ac:dyDescent="0.25">
      <c r="A522" s="108" t="s">
        <v>13514</v>
      </c>
      <c r="B522" s="164" t="s">
        <v>9337</v>
      </c>
      <c r="C522" s="166" t="s">
        <v>9338</v>
      </c>
      <c r="D522" s="167" t="s">
        <v>13430</v>
      </c>
      <c r="E522" s="320" t="s">
        <v>13497</v>
      </c>
      <c r="F522" s="321" t="s">
        <v>9467</v>
      </c>
      <c r="G522" s="166" t="s">
        <v>9324</v>
      </c>
      <c r="H522" s="166" t="s">
        <v>9323</v>
      </c>
      <c r="I522" s="322">
        <v>8221</v>
      </c>
      <c r="J522" s="320" t="s">
        <v>9597</v>
      </c>
      <c r="K522" s="322" t="s">
        <v>9443</v>
      </c>
      <c r="L522" s="322" t="s">
        <v>9443</v>
      </c>
    </row>
    <row r="523" spans="1:12" s="319" customFormat="1" ht="14.85" customHeight="1" x14ac:dyDescent="0.25">
      <c r="A523" s="108" t="s">
        <v>13514</v>
      </c>
      <c r="B523" s="164" t="s">
        <v>9337</v>
      </c>
      <c r="C523" s="166" t="s">
        <v>9338</v>
      </c>
      <c r="D523" s="167" t="s">
        <v>13430</v>
      </c>
      <c r="E523" s="320" t="s">
        <v>13497</v>
      </c>
      <c r="F523" s="321" t="s">
        <v>9467</v>
      </c>
      <c r="G523" s="166" t="s">
        <v>9324</v>
      </c>
      <c r="H523" s="166" t="s">
        <v>9323</v>
      </c>
      <c r="I523" s="322">
        <v>8222</v>
      </c>
      <c r="J523" s="320" t="s">
        <v>9608</v>
      </c>
      <c r="K523" s="322" t="s">
        <v>9443</v>
      </c>
      <c r="L523" s="322" t="s">
        <v>9443</v>
      </c>
    </row>
    <row r="524" spans="1:12" s="319" customFormat="1" ht="14.85" customHeight="1" x14ac:dyDescent="0.25">
      <c r="A524" s="108" t="s">
        <v>13514</v>
      </c>
      <c r="B524" s="164" t="s">
        <v>9337</v>
      </c>
      <c r="C524" s="166" t="s">
        <v>9338</v>
      </c>
      <c r="D524" s="167" t="s">
        <v>13430</v>
      </c>
      <c r="E524" s="320" t="s">
        <v>13497</v>
      </c>
      <c r="F524" s="321" t="s">
        <v>9467</v>
      </c>
      <c r="G524" s="166" t="s">
        <v>9324</v>
      </c>
      <c r="H524" s="166" t="s">
        <v>9323</v>
      </c>
      <c r="I524" s="322">
        <v>8226</v>
      </c>
      <c r="J524" s="320" t="s">
        <v>9589</v>
      </c>
      <c r="K524" s="322" t="s">
        <v>9443</v>
      </c>
      <c r="L524" s="322" t="s">
        <v>9443</v>
      </c>
    </row>
    <row r="525" spans="1:12" s="319" customFormat="1" ht="14.85" customHeight="1" x14ac:dyDescent="0.25">
      <c r="A525" s="108" t="s">
        <v>13514</v>
      </c>
      <c r="B525" s="164" t="s">
        <v>9337</v>
      </c>
      <c r="C525" s="166" t="s">
        <v>9338</v>
      </c>
      <c r="D525" s="167" t="s">
        <v>13430</v>
      </c>
      <c r="E525" s="320" t="s">
        <v>13497</v>
      </c>
      <c r="F525" s="321" t="s">
        <v>9467</v>
      </c>
      <c r="G525" s="166" t="s">
        <v>9324</v>
      </c>
      <c r="H525" s="166" t="s">
        <v>9323</v>
      </c>
      <c r="I525" s="322">
        <v>8228</v>
      </c>
      <c r="J525" s="320" t="s">
        <v>9618</v>
      </c>
      <c r="K525" s="322" t="s">
        <v>9443</v>
      </c>
      <c r="L525" s="322" t="s">
        <v>9443</v>
      </c>
    </row>
    <row r="526" spans="1:12" s="319" customFormat="1" ht="14.85" customHeight="1" x14ac:dyDescent="0.25">
      <c r="A526" s="108" t="s">
        <v>13514</v>
      </c>
      <c r="B526" s="164" t="s">
        <v>9337</v>
      </c>
      <c r="C526" s="166" t="s">
        <v>9338</v>
      </c>
      <c r="D526" s="167" t="s">
        <v>13430</v>
      </c>
      <c r="E526" s="320" t="s">
        <v>13497</v>
      </c>
      <c r="F526" s="321" t="s">
        <v>9467</v>
      </c>
      <c r="G526" s="166" t="s">
        <v>9324</v>
      </c>
      <c r="H526" s="166" t="s">
        <v>9323</v>
      </c>
      <c r="I526" s="322">
        <v>8229</v>
      </c>
      <c r="J526" s="320" t="s">
        <v>9645</v>
      </c>
      <c r="K526" s="322" t="s">
        <v>9443</v>
      </c>
      <c r="L526" s="322" t="s">
        <v>9443</v>
      </c>
    </row>
    <row r="527" spans="1:12" s="319" customFormat="1" ht="14.85" customHeight="1" x14ac:dyDescent="0.25">
      <c r="A527" s="108" t="s">
        <v>13514</v>
      </c>
      <c r="B527" s="164" t="s">
        <v>9337</v>
      </c>
      <c r="C527" s="166" t="s">
        <v>9338</v>
      </c>
      <c r="D527" s="167" t="s">
        <v>13430</v>
      </c>
      <c r="E527" s="320" t="s">
        <v>13497</v>
      </c>
      <c r="F527" s="321" t="s">
        <v>9467</v>
      </c>
      <c r="G527" s="166" t="s">
        <v>9324</v>
      </c>
      <c r="H527" s="166" t="s">
        <v>9323</v>
      </c>
      <c r="I527" s="322">
        <v>8231</v>
      </c>
      <c r="J527" s="320" t="s">
        <v>9637</v>
      </c>
      <c r="K527" s="322" t="s">
        <v>9443</v>
      </c>
      <c r="L527" s="322" t="s">
        <v>9443</v>
      </c>
    </row>
    <row r="528" spans="1:12" s="319" customFormat="1" ht="14.85" customHeight="1" x14ac:dyDescent="0.25">
      <c r="A528" s="108" t="s">
        <v>13514</v>
      </c>
      <c r="B528" s="164" t="s">
        <v>9337</v>
      </c>
      <c r="C528" s="166" t="s">
        <v>9338</v>
      </c>
      <c r="D528" s="167" t="s">
        <v>13430</v>
      </c>
      <c r="E528" s="320" t="s">
        <v>13497</v>
      </c>
      <c r="F528" s="321" t="s">
        <v>9467</v>
      </c>
      <c r="G528" s="166" t="s">
        <v>9324</v>
      </c>
      <c r="H528" s="166" t="s">
        <v>9323</v>
      </c>
      <c r="I528" s="322">
        <v>8236</v>
      </c>
      <c r="J528" s="320" t="s">
        <v>9630</v>
      </c>
      <c r="K528" s="322" t="s">
        <v>9443</v>
      </c>
      <c r="L528" s="322" t="s">
        <v>9443</v>
      </c>
    </row>
    <row r="529" spans="1:12" s="319" customFormat="1" ht="14.85" customHeight="1" x14ac:dyDescent="0.25">
      <c r="A529" s="108" t="s">
        <v>13514</v>
      </c>
      <c r="B529" s="164" t="s">
        <v>9337</v>
      </c>
      <c r="C529" s="166" t="s">
        <v>9338</v>
      </c>
      <c r="D529" s="167" t="s">
        <v>13430</v>
      </c>
      <c r="E529" s="320" t="s">
        <v>13497</v>
      </c>
      <c r="F529" s="321" t="s">
        <v>9467</v>
      </c>
      <c r="G529" s="166" t="s">
        <v>9324</v>
      </c>
      <c r="H529" s="166" t="s">
        <v>9323</v>
      </c>
      <c r="I529" s="322" t="s">
        <v>9487</v>
      </c>
      <c r="J529" s="320" t="s">
        <v>9488</v>
      </c>
      <c r="K529" s="322" t="s">
        <v>9443</v>
      </c>
      <c r="L529" s="322" t="s">
        <v>9443</v>
      </c>
    </row>
    <row r="530" spans="1:12" s="319" customFormat="1" ht="14.85" customHeight="1" x14ac:dyDescent="0.25">
      <c r="A530" s="108" t="s">
        <v>13514</v>
      </c>
      <c r="B530" s="164" t="s">
        <v>9337</v>
      </c>
      <c r="C530" s="166" t="s">
        <v>9338</v>
      </c>
      <c r="D530" s="167" t="s">
        <v>13430</v>
      </c>
      <c r="E530" s="320" t="s">
        <v>13497</v>
      </c>
      <c r="F530" s="321" t="s">
        <v>9467</v>
      </c>
      <c r="G530" s="166" t="s">
        <v>9324</v>
      </c>
      <c r="H530" s="166" t="s">
        <v>9323</v>
      </c>
      <c r="I530" s="322" t="s">
        <v>9712</v>
      </c>
      <c r="J530" s="320" t="s">
        <v>9713</v>
      </c>
      <c r="K530" s="322" t="s">
        <v>9443</v>
      </c>
      <c r="L530" s="322" t="s">
        <v>9443</v>
      </c>
    </row>
    <row r="531" spans="1:12" s="319" customFormat="1" ht="14.85" customHeight="1" x14ac:dyDescent="0.25">
      <c r="A531" s="108" t="s">
        <v>13514</v>
      </c>
      <c r="B531" s="164" t="s">
        <v>9337</v>
      </c>
      <c r="C531" s="166" t="s">
        <v>9338</v>
      </c>
      <c r="D531" s="167" t="s">
        <v>13430</v>
      </c>
      <c r="E531" s="320" t="s">
        <v>13497</v>
      </c>
      <c r="F531" s="321" t="s">
        <v>9467</v>
      </c>
      <c r="G531" s="166" t="s">
        <v>9324</v>
      </c>
      <c r="H531" s="166" t="s">
        <v>9323</v>
      </c>
      <c r="I531" s="322" t="s">
        <v>9558</v>
      </c>
      <c r="J531" s="320" t="s">
        <v>9559</v>
      </c>
      <c r="K531" s="322" t="s">
        <v>9443</v>
      </c>
      <c r="L531" s="322" t="s">
        <v>9443</v>
      </c>
    </row>
    <row r="532" spans="1:12" s="319" customFormat="1" ht="14.85" customHeight="1" x14ac:dyDescent="0.25">
      <c r="A532" s="108" t="s">
        <v>13514</v>
      </c>
      <c r="B532" s="164" t="s">
        <v>9337</v>
      </c>
      <c r="C532" s="166" t="s">
        <v>9338</v>
      </c>
      <c r="D532" s="167" t="s">
        <v>13430</v>
      </c>
      <c r="E532" s="320" t="s">
        <v>13497</v>
      </c>
      <c r="F532" s="321" t="s">
        <v>9467</v>
      </c>
      <c r="G532" s="166" t="s">
        <v>9324</v>
      </c>
      <c r="H532" s="166" t="s">
        <v>9323</v>
      </c>
      <c r="I532" s="322" t="s">
        <v>9548</v>
      </c>
      <c r="J532" s="320" t="s">
        <v>9549</v>
      </c>
      <c r="K532" s="322" t="s">
        <v>9443</v>
      </c>
      <c r="L532" s="322" t="s">
        <v>9443</v>
      </c>
    </row>
    <row r="533" spans="1:12" s="319" customFormat="1" ht="14.85" customHeight="1" x14ac:dyDescent="0.25">
      <c r="A533" s="108" t="s">
        <v>13514</v>
      </c>
      <c r="B533" s="164" t="s">
        <v>9337</v>
      </c>
      <c r="C533" s="166" t="s">
        <v>9338</v>
      </c>
      <c r="D533" s="167" t="s">
        <v>13430</v>
      </c>
      <c r="E533" s="320" t="s">
        <v>13497</v>
      </c>
      <c r="F533" s="321" t="s">
        <v>9467</v>
      </c>
      <c r="G533" s="166" t="s">
        <v>9324</v>
      </c>
      <c r="H533" s="166" t="s">
        <v>9323</v>
      </c>
      <c r="I533" s="322" t="s">
        <v>9550</v>
      </c>
      <c r="J533" s="320" t="s">
        <v>9551</v>
      </c>
      <c r="K533" s="322" t="s">
        <v>9443</v>
      </c>
      <c r="L533" s="322" t="s">
        <v>9443</v>
      </c>
    </row>
    <row r="534" spans="1:12" s="319" customFormat="1" ht="14.85" customHeight="1" x14ac:dyDescent="0.25">
      <c r="A534" s="108" t="s">
        <v>13514</v>
      </c>
      <c r="B534" s="164" t="s">
        <v>9337</v>
      </c>
      <c r="C534" s="166" t="s">
        <v>9338</v>
      </c>
      <c r="D534" s="167" t="s">
        <v>13430</v>
      </c>
      <c r="E534" s="320" t="s">
        <v>13497</v>
      </c>
      <c r="F534" s="321" t="s">
        <v>9467</v>
      </c>
      <c r="G534" s="166" t="s">
        <v>9324</v>
      </c>
      <c r="H534" s="166" t="s">
        <v>9323</v>
      </c>
      <c r="I534" s="322" t="s">
        <v>9552</v>
      </c>
      <c r="J534" s="320" t="s">
        <v>9553</v>
      </c>
      <c r="K534" s="322" t="s">
        <v>9443</v>
      </c>
      <c r="L534" s="322" t="s">
        <v>9443</v>
      </c>
    </row>
    <row r="535" spans="1:12" s="319" customFormat="1" ht="14.85" customHeight="1" x14ac:dyDescent="0.25">
      <c r="A535" s="108" t="s">
        <v>13514</v>
      </c>
      <c r="B535" s="164" t="s">
        <v>9337</v>
      </c>
      <c r="C535" s="166" t="s">
        <v>9338</v>
      </c>
      <c r="D535" s="167" t="s">
        <v>13430</v>
      </c>
      <c r="E535" s="320" t="s">
        <v>13497</v>
      </c>
      <c r="F535" s="321" t="s">
        <v>9467</v>
      </c>
      <c r="G535" s="166" t="s">
        <v>9324</v>
      </c>
      <c r="H535" s="166" t="s">
        <v>9323</v>
      </c>
      <c r="I535" s="322" t="s">
        <v>9532</v>
      </c>
      <c r="J535" s="320" t="s">
        <v>9533</v>
      </c>
      <c r="K535" s="322" t="s">
        <v>9443</v>
      </c>
      <c r="L535" s="322" t="s">
        <v>9443</v>
      </c>
    </row>
    <row r="536" spans="1:12" s="319" customFormat="1" ht="14.85" customHeight="1" x14ac:dyDescent="0.25">
      <c r="A536" s="108" t="s">
        <v>13514</v>
      </c>
      <c r="B536" s="164" t="s">
        <v>9337</v>
      </c>
      <c r="C536" s="166" t="s">
        <v>9338</v>
      </c>
      <c r="D536" s="167" t="s">
        <v>13430</v>
      </c>
      <c r="E536" s="320" t="s">
        <v>13497</v>
      </c>
      <c r="F536" s="321" t="s">
        <v>9467</v>
      </c>
      <c r="G536" s="166" t="s">
        <v>9324</v>
      </c>
      <c r="H536" s="166" t="s">
        <v>9323</v>
      </c>
      <c r="I536" s="322" t="s">
        <v>9534</v>
      </c>
      <c r="J536" s="320" t="s">
        <v>9535</v>
      </c>
      <c r="K536" s="322" t="s">
        <v>9443</v>
      </c>
      <c r="L536" s="322" t="s">
        <v>9443</v>
      </c>
    </row>
    <row r="537" spans="1:12" s="319" customFormat="1" ht="14.85" customHeight="1" x14ac:dyDescent="0.25">
      <c r="A537" s="108" t="s">
        <v>13514</v>
      </c>
      <c r="B537" s="164" t="s">
        <v>9337</v>
      </c>
      <c r="C537" s="166" t="s">
        <v>9338</v>
      </c>
      <c r="D537" s="167" t="s">
        <v>13430</v>
      </c>
      <c r="E537" s="320" t="s">
        <v>13497</v>
      </c>
      <c r="F537" s="321" t="s">
        <v>9467</v>
      </c>
      <c r="G537" s="166" t="s">
        <v>9324</v>
      </c>
      <c r="H537" s="166" t="s">
        <v>9323</v>
      </c>
      <c r="I537" s="322" t="s">
        <v>9536</v>
      </c>
      <c r="J537" s="320" t="s">
        <v>9537</v>
      </c>
      <c r="K537" s="322" t="s">
        <v>9443</v>
      </c>
      <c r="L537" s="322" t="s">
        <v>9443</v>
      </c>
    </row>
    <row r="538" spans="1:12" s="319" customFormat="1" ht="14.85" customHeight="1" x14ac:dyDescent="0.25">
      <c r="A538" s="108" t="s">
        <v>13514</v>
      </c>
      <c r="B538" s="164" t="s">
        <v>9337</v>
      </c>
      <c r="C538" s="166" t="s">
        <v>9338</v>
      </c>
      <c r="D538" s="167" t="s">
        <v>13430</v>
      </c>
      <c r="E538" s="320" t="s">
        <v>13497</v>
      </c>
      <c r="F538" s="321" t="s">
        <v>9467</v>
      </c>
      <c r="G538" s="166" t="s">
        <v>9324</v>
      </c>
      <c r="H538" s="166" t="s">
        <v>9323</v>
      </c>
      <c r="I538" s="322" t="s">
        <v>9696</v>
      </c>
      <c r="J538" s="320" t="s">
        <v>9697</v>
      </c>
      <c r="K538" s="322" t="s">
        <v>9443</v>
      </c>
      <c r="L538" s="322" t="s">
        <v>9443</v>
      </c>
    </row>
    <row r="539" spans="1:12" s="319" customFormat="1" ht="14.85" customHeight="1" x14ac:dyDescent="0.25">
      <c r="A539" s="108" t="s">
        <v>13514</v>
      </c>
      <c r="B539" s="164" t="s">
        <v>9337</v>
      </c>
      <c r="C539" s="166" t="s">
        <v>9338</v>
      </c>
      <c r="D539" s="167" t="s">
        <v>13430</v>
      </c>
      <c r="E539" s="320" t="s">
        <v>13497</v>
      </c>
      <c r="F539" s="321" t="s">
        <v>9467</v>
      </c>
      <c r="G539" s="166" t="s">
        <v>9324</v>
      </c>
      <c r="H539" s="166" t="s">
        <v>9323</v>
      </c>
      <c r="I539" s="322" t="s">
        <v>9702</v>
      </c>
      <c r="J539" s="320" t="s">
        <v>9703</v>
      </c>
      <c r="K539" s="322" t="s">
        <v>9443</v>
      </c>
      <c r="L539" s="322" t="s">
        <v>9443</v>
      </c>
    </row>
    <row r="540" spans="1:12" s="319" customFormat="1" ht="14.85" customHeight="1" x14ac:dyDescent="0.25">
      <c r="A540" s="108" t="s">
        <v>13514</v>
      </c>
      <c r="B540" s="164" t="s">
        <v>9337</v>
      </c>
      <c r="C540" s="166" t="s">
        <v>9338</v>
      </c>
      <c r="D540" s="167" t="s">
        <v>13430</v>
      </c>
      <c r="E540" s="320" t="s">
        <v>13497</v>
      </c>
      <c r="F540" s="321" t="s">
        <v>9467</v>
      </c>
      <c r="G540" s="166" t="s">
        <v>9324</v>
      </c>
      <c r="H540" s="166" t="s">
        <v>9323</v>
      </c>
      <c r="I540" s="322" t="s">
        <v>9785</v>
      </c>
      <c r="J540" s="320" t="s">
        <v>9786</v>
      </c>
      <c r="K540" s="322" t="s">
        <v>9443</v>
      </c>
      <c r="L540" s="322" t="s">
        <v>9443</v>
      </c>
    </row>
    <row r="541" spans="1:12" s="319" customFormat="1" ht="14.85" customHeight="1" x14ac:dyDescent="0.25">
      <c r="A541" s="108" t="s">
        <v>13514</v>
      </c>
      <c r="B541" s="164" t="s">
        <v>9337</v>
      </c>
      <c r="C541" s="166" t="s">
        <v>9338</v>
      </c>
      <c r="D541" s="167" t="s">
        <v>13430</v>
      </c>
      <c r="E541" s="320" t="s">
        <v>13497</v>
      </c>
      <c r="F541" s="321" t="s">
        <v>9467</v>
      </c>
      <c r="G541" s="166" t="s">
        <v>9324</v>
      </c>
      <c r="H541" s="166" t="s">
        <v>9323</v>
      </c>
      <c r="I541" s="322" t="s">
        <v>9753</v>
      </c>
      <c r="J541" s="320" t="s">
        <v>9754</v>
      </c>
      <c r="K541" s="322" t="s">
        <v>9443</v>
      </c>
      <c r="L541" s="322" t="s">
        <v>9443</v>
      </c>
    </row>
    <row r="542" spans="1:12" s="319" customFormat="1" ht="14.85" customHeight="1" x14ac:dyDescent="0.25">
      <c r="A542" s="108" t="s">
        <v>13514</v>
      </c>
      <c r="B542" s="164" t="s">
        <v>9337</v>
      </c>
      <c r="C542" s="166" t="s">
        <v>9338</v>
      </c>
      <c r="D542" s="167" t="s">
        <v>13430</v>
      </c>
      <c r="E542" s="320" t="s">
        <v>13497</v>
      </c>
      <c r="F542" s="321" t="s">
        <v>9467</v>
      </c>
      <c r="G542" s="166" t="s">
        <v>9324</v>
      </c>
      <c r="H542" s="166" t="s">
        <v>9323</v>
      </c>
      <c r="I542" s="322" t="s">
        <v>9771</v>
      </c>
      <c r="J542" s="320" t="s">
        <v>9772</v>
      </c>
      <c r="K542" s="322" t="s">
        <v>9443</v>
      </c>
      <c r="L542" s="322" t="s">
        <v>9443</v>
      </c>
    </row>
    <row r="543" spans="1:12" s="319" customFormat="1" ht="14.85" customHeight="1" x14ac:dyDescent="0.25">
      <c r="A543" s="108" t="s">
        <v>13514</v>
      </c>
      <c r="B543" s="164" t="s">
        <v>9337</v>
      </c>
      <c r="C543" s="166" t="s">
        <v>9338</v>
      </c>
      <c r="D543" s="167" t="s">
        <v>13430</v>
      </c>
      <c r="E543" s="320" t="s">
        <v>13497</v>
      </c>
      <c r="F543" s="321" t="s">
        <v>9467</v>
      </c>
      <c r="G543" s="166" t="s">
        <v>9324</v>
      </c>
      <c r="H543" s="166" t="s">
        <v>9323</v>
      </c>
      <c r="I543" s="322" t="s">
        <v>9789</v>
      </c>
      <c r="J543" s="320" t="s">
        <v>9790</v>
      </c>
      <c r="K543" s="322" t="s">
        <v>9443</v>
      </c>
      <c r="L543" s="322" t="s">
        <v>9443</v>
      </c>
    </row>
    <row r="544" spans="1:12" s="319" customFormat="1" ht="14.85" customHeight="1" x14ac:dyDescent="0.25">
      <c r="A544" s="108" t="s">
        <v>13514</v>
      </c>
      <c r="B544" s="164" t="s">
        <v>9337</v>
      </c>
      <c r="C544" s="166" t="s">
        <v>9338</v>
      </c>
      <c r="D544" s="167" t="s">
        <v>13430</v>
      </c>
      <c r="E544" s="320" t="s">
        <v>13497</v>
      </c>
      <c r="F544" s="321" t="s">
        <v>9467</v>
      </c>
      <c r="G544" s="166" t="s">
        <v>9324</v>
      </c>
      <c r="H544" s="166" t="s">
        <v>9323</v>
      </c>
      <c r="I544" s="322" t="s">
        <v>9791</v>
      </c>
      <c r="J544" s="320" t="s">
        <v>9792</v>
      </c>
      <c r="K544" s="322" t="s">
        <v>9443</v>
      </c>
      <c r="L544" s="322" t="s">
        <v>9443</v>
      </c>
    </row>
    <row r="545" spans="1:12" s="319" customFormat="1" ht="14.85" customHeight="1" x14ac:dyDescent="0.25">
      <c r="A545" s="108" t="s">
        <v>13514</v>
      </c>
      <c r="B545" s="164" t="s">
        <v>9337</v>
      </c>
      <c r="C545" s="166" t="s">
        <v>9338</v>
      </c>
      <c r="D545" s="167" t="s">
        <v>13430</v>
      </c>
      <c r="E545" s="320" t="s">
        <v>13497</v>
      </c>
      <c r="F545" s="321" t="s">
        <v>9467</v>
      </c>
      <c r="G545" s="166" t="s">
        <v>9324</v>
      </c>
      <c r="H545" s="166" t="s">
        <v>9323</v>
      </c>
      <c r="I545" s="322" t="s">
        <v>9793</v>
      </c>
      <c r="J545" s="320" t="s">
        <v>9794</v>
      </c>
      <c r="K545" s="322" t="s">
        <v>9443</v>
      </c>
      <c r="L545" s="322" t="s">
        <v>9443</v>
      </c>
    </row>
    <row r="546" spans="1:12" s="319" customFormat="1" ht="14.85" customHeight="1" x14ac:dyDescent="0.25">
      <c r="A546" s="108" t="s">
        <v>13514</v>
      </c>
      <c r="B546" s="164" t="s">
        <v>9337</v>
      </c>
      <c r="C546" s="166" t="s">
        <v>9338</v>
      </c>
      <c r="D546" s="167" t="s">
        <v>13430</v>
      </c>
      <c r="E546" s="320" t="s">
        <v>13497</v>
      </c>
      <c r="F546" s="321" t="s">
        <v>9467</v>
      </c>
      <c r="G546" s="166" t="s">
        <v>9324</v>
      </c>
      <c r="H546" s="166" t="s">
        <v>9323</v>
      </c>
      <c r="I546" s="322" t="s">
        <v>9795</v>
      </c>
      <c r="J546" s="320" t="s">
        <v>9796</v>
      </c>
      <c r="K546" s="322" t="s">
        <v>9443</v>
      </c>
      <c r="L546" s="322" t="s">
        <v>9443</v>
      </c>
    </row>
    <row r="547" spans="1:12" s="319" customFormat="1" ht="14.85" customHeight="1" x14ac:dyDescent="0.25">
      <c r="A547" s="108" t="s">
        <v>13514</v>
      </c>
      <c r="B547" s="164" t="s">
        <v>9337</v>
      </c>
      <c r="C547" s="166" t="s">
        <v>9338</v>
      </c>
      <c r="D547" s="167" t="s">
        <v>13430</v>
      </c>
      <c r="E547" s="320" t="s">
        <v>13497</v>
      </c>
      <c r="F547" s="321" t="s">
        <v>9467</v>
      </c>
      <c r="G547" s="166" t="s">
        <v>9324</v>
      </c>
      <c r="H547" s="166" t="s">
        <v>9323</v>
      </c>
      <c r="I547" s="322" t="s">
        <v>9684</v>
      </c>
      <c r="J547" s="320" t="s">
        <v>9685</v>
      </c>
      <c r="K547" s="322" t="s">
        <v>9443</v>
      </c>
      <c r="L547" s="322" t="s">
        <v>9443</v>
      </c>
    </row>
    <row r="548" spans="1:12" s="319" customFormat="1" ht="14.85" customHeight="1" x14ac:dyDescent="0.25">
      <c r="A548" s="108" t="s">
        <v>13514</v>
      </c>
      <c r="B548" s="164" t="s">
        <v>9337</v>
      </c>
      <c r="C548" s="166" t="s">
        <v>9338</v>
      </c>
      <c r="D548" s="167" t="s">
        <v>13430</v>
      </c>
      <c r="E548" s="320" t="s">
        <v>13497</v>
      </c>
      <c r="F548" s="321" t="s">
        <v>9467</v>
      </c>
      <c r="G548" s="166" t="s">
        <v>9324</v>
      </c>
      <c r="H548" s="166" t="s">
        <v>9323</v>
      </c>
      <c r="I548" s="322" t="s">
        <v>9762</v>
      </c>
      <c r="J548" s="320" t="s">
        <v>9763</v>
      </c>
      <c r="K548" s="322" t="s">
        <v>9443</v>
      </c>
      <c r="L548" s="322" t="s">
        <v>9443</v>
      </c>
    </row>
    <row r="549" spans="1:12" s="319" customFormat="1" ht="14.85" customHeight="1" x14ac:dyDescent="0.25">
      <c r="A549" s="108" t="s">
        <v>13514</v>
      </c>
      <c r="B549" s="164" t="s">
        <v>9337</v>
      </c>
      <c r="C549" s="166" t="s">
        <v>9338</v>
      </c>
      <c r="D549" s="167" t="s">
        <v>13430</v>
      </c>
      <c r="E549" s="320" t="s">
        <v>13497</v>
      </c>
      <c r="F549" s="321" t="s">
        <v>9467</v>
      </c>
      <c r="G549" s="166" t="s">
        <v>9324</v>
      </c>
      <c r="H549" s="166" t="s">
        <v>9323</v>
      </c>
      <c r="I549" s="322" t="s">
        <v>9690</v>
      </c>
      <c r="J549" s="320" t="s">
        <v>9691</v>
      </c>
      <c r="K549" s="322" t="s">
        <v>9443</v>
      </c>
      <c r="L549" s="322" t="s">
        <v>9443</v>
      </c>
    </row>
    <row r="550" spans="1:12" s="319" customFormat="1" ht="14.85" customHeight="1" x14ac:dyDescent="0.25">
      <c r="A550" s="108" t="s">
        <v>13514</v>
      </c>
      <c r="B550" s="164" t="s">
        <v>9337</v>
      </c>
      <c r="C550" s="166" t="s">
        <v>9338</v>
      </c>
      <c r="D550" s="167" t="s">
        <v>13430</v>
      </c>
      <c r="E550" s="320" t="s">
        <v>13497</v>
      </c>
      <c r="F550" s="321" t="s">
        <v>9467</v>
      </c>
      <c r="G550" s="166" t="s">
        <v>9324</v>
      </c>
      <c r="H550" s="166" t="s">
        <v>9323</v>
      </c>
      <c r="I550" s="322" t="s">
        <v>9722</v>
      </c>
      <c r="J550" s="320" t="s">
        <v>9723</v>
      </c>
      <c r="K550" s="322" t="s">
        <v>9443</v>
      </c>
      <c r="L550" s="322" t="s">
        <v>9443</v>
      </c>
    </row>
    <row r="551" spans="1:12" s="319" customFormat="1" ht="14.85" customHeight="1" x14ac:dyDescent="0.25">
      <c r="A551" s="108" t="s">
        <v>13514</v>
      </c>
      <c r="B551" s="164" t="s">
        <v>9337</v>
      </c>
      <c r="C551" s="166" t="s">
        <v>9338</v>
      </c>
      <c r="D551" s="167" t="s">
        <v>13431</v>
      </c>
      <c r="E551" s="320" t="s">
        <v>13437</v>
      </c>
      <c r="F551" s="321" t="s">
        <v>9451</v>
      </c>
      <c r="G551" s="166" t="s">
        <v>9324</v>
      </c>
      <c r="H551" s="166" t="s">
        <v>9323</v>
      </c>
      <c r="I551" s="322" t="s">
        <v>9519</v>
      </c>
      <c r="J551" s="320" t="s">
        <v>9520</v>
      </c>
      <c r="K551" s="322" t="s">
        <v>9440</v>
      </c>
      <c r="L551" s="167" t="s">
        <v>9451</v>
      </c>
    </row>
    <row r="552" spans="1:12" s="319" customFormat="1" ht="14.85" customHeight="1" x14ac:dyDescent="0.25">
      <c r="A552" s="108" t="s">
        <v>13514</v>
      </c>
      <c r="B552" s="164" t="s">
        <v>9337</v>
      </c>
      <c r="C552" s="166" t="s">
        <v>9338</v>
      </c>
      <c r="D552" s="167" t="s">
        <v>13431</v>
      </c>
      <c r="E552" s="320" t="s">
        <v>13437</v>
      </c>
      <c r="F552" s="321" t="s">
        <v>9451</v>
      </c>
      <c r="G552" s="166" t="s">
        <v>9324</v>
      </c>
      <c r="H552" s="166" t="s">
        <v>9323</v>
      </c>
      <c r="I552" s="322" t="s">
        <v>9351</v>
      </c>
      <c r="J552" s="320" t="s">
        <v>9352</v>
      </c>
      <c r="K552" s="322" t="s">
        <v>9353</v>
      </c>
      <c r="L552" s="167" t="s">
        <v>9451</v>
      </c>
    </row>
    <row r="553" spans="1:12" ht="14.85" customHeight="1" x14ac:dyDescent="0.25">
      <c r="A553" s="108" t="s">
        <v>9308</v>
      </c>
      <c r="B553" s="115" t="s">
        <v>9337</v>
      </c>
      <c r="C553" s="115" t="s">
        <v>9338</v>
      </c>
      <c r="D553" s="109" t="s">
        <v>9710</v>
      </c>
      <c r="E553" s="110" t="s">
        <v>9711</v>
      </c>
      <c r="F553" s="236" t="s">
        <v>9467</v>
      </c>
      <c r="G553" s="115" t="s">
        <v>9324</v>
      </c>
      <c r="H553" s="115" t="s">
        <v>9323</v>
      </c>
      <c r="I553" s="7" t="s">
        <v>9519</v>
      </c>
      <c r="J553" s="110" t="s">
        <v>9520</v>
      </c>
      <c r="K553" s="7" t="s">
        <v>9440</v>
      </c>
      <c r="L553" s="109" t="s">
        <v>9440</v>
      </c>
    </row>
    <row r="554" spans="1:12" ht="14.85" customHeight="1" x14ac:dyDescent="0.25">
      <c r="A554" s="108" t="s">
        <v>9308</v>
      </c>
      <c r="B554" s="115" t="s">
        <v>9337</v>
      </c>
      <c r="C554" s="115" t="s">
        <v>9338</v>
      </c>
      <c r="D554" s="109" t="s">
        <v>9710</v>
      </c>
      <c r="E554" s="110" t="s">
        <v>9711</v>
      </c>
      <c r="F554" s="236" t="s">
        <v>9467</v>
      </c>
      <c r="G554" s="115" t="s">
        <v>9324</v>
      </c>
      <c r="H554" s="115" t="s">
        <v>9323</v>
      </c>
      <c r="I554" s="7" t="s">
        <v>9351</v>
      </c>
      <c r="J554" s="110" t="s">
        <v>9352</v>
      </c>
      <c r="K554" s="7" t="s">
        <v>9353</v>
      </c>
      <c r="L554" s="109" t="s">
        <v>9467</v>
      </c>
    </row>
    <row r="555" spans="1:12" ht="14.85" customHeight="1" x14ac:dyDescent="0.25">
      <c r="A555" s="108" t="s">
        <v>9308</v>
      </c>
      <c r="B555" s="115" t="s">
        <v>9337</v>
      </c>
      <c r="C555" s="115" t="s">
        <v>9338</v>
      </c>
      <c r="D555" s="109" t="s">
        <v>9710</v>
      </c>
      <c r="E555" s="110" t="s">
        <v>9711</v>
      </c>
      <c r="F555" s="236" t="s">
        <v>9467</v>
      </c>
      <c r="G555" s="115" t="s">
        <v>9324</v>
      </c>
      <c r="H555" s="115" t="s">
        <v>9323</v>
      </c>
      <c r="I555" s="7" t="s">
        <v>9712</v>
      </c>
      <c r="J555" s="110" t="s">
        <v>9713</v>
      </c>
      <c r="K555" s="7" t="s">
        <v>9443</v>
      </c>
      <c r="L555" s="109" t="s">
        <v>9443</v>
      </c>
    </row>
    <row r="556" spans="1:12" ht="14.85" customHeight="1" x14ac:dyDescent="0.25">
      <c r="A556" s="108" t="s">
        <v>13512</v>
      </c>
      <c r="B556" s="161" t="s">
        <v>9337</v>
      </c>
      <c r="C556" s="115" t="s">
        <v>9338</v>
      </c>
      <c r="D556" s="109" t="s">
        <v>9714</v>
      </c>
      <c r="E556" s="323" t="s">
        <v>13488</v>
      </c>
      <c r="F556" s="236" t="s">
        <v>9451</v>
      </c>
      <c r="G556" s="115" t="s">
        <v>9324</v>
      </c>
      <c r="H556" s="115" t="s">
        <v>9323</v>
      </c>
      <c r="I556" s="7" t="s">
        <v>9519</v>
      </c>
      <c r="J556" s="110" t="s">
        <v>9520</v>
      </c>
      <c r="K556" s="7" t="s">
        <v>9440</v>
      </c>
      <c r="L556" s="109" t="s">
        <v>9451</v>
      </c>
    </row>
    <row r="557" spans="1:12" ht="14.85" customHeight="1" x14ac:dyDescent="0.25">
      <c r="A557" s="108" t="s">
        <v>13512</v>
      </c>
      <c r="B557" s="161" t="s">
        <v>9337</v>
      </c>
      <c r="C557" s="115" t="s">
        <v>9338</v>
      </c>
      <c r="D557" s="109" t="s">
        <v>9714</v>
      </c>
      <c r="E557" s="323" t="s">
        <v>13488</v>
      </c>
      <c r="F557" s="236" t="s">
        <v>9451</v>
      </c>
      <c r="G557" s="115" t="s">
        <v>9324</v>
      </c>
      <c r="H557" s="115" t="s">
        <v>9323</v>
      </c>
      <c r="I557" s="7" t="s">
        <v>9351</v>
      </c>
      <c r="J557" s="110" t="s">
        <v>9352</v>
      </c>
      <c r="K557" s="7" t="s">
        <v>9353</v>
      </c>
      <c r="L557" s="109" t="s">
        <v>9451</v>
      </c>
    </row>
    <row r="558" spans="1:12" ht="14.85" customHeight="1" x14ac:dyDescent="0.25">
      <c r="A558" s="108" t="s">
        <v>9308</v>
      </c>
      <c r="B558" s="115" t="s">
        <v>9337</v>
      </c>
      <c r="C558" s="115" t="s">
        <v>9338</v>
      </c>
      <c r="D558" s="109" t="s">
        <v>9715</v>
      </c>
      <c r="E558" s="110" t="s">
        <v>9716</v>
      </c>
      <c r="F558" s="236" t="s">
        <v>9467</v>
      </c>
      <c r="G558" s="115" t="s">
        <v>9324</v>
      </c>
      <c r="H558" s="115" t="s">
        <v>9323</v>
      </c>
      <c r="I558" s="7" t="s">
        <v>9438</v>
      </c>
      <c r="J558" s="110" t="s">
        <v>9439</v>
      </c>
      <c r="K558" s="7" t="s">
        <v>9440</v>
      </c>
      <c r="L558" s="109" t="s">
        <v>9440</v>
      </c>
    </row>
    <row r="559" spans="1:12" ht="14.85" customHeight="1" x14ac:dyDescent="0.25">
      <c r="A559" s="108" t="s">
        <v>9308</v>
      </c>
      <c r="B559" s="115" t="s">
        <v>9337</v>
      </c>
      <c r="C559" s="115" t="s">
        <v>9338</v>
      </c>
      <c r="D559" s="109" t="s">
        <v>9715</v>
      </c>
      <c r="E559" s="110" t="s">
        <v>9716</v>
      </c>
      <c r="F559" s="236" t="s">
        <v>9467</v>
      </c>
      <c r="G559" s="115" t="s">
        <v>9324</v>
      </c>
      <c r="H559" s="115" t="s">
        <v>9323</v>
      </c>
      <c r="I559" s="7" t="s">
        <v>9472</v>
      </c>
      <c r="J559" s="110" t="s">
        <v>9473</v>
      </c>
      <c r="K559" s="7" t="s">
        <v>9440</v>
      </c>
      <c r="L559" s="109" t="s">
        <v>9440</v>
      </c>
    </row>
    <row r="560" spans="1:12" ht="14.85" customHeight="1" x14ac:dyDescent="0.25">
      <c r="A560" s="108" t="s">
        <v>9308</v>
      </c>
      <c r="B560" s="115" t="s">
        <v>9337</v>
      </c>
      <c r="C560" s="115" t="s">
        <v>9338</v>
      </c>
      <c r="D560" s="109" t="s">
        <v>9715</v>
      </c>
      <c r="E560" s="110" t="s">
        <v>9716</v>
      </c>
      <c r="F560" s="236" t="s">
        <v>9467</v>
      </c>
      <c r="G560" s="115" t="s">
        <v>9324</v>
      </c>
      <c r="H560" s="115" t="s">
        <v>9323</v>
      </c>
      <c r="I560" s="7" t="s">
        <v>9474</v>
      </c>
      <c r="J560" s="110" t="s">
        <v>9475</v>
      </c>
      <c r="K560" s="7" t="s">
        <v>9440</v>
      </c>
      <c r="L560" s="109" t="s">
        <v>9440</v>
      </c>
    </row>
    <row r="561" spans="1:12" ht="14.85" customHeight="1" x14ac:dyDescent="0.25">
      <c r="A561" s="108" t="s">
        <v>9308</v>
      </c>
      <c r="B561" s="115" t="s">
        <v>9337</v>
      </c>
      <c r="C561" s="115" t="s">
        <v>9338</v>
      </c>
      <c r="D561" s="109" t="s">
        <v>9715</v>
      </c>
      <c r="E561" s="110" t="s">
        <v>9716</v>
      </c>
      <c r="F561" s="236" t="s">
        <v>9467</v>
      </c>
      <c r="G561" s="115" t="s">
        <v>9324</v>
      </c>
      <c r="H561" s="115" t="s">
        <v>9323</v>
      </c>
      <c r="I561" s="7" t="s">
        <v>9351</v>
      </c>
      <c r="J561" s="110" t="s">
        <v>9352</v>
      </c>
      <c r="K561" s="7" t="s">
        <v>9353</v>
      </c>
      <c r="L561" s="109" t="s">
        <v>9467</v>
      </c>
    </row>
    <row r="562" spans="1:12" ht="14.85" customHeight="1" x14ac:dyDescent="0.25">
      <c r="A562" s="108" t="s">
        <v>9308</v>
      </c>
      <c r="B562" s="115" t="s">
        <v>9337</v>
      </c>
      <c r="C562" s="115" t="s">
        <v>9338</v>
      </c>
      <c r="D562" s="109" t="s">
        <v>9715</v>
      </c>
      <c r="E562" s="110" t="s">
        <v>9716</v>
      </c>
      <c r="F562" s="236" t="s">
        <v>9467</v>
      </c>
      <c r="G562" s="115" t="s">
        <v>9324</v>
      </c>
      <c r="H562" s="115" t="s">
        <v>9323</v>
      </c>
      <c r="I562" s="7" t="s">
        <v>9441</v>
      </c>
      <c r="J562" s="110" t="s">
        <v>9442</v>
      </c>
      <c r="K562" s="7" t="s">
        <v>9443</v>
      </c>
      <c r="L562" s="109" t="s">
        <v>9443</v>
      </c>
    </row>
    <row r="563" spans="1:12" ht="14.85" customHeight="1" x14ac:dyDescent="0.25">
      <c r="A563" s="108" t="s">
        <v>9308</v>
      </c>
      <c r="B563" s="115" t="s">
        <v>9337</v>
      </c>
      <c r="C563" s="115" t="s">
        <v>9338</v>
      </c>
      <c r="D563" s="109" t="s">
        <v>9715</v>
      </c>
      <c r="E563" s="110" t="s">
        <v>9716</v>
      </c>
      <c r="F563" s="236" t="s">
        <v>9467</v>
      </c>
      <c r="G563" s="115" t="s">
        <v>9324</v>
      </c>
      <c r="H563" s="115" t="s">
        <v>9323</v>
      </c>
      <c r="I563" s="7" t="s">
        <v>9476</v>
      </c>
      <c r="J563" s="110" t="s">
        <v>9477</v>
      </c>
      <c r="K563" s="7" t="s">
        <v>9443</v>
      </c>
      <c r="L563" s="109" t="s">
        <v>9443</v>
      </c>
    </row>
    <row r="564" spans="1:12" ht="14.85" customHeight="1" x14ac:dyDescent="0.25">
      <c r="A564" s="108" t="s">
        <v>9308</v>
      </c>
      <c r="B564" s="115" t="s">
        <v>9337</v>
      </c>
      <c r="C564" s="115" t="s">
        <v>9338</v>
      </c>
      <c r="D564" s="109" t="s">
        <v>9715</v>
      </c>
      <c r="E564" s="110" t="s">
        <v>9716</v>
      </c>
      <c r="F564" s="236" t="s">
        <v>9467</v>
      </c>
      <c r="G564" s="115" t="s">
        <v>9324</v>
      </c>
      <c r="H564" s="115" t="s">
        <v>9323</v>
      </c>
      <c r="I564" s="7" t="s">
        <v>9478</v>
      </c>
      <c r="J564" s="110" t="s">
        <v>9479</v>
      </c>
      <c r="K564" s="7" t="s">
        <v>9443</v>
      </c>
      <c r="L564" s="109" t="s">
        <v>9443</v>
      </c>
    </row>
    <row r="565" spans="1:12" ht="14.85" customHeight="1" x14ac:dyDescent="0.25">
      <c r="A565" s="108" t="s">
        <v>9308</v>
      </c>
      <c r="B565" s="115" t="s">
        <v>9337</v>
      </c>
      <c r="C565" s="115" t="s">
        <v>9338</v>
      </c>
      <c r="D565" s="109" t="s">
        <v>9717</v>
      </c>
      <c r="E565" s="110" t="s">
        <v>9718</v>
      </c>
      <c r="F565" s="236" t="s">
        <v>9353</v>
      </c>
      <c r="G565" s="115" t="s">
        <v>9324</v>
      </c>
      <c r="H565" s="115" t="s">
        <v>9323</v>
      </c>
      <c r="I565" s="7"/>
      <c r="J565" s="110" t="s">
        <v>9612</v>
      </c>
      <c r="K565" s="7"/>
      <c r="L565" s="109" t="s">
        <v>9353</v>
      </c>
    </row>
    <row r="566" spans="1:12" ht="14.85" customHeight="1" x14ac:dyDescent="0.25">
      <c r="A566" s="108" t="s">
        <v>9308</v>
      </c>
      <c r="B566" s="115" t="s">
        <v>9337</v>
      </c>
      <c r="C566" s="115" t="s">
        <v>9338</v>
      </c>
      <c r="D566" s="109" t="s">
        <v>9717</v>
      </c>
      <c r="E566" s="110" t="s">
        <v>9718</v>
      </c>
      <c r="F566" s="236" t="s">
        <v>9353</v>
      </c>
      <c r="G566" s="115" t="s">
        <v>9324</v>
      </c>
      <c r="H566" s="115" t="s">
        <v>9323</v>
      </c>
      <c r="I566" s="7" t="s">
        <v>9351</v>
      </c>
      <c r="J566" s="110" t="s">
        <v>9352</v>
      </c>
      <c r="K566" s="7" t="s">
        <v>9353</v>
      </c>
      <c r="L566" s="109" t="s">
        <v>9353</v>
      </c>
    </row>
    <row r="567" spans="1:12" ht="14.85" customHeight="1" x14ac:dyDescent="0.25">
      <c r="A567" s="108" t="s">
        <v>13512</v>
      </c>
      <c r="B567" s="161" t="s">
        <v>9337</v>
      </c>
      <c r="C567" s="115" t="s">
        <v>9338</v>
      </c>
      <c r="D567" s="109" t="s">
        <v>9719</v>
      </c>
      <c r="E567" s="323" t="s">
        <v>13434</v>
      </c>
      <c r="F567" s="236" t="s">
        <v>9467</v>
      </c>
      <c r="G567" s="115" t="s">
        <v>9324</v>
      </c>
      <c r="H567" s="115" t="s">
        <v>9323</v>
      </c>
      <c r="I567" s="7"/>
      <c r="J567" s="110" t="s">
        <v>9612</v>
      </c>
      <c r="K567" s="7"/>
      <c r="L567" s="109" t="s">
        <v>9467</v>
      </c>
    </row>
    <row r="568" spans="1:12" ht="14.85" customHeight="1" x14ac:dyDescent="0.25">
      <c r="A568" s="108" t="s">
        <v>13512</v>
      </c>
      <c r="B568" s="161" t="s">
        <v>9337</v>
      </c>
      <c r="C568" s="115" t="s">
        <v>9338</v>
      </c>
      <c r="D568" s="109" t="s">
        <v>9719</v>
      </c>
      <c r="E568" s="323" t="s">
        <v>13434</v>
      </c>
      <c r="F568" s="236" t="s">
        <v>9467</v>
      </c>
      <c r="G568" s="115" t="s">
        <v>9324</v>
      </c>
      <c r="H568" s="115" t="s">
        <v>9323</v>
      </c>
      <c r="I568" s="7" t="s">
        <v>9351</v>
      </c>
      <c r="J568" s="110" t="s">
        <v>9352</v>
      </c>
      <c r="K568" s="7" t="s">
        <v>9353</v>
      </c>
      <c r="L568" s="109" t="s">
        <v>9467</v>
      </c>
    </row>
    <row r="569" spans="1:12" ht="14.85" customHeight="1" x14ac:dyDescent="0.25">
      <c r="A569" s="108" t="s">
        <v>9308</v>
      </c>
      <c r="B569" s="115" t="s">
        <v>9337</v>
      </c>
      <c r="C569" s="115" t="s">
        <v>9338</v>
      </c>
      <c r="D569" s="109" t="s">
        <v>9720</v>
      </c>
      <c r="E569" s="110" t="s">
        <v>9721</v>
      </c>
      <c r="F569" s="236" t="s">
        <v>9467</v>
      </c>
      <c r="G569" s="115" t="s">
        <v>9324</v>
      </c>
      <c r="H569" s="115" t="s">
        <v>9323</v>
      </c>
      <c r="I569" s="7" t="s">
        <v>9522</v>
      </c>
      <c r="J569" s="110" t="s">
        <v>9523</v>
      </c>
      <c r="K569" s="7" t="s">
        <v>9440</v>
      </c>
      <c r="L569" s="109" t="s">
        <v>9440</v>
      </c>
    </row>
    <row r="570" spans="1:12" ht="14.85" customHeight="1" x14ac:dyDescent="0.25">
      <c r="A570" s="108" t="s">
        <v>9308</v>
      </c>
      <c r="B570" s="115" t="s">
        <v>9337</v>
      </c>
      <c r="C570" s="115" t="s">
        <v>9338</v>
      </c>
      <c r="D570" s="109" t="s">
        <v>9720</v>
      </c>
      <c r="E570" s="110" t="s">
        <v>9721</v>
      </c>
      <c r="F570" s="236" t="s">
        <v>9467</v>
      </c>
      <c r="G570" s="115" t="s">
        <v>9324</v>
      </c>
      <c r="H570" s="115" t="s">
        <v>9323</v>
      </c>
      <c r="I570" s="7" t="s">
        <v>9351</v>
      </c>
      <c r="J570" s="110" t="s">
        <v>9352</v>
      </c>
      <c r="K570" s="7" t="s">
        <v>9353</v>
      </c>
      <c r="L570" s="109" t="s">
        <v>9467</v>
      </c>
    </row>
    <row r="571" spans="1:12" ht="14.85" customHeight="1" x14ac:dyDescent="0.25">
      <c r="A571" s="108" t="s">
        <v>9308</v>
      </c>
      <c r="B571" s="115" t="s">
        <v>9337</v>
      </c>
      <c r="C571" s="115" t="s">
        <v>9338</v>
      </c>
      <c r="D571" s="109" t="s">
        <v>9720</v>
      </c>
      <c r="E571" s="110" t="s">
        <v>9721</v>
      </c>
      <c r="F571" s="236" t="s">
        <v>9467</v>
      </c>
      <c r="G571" s="115" t="s">
        <v>9324</v>
      </c>
      <c r="H571" s="115" t="s">
        <v>9323</v>
      </c>
      <c r="I571" s="7" t="s">
        <v>9722</v>
      </c>
      <c r="J571" s="110" t="s">
        <v>9723</v>
      </c>
      <c r="K571" s="7" t="s">
        <v>9443</v>
      </c>
      <c r="L571" s="109" t="s">
        <v>9443</v>
      </c>
    </row>
    <row r="572" spans="1:12" ht="14.85" customHeight="1" x14ac:dyDescent="0.25">
      <c r="A572" s="108" t="s">
        <v>9308</v>
      </c>
      <c r="B572" s="115" t="s">
        <v>9337</v>
      </c>
      <c r="C572" s="115" t="s">
        <v>9338</v>
      </c>
      <c r="D572" s="109" t="s">
        <v>9724</v>
      </c>
      <c r="E572" s="110" t="s">
        <v>9725</v>
      </c>
      <c r="F572" s="236" t="s">
        <v>9353</v>
      </c>
      <c r="G572" s="115" t="s">
        <v>9324</v>
      </c>
      <c r="H572" s="115" t="s">
        <v>9323</v>
      </c>
      <c r="I572" s="7"/>
      <c r="J572" s="110" t="s">
        <v>9612</v>
      </c>
      <c r="K572" s="7"/>
      <c r="L572" s="109" t="s">
        <v>9353</v>
      </c>
    </row>
    <row r="573" spans="1:12" ht="14.85" customHeight="1" x14ac:dyDescent="0.25">
      <c r="A573" s="108" t="s">
        <v>9308</v>
      </c>
      <c r="B573" s="115" t="s">
        <v>9337</v>
      </c>
      <c r="C573" s="115" t="s">
        <v>9338</v>
      </c>
      <c r="D573" s="109" t="s">
        <v>9724</v>
      </c>
      <c r="E573" s="110" t="s">
        <v>9725</v>
      </c>
      <c r="F573" s="236" t="s">
        <v>9353</v>
      </c>
      <c r="G573" s="115" t="s">
        <v>9324</v>
      </c>
      <c r="H573" s="115" t="s">
        <v>9323</v>
      </c>
      <c r="I573" s="7" t="s">
        <v>9351</v>
      </c>
      <c r="J573" s="110" t="s">
        <v>9352</v>
      </c>
      <c r="K573" s="7" t="s">
        <v>9353</v>
      </c>
      <c r="L573" s="109" t="s">
        <v>9353</v>
      </c>
    </row>
    <row r="574" spans="1:12" ht="14.85" customHeight="1" x14ac:dyDescent="0.25">
      <c r="A574" s="108" t="s">
        <v>9308</v>
      </c>
      <c r="B574" s="115" t="s">
        <v>9337</v>
      </c>
      <c r="C574" s="115" t="s">
        <v>9338</v>
      </c>
      <c r="D574" s="109" t="s">
        <v>9726</v>
      </c>
      <c r="E574" s="110" t="s">
        <v>9727</v>
      </c>
      <c r="F574" s="236" t="s">
        <v>9353</v>
      </c>
      <c r="G574" s="115" t="s">
        <v>9324</v>
      </c>
      <c r="H574" s="115" t="s">
        <v>9323</v>
      </c>
      <c r="I574" s="7"/>
      <c r="J574" s="110" t="s">
        <v>9612</v>
      </c>
      <c r="K574" s="7"/>
      <c r="L574" s="109" t="s">
        <v>9353</v>
      </c>
    </row>
    <row r="575" spans="1:12" ht="14.85" customHeight="1" x14ac:dyDescent="0.25">
      <c r="A575" s="108" t="s">
        <v>9308</v>
      </c>
      <c r="B575" s="115" t="s">
        <v>9337</v>
      </c>
      <c r="C575" s="115" t="s">
        <v>9338</v>
      </c>
      <c r="D575" s="109" t="s">
        <v>9726</v>
      </c>
      <c r="E575" s="110" t="s">
        <v>9727</v>
      </c>
      <c r="F575" s="236" t="s">
        <v>9353</v>
      </c>
      <c r="G575" s="115" t="s">
        <v>9324</v>
      </c>
      <c r="H575" s="115" t="s">
        <v>9323</v>
      </c>
      <c r="I575" s="7" t="s">
        <v>9351</v>
      </c>
      <c r="J575" s="110" t="s">
        <v>9352</v>
      </c>
      <c r="K575" s="7" t="s">
        <v>9353</v>
      </c>
      <c r="L575" s="109" t="s">
        <v>9353</v>
      </c>
    </row>
    <row r="576" spans="1:12" ht="14.85" customHeight="1" x14ac:dyDescent="0.25">
      <c r="A576" s="108" t="s">
        <v>9308</v>
      </c>
      <c r="B576" s="115" t="s">
        <v>9337</v>
      </c>
      <c r="C576" s="115" t="s">
        <v>9338</v>
      </c>
      <c r="D576" s="109" t="s">
        <v>9728</v>
      </c>
      <c r="E576" s="110" t="s">
        <v>9729</v>
      </c>
      <c r="F576" s="236" t="s">
        <v>9496</v>
      </c>
      <c r="G576" s="115" t="s">
        <v>9324</v>
      </c>
      <c r="H576" s="115" t="s">
        <v>9323</v>
      </c>
      <c r="I576" s="7"/>
      <c r="J576" s="110" t="s">
        <v>9612</v>
      </c>
      <c r="K576" s="7"/>
      <c r="L576" s="109" t="s">
        <v>9496</v>
      </c>
    </row>
    <row r="577" spans="1:12" ht="14.85" customHeight="1" x14ac:dyDescent="0.25">
      <c r="A577" s="108" t="s">
        <v>9308</v>
      </c>
      <c r="B577" s="115" t="s">
        <v>9337</v>
      </c>
      <c r="C577" s="115" t="s">
        <v>9338</v>
      </c>
      <c r="D577" s="109" t="s">
        <v>9728</v>
      </c>
      <c r="E577" s="110" t="s">
        <v>9729</v>
      </c>
      <c r="F577" s="236" t="s">
        <v>9496</v>
      </c>
      <c r="G577" s="115" t="s">
        <v>9324</v>
      </c>
      <c r="H577" s="115" t="s">
        <v>9323</v>
      </c>
      <c r="I577" s="7"/>
      <c r="J577" s="110" t="s">
        <v>9730</v>
      </c>
      <c r="K577" s="7"/>
      <c r="L577" s="109" t="s">
        <v>9496</v>
      </c>
    </row>
    <row r="578" spans="1:12" ht="14.85" customHeight="1" x14ac:dyDescent="0.25">
      <c r="A578" s="108" t="s">
        <v>9308</v>
      </c>
      <c r="B578" s="115" t="s">
        <v>9337</v>
      </c>
      <c r="C578" s="115" t="s">
        <v>9338</v>
      </c>
      <c r="D578" s="109" t="s">
        <v>9728</v>
      </c>
      <c r="E578" s="110" t="s">
        <v>9729</v>
      </c>
      <c r="F578" s="236" t="s">
        <v>9496</v>
      </c>
      <c r="G578" s="115" t="s">
        <v>9324</v>
      </c>
      <c r="H578" s="115" t="s">
        <v>9323</v>
      </c>
      <c r="I578" s="7"/>
      <c r="J578" s="110" t="s">
        <v>9731</v>
      </c>
      <c r="K578" s="7"/>
      <c r="L578" s="109" t="s">
        <v>9496</v>
      </c>
    </row>
    <row r="579" spans="1:12" ht="14.85" customHeight="1" x14ac:dyDescent="0.25">
      <c r="A579" s="108" t="s">
        <v>9308</v>
      </c>
      <c r="B579" s="115" t="s">
        <v>9337</v>
      </c>
      <c r="C579" s="115" t="s">
        <v>9338</v>
      </c>
      <c r="D579" s="109" t="s">
        <v>9728</v>
      </c>
      <c r="E579" s="110" t="s">
        <v>9729</v>
      </c>
      <c r="F579" s="236" t="s">
        <v>9496</v>
      </c>
      <c r="G579" s="115" t="s">
        <v>9324</v>
      </c>
      <c r="H579" s="115" t="s">
        <v>9323</v>
      </c>
      <c r="I579" s="7" t="s">
        <v>9351</v>
      </c>
      <c r="J579" s="110" t="s">
        <v>9352</v>
      </c>
      <c r="K579" s="7" t="s">
        <v>9353</v>
      </c>
      <c r="L579" s="109" t="s">
        <v>9353</v>
      </c>
    </row>
    <row r="580" spans="1:12" ht="14.85" customHeight="1" x14ac:dyDescent="0.25">
      <c r="A580" s="108" t="s">
        <v>9308</v>
      </c>
      <c r="B580" s="115" t="s">
        <v>9337</v>
      </c>
      <c r="C580" s="115" t="s">
        <v>9338</v>
      </c>
      <c r="D580" s="109" t="s">
        <v>9732</v>
      </c>
      <c r="E580" s="110" t="s">
        <v>9733</v>
      </c>
      <c r="F580" s="236" t="s">
        <v>9353</v>
      </c>
      <c r="G580" s="115" t="s">
        <v>9324</v>
      </c>
      <c r="H580" s="115" t="s">
        <v>9323</v>
      </c>
      <c r="I580" s="7"/>
      <c r="J580" s="110" t="s">
        <v>9612</v>
      </c>
      <c r="K580" s="7"/>
      <c r="L580" s="109" t="s">
        <v>9353</v>
      </c>
    </row>
    <row r="581" spans="1:12" ht="14.85" customHeight="1" x14ac:dyDescent="0.25">
      <c r="A581" s="108" t="s">
        <v>9308</v>
      </c>
      <c r="B581" s="115" t="s">
        <v>9337</v>
      </c>
      <c r="C581" s="115" t="s">
        <v>9338</v>
      </c>
      <c r="D581" s="109" t="s">
        <v>9732</v>
      </c>
      <c r="E581" s="110" t="s">
        <v>9733</v>
      </c>
      <c r="F581" s="236" t="s">
        <v>9353</v>
      </c>
      <c r="G581" s="115" t="s">
        <v>9324</v>
      </c>
      <c r="H581" s="115" t="s">
        <v>9323</v>
      </c>
      <c r="I581" s="7"/>
      <c r="J581" s="110" t="s">
        <v>9730</v>
      </c>
      <c r="K581" s="7"/>
      <c r="L581" s="109" t="s">
        <v>9353</v>
      </c>
    </row>
    <row r="582" spans="1:12" ht="14.85" customHeight="1" x14ac:dyDescent="0.25">
      <c r="A582" s="108" t="s">
        <v>9308</v>
      </c>
      <c r="B582" s="115" t="s">
        <v>9337</v>
      </c>
      <c r="C582" s="115" t="s">
        <v>9338</v>
      </c>
      <c r="D582" s="109" t="s">
        <v>9732</v>
      </c>
      <c r="E582" s="110" t="s">
        <v>9733</v>
      </c>
      <c r="F582" s="236" t="s">
        <v>9353</v>
      </c>
      <c r="G582" s="115" t="s">
        <v>9324</v>
      </c>
      <c r="H582" s="115" t="s">
        <v>9323</v>
      </c>
      <c r="I582" s="7"/>
      <c r="J582" s="110" t="s">
        <v>9731</v>
      </c>
      <c r="K582" s="7"/>
      <c r="L582" s="109" t="s">
        <v>9353</v>
      </c>
    </row>
    <row r="583" spans="1:12" ht="14.85" customHeight="1" x14ac:dyDescent="0.25">
      <c r="A583" s="108" t="s">
        <v>9308</v>
      </c>
      <c r="B583" s="115" t="s">
        <v>9337</v>
      </c>
      <c r="C583" s="115" t="s">
        <v>9338</v>
      </c>
      <c r="D583" s="109" t="s">
        <v>9732</v>
      </c>
      <c r="E583" s="110" t="s">
        <v>9733</v>
      </c>
      <c r="F583" s="236" t="s">
        <v>9353</v>
      </c>
      <c r="G583" s="115" t="s">
        <v>9324</v>
      </c>
      <c r="H583" s="115" t="s">
        <v>9323</v>
      </c>
      <c r="I583" s="7" t="s">
        <v>9351</v>
      </c>
      <c r="J583" s="110" t="s">
        <v>9352</v>
      </c>
      <c r="K583" s="7" t="s">
        <v>9353</v>
      </c>
      <c r="L583" s="109" t="s">
        <v>9353</v>
      </c>
    </row>
    <row r="584" spans="1:12" ht="14.85" customHeight="1" x14ac:dyDescent="0.25">
      <c r="A584" s="108" t="s">
        <v>9308</v>
      </c>
      <c r="B584" s="115" t="s">
        <v>9337</v>
      </c>
      <c r="C584" s="115" t="s">
        <v>9338</v>
      </c>
      <c r="D584" s="109" t="s">
        <v>9734</v>
      </c>
      <c r="E584" s="110" t="s">
        <v>9735</v>
      </c>
      <c r="F584" s="236" t="s">
        <v>9353</v>
      </c>
      <c r="G584" s="115" t="s">
        <v>9324</v>
      </c>
      <c r="H584" s="115" t="s">
        <v>9323</v>
      </c>
      <c r="I584" s="7"/>
      <c r="J584" s="110" t="s">
        <v>9612</v>
      </c>
      <c r="K584" s="7"/>
      <c r="L584" s="109" t="s">
        <v>9353</v>
      </c>
    </row>
    <row r="585" spans="1:12" ht="14.85" customHeight="1" x14ac:dyDescent="0.25">
      <c r="A585" s="108" t="s">
        <v>9308</v>
      </c>
      <c r="B585" s="115" t="s">
        <v>9337</v>
      </c>
      <c r="C585" s="115" t="s">
        <v>9338</v>
      </c>
      <c r="D585" s="109" t="s">
        <v>9736</v>
      </c>
      <c r="E585" s="110" t="s">
        <v>9737</v>
      </c>
      <c r="F585" s="236" t="s">
        <v>6668</v>
      </c>
      <c r="G585" s="115" t="s">
        <v>9324</v>
      </c>
      <c r="H585" s="115" t="s">
        <v>9323</v>
      </c>
      <c r="I585" s="7" t="s">
        <v>9342</v>
      </c>
      <c r="J585" s="110" t="s">
        <v>9343</v>
      </c>
      <c r="K585" s="7" t="s">
        <v>9341</v>
      </c>
      <c r="L585" s="109" t="s">
        <v>6668</v>
      </c>
    </row>
    <row r="586" spans="1:12" ht="14.85" customHeight="1" x14ac:dyDescent="0.25">
      <c r="A586" s="108" t="s">
        <v>9308</v>
      </c>
      <c r="B586" s="115" t="s">
        <v>9337</v>
      </c>
      <c r="C586" s="115" t="s">
        <v>9338</v>
      </c>
      <c r="D586" s="109" t="s">
        <v>9736</v>
      </c>
      <c r="E586" s="110" t="s">
        <v>9737</v>
      </c>
      <c r="F586" s="236" t="s">
        <v>6668</v>
      </c>
      <c r="G586" s="115" t="s">
        <v>9324</v>
      </c>
      <c r="H586" s="115" t="s">
        <v>9323</v>
      </c>
      <c r="I586" s="7" t="s">
        <v>9430</v>
      </c>
      <c r="J586" s="110" t="s">
        <v>9431</v>
      </c>
      <c r="K586" s="7" t="s">
        <v>9349</v>
      </c>
      <c r="L586" s="109" t="s">
        <v>6668</v>
      </c>
    </row>
    <row r="587" spans="1:12" ht="14.85" customHeight="1" x14ac:dyDescent="0.25">
      <c r="A587" s="108" t="s">
        <v>9308</v>
      </c>
      <c r="B587" s="115" t="s">
        <v>9337</v>
      </c>
      <c r="C587" s="115" t="s">
        <v>9338</v>
      </c>
      <c r="D587" s="109" t="s">
        <v>9736</v>
      </c>
      <c r="E587" s="110" t="s">
        <v>9737</v>
      </c>
      <c r="F587" s="236" t="s">
        <v>6668</v>
      </c>
      <c r="G587" s="115" t="s">
        <v>9324</v>
      </c>
      <c r="H587" s="115" t="s">
        <v>9323</v>
      </c>
      <c r="I587" s="7" t="s">
        <v>9347</v>
      </c>
      <c r="J587" s="110" t="s">
        <v>9348</v>
      </c>
      <c r="K587" s="7" t="s">
        <v>9349</v>
      </c>
      <c r="L587" s="109" t="s">
        <v>6668</v>
      </c>
    </row>
    <row r="588" spans="1:12" ht="14.85" customHeight="1" x14ac:dyDescent="0.25">
      <c r="A588" s="108" t="s">
        <v>9308</v>
      </c>
      <c r="B588" s="115" t="s">
        <v>9337</v>
      </c>
      <c r="C588" s="115" t="s">
        <v>9338</v>
      </c>
      <c r="D588" s="109" t="s">
        <v>9738</v>
      </c>
      <c r="E588" s="110" t="s">
        <v>9739</v>
      </c>
      <c r="F588" s="236" t="s">
        <v>6668</v>
      </c>
      <c r="G588" s="115" t="s">
        <v>9324</v>
      </c>
      <c r="H588" s="115" t="s">
        <v>9323</v>
      </c>
      <c r="I588" s="7" t="s">
        <v>9342</v>
      </c>
      <c r="J588" s="110" t="s">
        <v>9343</v>
      </c>
      <c r="K588" s="7" t="s">
        <v>9341</v>
      </c>
      <c r="L588" s="109" t="s">
        <v>6668</v>
      </c>
    </row>
    <row r="589" spans="1:12" ht="14.85" customHeight="1" x14ac:dyDescent="0.25">
      <c r="A589" s="108" t="s">
        <v>9308</v>
      </c>
      <c r="B589" s="115" t="s">
        <v>9337</v>
      </c>
      <c r="C589" s="115" t="s">
        <v>9338</v>
      </c>
      <c r="D589" s="109" t="s">
        <v>9738</v>
      </c>
      <c r="E589" s="110" t="s">
        <v>9739</v>
      </c>
      <c r="F589" s="236" t="s">
        <v>6668</v>
      </c>
      <c r="G589" s="115" t="s">
        <v>9324</v>
      </c>
      <c r="H589" s="115" t="s">
        <v>9323</v>
      </c>
      <c r="I589" s="7" t="s">
        <v>9430</v>
      </c>
      <c r="J589" s="110" t="s">
        <v>9431</v>
      </c>
      <c r="K589" s="7" t="s">
        <v>9349</v>
      </c>
      <c r="L589" s="109" t="s">
        <v>6668</v>
      </c>
    </row>
    <row r="590" spans="1:12" ht="14.85" customHeight="1" x14ac:dyDescent="0.25">
      <c r="A590" s="108" t="s">
        <v>9308</v>
      </c>
      <c r="B590" s="115" t="s">
        <v>9337</v>
      </c>
      <c r="C590" s="115" t="s">
        <v>9338</v>
      </c>
      <c r="D590" s="109" t="s">
        <v>9738</v>
      </c>
      <c r="E590" s="110" t="s">
        <v>9739</v>
      </c>
      <c r="F590" s="236" t="s">
        <v>6668</v>
      </c>
      <c r="G590" s="115" t="s">
        <v>9324</v>
      </c>
      <c r="H590" s="115" t="s">
        <v>9323</v>
      </c>
      <c r="I590" s="7" t="s">
        <v>9456</v>
      </c>
      <c r="J590" s="110" t="s">
        <v>9457</v>
      </c>
      <c r="K590" s="7" t="s">
        <v>9353</v>
      </c>
      <c r="L590" s="109" t="s">
        <v>6668</v>
      </c>
    </row>
    <row r="591" spans="1:12" ht="14.85" customHeight="1" x14ac:dyDescent="0.25">
      <c r="A591" s="108" t="s">
        <v>9308</v>
      </c>
      <c r="B591" s="115" t="s">
        <v>9337</v>
      </c>
      <c r="C591" s="115" t="s">
        <v>9338</v>
      </c>
      <c r="D591" s="109" t="s">
        <v>9738</v>
      </c>
      <c r="E591" s="110" t="s">
        <v>9739</v>
      </c>
      <c r="F591" s="236" t="s">
        <v>6668</v>
      </c>
      <c r="G591" s="115" t="s">
        <v>9324</v>
      </c>
      <c r="H591" s="115" t="s">
        <v>9323</v>
      </c>
      <c r="I591" s="7" t="s">
        <v>9347</v>
      </c>
      <c r="J591" s="110" t="s">
        <v>9348</v>
      </c>
      <c r="K591" s="7" t="s">
        <v>9349</v>
      </c>
      <c r="L591" s="109" t="s">
        <v>6668</v>
      </c>
    </row>
    <row r="592" spans="1:12" ht="14.85" customHeight="1" x14ac:dyDescent="0.25">
      <c r="A592" s="108" t="s">
        <v>9308</v>
      </c>
      <c r="B592" s="115" t="s">
        <v>9337</v>
      </c>
      <c r="C592" s="115" t="s">
        <v>9338</v>
      </c>
      <c r="D592" s="109" t="s">
        <v>9738</v>
      </c>
      <c r="E592" s="110" t="s">
        <v>9739</v>
      </c>
      <c r="F592" s="236" t="s">
        <v>6668</v>
      </c>
      <c r="G592" s="115" t="s">
        <v>9324</v>
      </c>
      <c r="H592" s="115" t="s">
        <v>9323</v>
      </c>
      <c r="I592" s="7" t="s">
        <v>9458</v>
      </c>
      <c r="J592" s="110" t="s">
        <v>9459</v>
      </c>
      <c r="K592" s="7" t="s">
        <v>9350</v>
      </c>
      <c r="L592" s="109" t="s">
        <v>6668</v>
      </c>
    </row>
    <row r="593" spans="1:12" ht="14.85" customHeight="1" x14ac:dyDescent="0.25">
      <c r="A593" s="108" t="s">
        <v>9308</v>
      </c>
      <c r="B593" s="115" t="s">
        <v>9337</v>
      </c>
      <c r="C593" s="115" t="s">
        <v>9338</v>
      </c>
      <c r="D593" s="109" t="s">
        <v>9740</v>
      </c>
      <c r="E593" s="110" t="s">
        <v>1489</v>
      </c>
      <c r="F593" s="236" t="s">
        <v>1488</v>
      </c>
      <c r="G593" s="115" t="s">
        <v>9324</v>
      </c>
      <c r="H593" s="115" t="s">
        <v>9323</v>
      </c>
      <c r="I593" s="7" t="s">
        <v>9342</v>
      </c>
      <c r="J593" s="110" t="s">
        <v>9343</v>
      </c>
      <c r="K593" s="7" t="s">
        <v>9341</v>
      </c>
      <c r="L593" s="109" t="s">
        <v>1488</v>
      </c>
    </row>
    <row r="594" spans="1:12" ht="14.85" customHeight="1" x14ac:dyDescent="0.25">
      <c r="A594" s="108" t="s">
        <v>9308</v>
      </c>
      <c r="B594" s="115" t="s">
        <v>9337</v>
      </c>
      <c r="C594" s="115" t="s">
        <v>9338</v>
      </c>
      <c r="D594" s="109" t="s">
        <v>9740</v>
      </c>
      <c r="E594" s="110" t="s">
        <v>1489</v>
      </c>
      <c r="F594" s="236" t="s">
        <v>1488</v>
      </c>
      <c r="G594" s="115" t="s">
        <v>9324</v>
      </c>
      <c r="H594" s="115" t="s">
        <v>9323</v>
      </c>
      <c r="I594" s="7" t="s">
        <v>9347</v>
      </c>
      <c r="J594" s="110" t="s">
        <v>9348</v>
      </c>
      <c r="K594" s="7" t="s">
        <v>9349</v>
      </c>
      <c r="L594" s="109" t="s">
        <v>1488</v>
      </c>
    </row>
    <row r="595" spans="1:12" ht="14.85" customHeight="1" x14ac:dyDescent="0.25">
      <c r="A595" s="108" t="s">
        <v>9308</v>
      </c>
      <c r="B595" s="115" t="s">
        <v>9337</v>
      </c>
      <c r="C595" s="115" t="s">
        <v>9338</v>
      </c>
      <c r="D595" s="109" t="s">
        <v>9740</v>
      </c>
      <c r="E595" s="110" t="s">
        <v>1489</v>
      </c>
      <c r="F595" s="236" t="s">
        <v>1488</v>
      </c>
      <c r="G595" s="115" t="s">
        <v>9324</v>
      </c>
      <c r="H595" s="115" t="s">
        <v>9323</v>
      </c>
      <c r="I595" s="7" t="s">
        <v>9351</v>
      </c>
      <c r="J595" s="110" t="s">
        <v>9352</v>
      </c>
      <c r="K595" s="7" t="s">
        <v>9353</v>
      </c>
      <c r="L595" s="109" t="s">
        <v>9353</v>
      </c>
    </row>
    <row r="596" spans="1:12" ht="14.85" customHeight="1" x14ac:dyDescent="0.25">
      <c r="A596" s="108" t="s">
        <v>9308</v>
      </c>
      <c r="B596" s="115" t="s">
        <v>9337</v>
      </c>
      <c r="C596" s="115" t="s">
        <v>9338</v>
      </c>
      <c r="D596" s="109" t="s">
        <v>9741</v>
      </c>
      <c r="E596" s="110" t="s">
        <v>6639</v>
      </c>
      <c r="F596" s="236" t="s">
        <v>81</v>
      </c>
      <c r="G596" s="115" t="s">
        <v>9324</v>
      </c>
      <c r="H596" s="115" t="s">
        <v>9323</v>
      </c>
      <c r="I596" s="7" t="s">
        <v>9342</v>
      </c>
      <c r="J596" s="110" t="s">
        <v>9343</v>
      </c>
      <c r="K596" s="7" t="s">
        <v>9341</v>
      </c>
      <c r="L596" s="109" t="s">
        <v>81</v>
      </c>
    </row>
    <row r="597" spans="1:12" ht="14.85" customHeight="1" x14ac:dyDescent="0.25">
      <c r="A597" s="108" t="s">
        <v>9308</v>
      </c>
      <c r="B597" s="115" t="s">
        <v>9337</v>
      </c>
      <c r="C597" s="115" t="s">
        <v>9338</v>
      </c>
      <c r="D597" s="109" t="s">
        <v>9741</v>
      </c>
      <c r="E597" s="110" t="s">
        <v>6639</v>
      </c>
      <c r="F597" s="236" t="s">
        <v>81</v>
      </c>
      <c r="G597" s="115" t="s">
        <v>9324</v>
      </c>
      <c r="H597" s="115" t="s">
        <v>9323</v>
      </c>
      <c r="I597" s="7" t="s">
        <v>9347</v>
      </c>
      <c r="J597" s="110" t="s">
        <v>9348</v>
      </c>
      <c r="K597" s="7" t="s">
        <v>9349</v>
      </c>
      <c r="L597" s="109" t="s">
        <v>81</v>
      </c>
    </row>
    <row r="598" spans="1:12" ht="14.85" customHeight="1" x14ac:dyDescent="0.25">
      <c r="A598" s="108" t="s">
        <v>9308</v>
      </c>
      <c r="B598" s="115" t="s">
        <v>9337</v>
      </c>
      <c r="C598" s="115" t="s">
        <v>9338</v>
      </c>
      <c r="D598" s="109" t="s">
        <v>9741</v>
      </c>
      <c r="E598" s="110" t="s">
        <v>6639</v>
      </c>
      <c r="F598" s="236" t="s">
        <v>81</v>
      </c>
      <c r="G598" s="115" t="s">
        <v>9324</v>
      </c>
      <c r="H598" s="115" t="s">
        <v>9323</v>
      </c>
      <c r="I598" s="7" t="s">
        <v>9351</v>
      </c>
      <c r="J598" s="110" t="s">
        <v>9352</v>
      </c>
      <c r="K598" s="7" t="s">
        <v>9353</v>
      </c>
      <c r="L598" s="109" t="s">
        <v>81</v>
      </c>
    </row>
    <row r="599" spans="1:12" ht="14.85" customHeight="1" x14ac:dyDescent="0.25">
      <c r="A599" s="108" t="s">
        <v>9308</v>
      </c>
      <c r="B599" s="115" t="s">
        <v>9337</v>
      </c>
      <c r="C599" s="115" t="s">
        <v>9338</v>
      </c>
      <c r="D599" s="109" t="s">
        <v>9742</v>
      </c>
      <c r="E599" s="110" t="s">
        <v>6641</v>
      </c>
      <c r="F599" s="236" t="s">
        <v>90</v>
      </c>
      <c r="G599" s="115" t="s">
        <v>9324</v>
      </c>
      <c r="H599" s="115" t="s">
        <v>9323</v>
      </c>
      <c r="I599" s="7" t="s">
        <v>9342</v>
      </c>
      <c r="J599" s="110" t="s">
        <v>9343</v>
      </c>
      <c r="K599" s="7" t="s">
        <v>9341</v>
      </c>
      <c r="L599" s="109" t="s">
        <v>90</v>
      </c>
    </row>
    <row r="600" spans="1:12" ht="14.85" customHeight="1" x14ac:dyDescent="0.25">
      <c r="A600" s="108" t="s">
        <v>9308</v>
      </c>
      <c r="B600" s="115" t="s">
        <v>9337</v>
      </c>
      <c r="C600" s="115" t="s">
        <v>9338</v>
      </c>
      <c r="D600" s="109" t="s">
        <v>9742</v>
      </c>
      <c r="E600" s="110" t="s">
        <v>6641</v>
      </c>
      <c r="F600" s="236" t="s">
        <v>90</v>
      </c>
      <c r="G600" s="115" t="s">
        <v>9324</v>
      </c>
      <c r="H600" s="115" t="s">
        <v>9323</v>
      </c>
      <c r="I600" s="7" t="s">
        <v>9347</v>
      </c>
      <c r="J600" s="110" t="s">
        <v>9348</v>
      </c>
      <c r="K600" s="7" t="s">
        <v>9349</v>
      </c>
      <c r="L600" s="109" t="s">
        <v>90</v>
      </c>
    </row>
    <row r="601" spans="1:12" ht="14.85" customHeight="1" x14ac:dyDescent="0.25">
      <c r="A601" s="108" t="s">
        <v>9308</v>
      </c>
      <c r="B601" s="115" t="s">
        <v>9337</v>
      </c>
      <c r="C601" s="115" t="s">
        <v>9338</v>
      </c>
      <c r="D601" s="109" t="s">
        <v>9742</v>
      </c>
      <c r="E601" s="110" t="s">
        <v>6641</v>
      </c>
      <c r="F601" s="236" t="s">
        <v>90</v>
      </c>
      <c r="G601" s="115" t="s">
        <v>9324</v>
      </c>
      <c r="H601" s="115" t="s">
        <v>9323</v>
      </c>
      <c r="I601" s="7" t="s">
        <v>9351</v>
      </c>
      <c r="J601" s="110" t="s">
        <v>9352</v>
      </c>
      <c r="K601" s="7" t="s">
        <v>9353</v>
      </c>
      <c r="L601" s="109" t="s">
        <v>90</v>
      </c>
    </row>
    <row r="602" spans="1:12" ht="14.85" customHeight="1" x14ac:dyDescent="0.25">
      <c r="A602" s="108" t="s">
        <v>9308</v>
      </c>
      <c r="B602" s="115" t="s">
        <v>9337</v>
      </c>
      <c r="C602" s="115" t="s">
        <v>9338</v>
      </c>
      <c r="D602" s="109" t="s">
        <v>9743</v>
      </c>
      <c r="E602" s="110" t="s">
        <v>6643</v>
      </c>
      <c r="F602" s="236" t="s">
        <v>95</v>
      </c>
      <c r="G602" s="115" t="s">
        <v>9324</v>
      </c>
      <c r="H602" s="115" t="s">
        <v>9323</v>
      </c>
      <c r="I602" s="7" t="s">
        <v>9342</v>
      </c>
      <c r="J602" s="110" t="s">
        <v>9343</v>
      </c>
      <c r="K602" s="7" t="s">
        <v>9341</v>
      </c>
      <c r="L602" s="109" t="s">
        <v>95</v>
      </c>
    </row>
    <row r="603" spans="1:12" ht="14.85" customHeight="1" x14ac:dyDescent="0.25">
      <c r="A603" s="108" t="s">
        <v>9308</v>
      </c>
      <c r="B603" s="115" t="s">
        <v>9337</v>
      </c>
      <c r="C603" s="115" t="s">
        <v>9338</v>
      </c>
      <c r="D603" s="109" t="s">
        <v>9743</v>
      </c>
      <c r="E603" s="110" t="s">
        <v>6643</v>
      </c>
      <c r="F603" s="236" t="s">
        <v>95</v>
      </c>
      <c r="G603" s="115" t="s">
        <v>9324</v>
      </c>
      <c r="H603" s="115" t="s">
        <v>9323</v>
      </c>
      <c r="I603" s="7" t="s">
        <v>9347</v>
      </c>
      <c r="J603" s="110" t="s">
        <v>9348</v>
      </c>
      <c r="K603" s="7" t="s">
        <v>9349</v>
      </c>
      <c r="L603" s="109" t="s">
        <v>95</v>
      </c>
    </row>
    <row r="604" spans="1:12" ht="14.85" customHeight="1" x14ac:dyDescent="0.25">
      <c r="A604" s="108" t="s">
        <v>9308</v>
      </c>
      <c r="B604" s="115" t="s">
        <v>9337</v>
      </c>
      <c r="C604" s="115" t="s">
        <v>9338</v>
      </c>
      <c r="D604" s="109" t="s">
        <v>9743</v>
      </c>
      <c r="E604" s="110" t="s">
        <v>6643</v>
      </c>
      <c r="F604" s="236" t="s">
        <v>95</v>
      </c>
      <c r="G604" s="115" t="s">
        <v>9324</v>
      </c>
      <c r="H604" s="115" t="s">
        <v>9323</v>
      </c>
      <c r="I604" s="7" t="s">
        <v>9351</v>
      </c>
      <c r="J604" s="110" t="s">
        <v>9352</v>
      </c>
      <c r="K604" s="7" t="s">
        <v>9353</v>
      </c>
      <c r="L604" s="109" t="s">
        <v>95</v>
      </c>
    </row>
    <row r="605" spans="1:12" ht="14.85" customHeight="1" x14ac:dyDescent="0.25">
      <c r="A605" s="108" t="s">
        <v>9308</v>
      </c>
      <c r="B605" s="115" t="s">
        <v>9337</v>
      </c>
      <c r="C605" s="115" t="s">
        <v>9338</v>
      </c>
      <c r="D605" s="109" t="s">
        <v>9744</v>
      </c>
      <c r="E605" s="110" t="s">
        <v>6645</v>
      </c>
      <c r="F605" s="236" t="s">
        <v>101</v>
      </c>
      <c r="G605" s="115" t="s">
        <v>9324</v>
      </c>
      <c r="H605" s="115" t="s">
        <v>9323</v>
      </c>
      <c r="I605" s="7" t="s">
        <v>9342</v>
      </c>
      <c r="J605" s="110" t="s">
        <v>9343</v>
      </c>
      <c r="K605" s="7" t="s">
        <v>9341</v>
      </c>
      <c r="L605" s="109" t="s">
        <v>101</v>
      </c>
    </row>
    <row r="606" spans="1:12" ht="14.85" customHeight="1" x14ac:dyDescent="0.25">
      <c r="A606" s="108" t="s">
        <v>9308</v>
      </c>
      <c r="B606" s="115" t="s">
        <v>9337</v>
      </c>
      <c r="C606" s="115" t="s">
        <v>9338</v>
      </c>
      <c r="D606" s="109" t="s">
        <v>9744</v>
      </c>
      <c r="E606" s="110" t="s">
        <v>6645</v>
      </c>
      <c r="F606" s="236" t="s">
        <v>101</v>
      </c>
      <c r="G606" s="115" t="s">
        <v>9324</v>
      </c>
      <c r="H606" s="115" t="s">
        <v>9323</v>
      </c>
      <c r="I606" s="7" t="s">
        <v>9344</v>
      </c>
      <c r="J606" s="110" t="s">
        <v>9345</v>
      </c>
      <c r="K606" s="7" t="s">
        <v>9346</v>
      </c>
      <c r="L606" s="109" t="s">
        <v>101</v>
      </c>
    </row>
    <row r="607" spans="1:12" ht="14.85" customHeight="1" x14ac:dyDescent="0.25">
      <c r="A607" s="108" t="s">
        <v>9308</v>
      </c>
      <c r="B607" s="115" t="s">
        <v>9337</v>
      </c>
      <c r="C607" s="115" t="s">
        <v>9338</v>
      </c>
      <c r="D607" s="109" t="s">
        <v>9744</v>
      </c>
      <c r="E607" s="110" t="s">
        <v>6645</v>
      </c>
      <c r="F607" s="236" t="s">
        <v>101</v>
      </c>
      <c r="G607" s="115" t="s">
        <v>9324</v>
      </c>
      <c r="H607" s="115" t="s">
        <v>9323</v>
      </c>
      <c r="I607" s="7" t="s">
        <v>9351</v>
      </c>
      <c r="J607" s="110" t="s">
        <v>9352</v>
      </c>
      <c r="K607" s="7" t="s">
        <v>9353</v>
      </c>
      <c r="L607" s="109" t="s">
        <v>101</v>
      </c>
    </row>
    <row r="608" spans="1:12" ht="14.85" customHeight="1" x14ac:dyDescent="0.25">
      <c r="A608" s="108" t="s">
        <v>9308</v>
      </c>
      <c r="B608" s="115" t="s">
        <v>9337</v>
      </c>
      <c r="C608" s="115" t="s">
        <v>9338</v>
      </c>
      <c r="D608" s="109" t="s">
        <v>9745</v>
      </c>
      <c r="E608" s="110" t="s">
        <v>6647</v>
      </c>
      <c r="F608" s="236" t="s">
        <v>107</v>
      </c>
      <c r="G608" s="115" t="s">
        <v>9324</v>
      </c>
      <c r="H608" s="115" t="s">
        <v>9323</v>
      </c>
      <c r="I608" s="7" t="s">
        <v>9342</v>
      </c>
      <c r="J608" s="110" t="s">
        <v>9343</v>
      </c>
      <c r="K608" s="7" t="s">
        <v>9341</v>
      </c>
      <c r="L608" s="109" t="s">
        <v>107</v>
      </c>
    </row>
    <row r="609" spans="1:12" ht="14.85" customHeight="1" x14ac:dyDescent="0.25">
      <c r="A609" s="108" t="s">
        <v>9308</v>
      </c>
      <c r="B609" s="115" t="s">
        <v>9337</v>
      </c>
      <c r="C609" s="115" t="s">
        <v>9338</v>
      </c>
      <c r="D609" s="109" t="s">
        <v>9745</v>
      </c>
      <c r="E609" s="110" t="s">
        <v>6647</v>
      </c>
      <c r="F609" s="236" t="s">
        <v>107</v>
      </c>
      <c r="G609" s="115" t="s">
        <v>9324</v>
      </c>
      <c r="H609" s="115" t="s">
        <v>9323</v>
      </c>
      <c r="I609" s="7" t="s">
        <v>9344</v>
      </c>
      <c r="J609" s="110" t="s">
        <v>9345</v>
      </c>
      <c r="K609" s="7" t="s">
        <v>9346</v>
      </c>
      <c r="L609" s="109" t="s">
        <v>107</v>
      </c>
    </row>
    <row r="610" spans="1:12" ht="14.85" customHeight="1" x14ac:dyDescent="0.25">
      <c r="A610" s="108" t="s">
        <v>9308</v>
      </c>
      <c r="B610" s="115" t="s">
        <v>9337</v>
      </c>
      <c r="C610" s="115" t="s">
        <v>9338</v>
      </c>
      <c r="D610" s="109" t="s">
        <v>9745</v>
      </c>
      <c r="E610" s="110" t="s">
        <v>6647</v>
      </c>
      <c r="F610" s="236" t="s">
        <v>107</v>
      </c>
      <c r="G610" s="115" t="s">
        <v>9324</v>
      </c>
      <c r="H610" s="115" t="s">
        <v>9323</v>
      </c>
      <c r="I610" s="7" t="s">
        <v>9351</v>
      </c>
      <c r="J610" s="110" t="s">
        <v>9352</v>
      </c>
      <c r="K610" s="7" t="s">
        <v>9353</v>
      </c>
      <c r="L610" s="109" t="s">
        <v>107</v>
      </c>
    </row>
    <row r="611" spans="1:12" ht="14.85" customHeight="1" x14ac:dyDescent="0.25">
      <c r="A611" s="108" t="s">
        <v>9308</v>
      </c>
      <c r="B611" s="115" t="s">
        <v>9337</v>
      </c>
      <c r="C611" s="115" t="s">
        <v>9338</v>
      </c>
      <c r="D611" s="109" t="s">
        <v>9746</v>
      </c>
      <c r="E611" s="110" t="s">
        <v>6649</v>
      </c>
      <c r="F611" s="236" t="s">
        <v>116</v>
      </c>
      <c r="G611" s="115" t="s">
        <v>9324</v>
      </c>
      <c r="H611" s="115" t="s">
        <v>9323</v>
      </c>
      <c r="I611" s="7" t="s">
        <v>9342</v>
      </c>
      <c r="J611" s="110" t="s">
        <v>9343</v>
      </c>
      <c r="K611" s="7" t="s">
        <v>9341</v>
      </c>
      <c r="L611" s="109" t="s">
        <v>116</v>
      </c>
    </row>
    <row r="612" spans="1:12" ht="14.85" customHeight="1" x14ac:dyDescent="0.25">
      <c r="A612" s="108" t="s">
        <v>9308</v>
      </c>
      <c r="B612" s="115" t="s">
        <v>9337</v>
      </c>
      <c r="C612" s="115" t="s">
        <v>9338</v>
      </c>
      <c r="D612" s="109" t="s">
        <v>9746</v>
      </c>
      <c r="E612" s="110" t="s">
        <v>6649</v>
      </c>
      <c r="F612" s="236" t="s">
        <v>116</v>
      </c>
      <c r="G612" s="115" t="s">
        <v>9324</v>
      </c>
      <c r="H612" s="115" t="s">
        <v>9323</v>
      </c>
      <c r="I612" s="7" t="s">
        <v>9344</v>
      </c>
      <c r="J612" s="110" t="s">
        <v>9345</v>
      </c>
      <c r="K612" s="7" t="s">
        <v>9346</v>
      </c>
      <c r="L612" s="109" t="s">
        <v>116</v>
      </c>
    </row>
    <row r="613" spans="1:12" ht="14.85" customHeight="1" x14ac:dyDescent="0.25">
      <c r="A613" s="108" t="s">
        <v>9308</v>
      </c>
      <c r="B613" s="115" t="s">
        <v>9337</v>
      </c>
      <c r="C613" s="115" t="s">
        <v>9338</v>
      </c>
      <c r="D613" s="109" t="s">
        <v>9746</v>
      </c>
      <c r="E613" s="110" t="s">
        <v>6649</v>
      </c>
      <c r="F613" s="236" t="s">
        <v>116</v>
      </c>
      <c r="G613" s="115" t="s">
        <v>9324</v>
      </c>
      <c r="H613" s="115" t="s">
        <v>9323</v>
      </c>
      <c r="I613" s="7" t="s">
        <v>9351</v>
      </c>
      <c r="J613" s="110" t="s">
        <v>9352</v>
      </c>
      <c r="K613" s="7" t="s">
        <v>9353</v>
      </c>
      <c r="L613" s="109" t="s">
        <v>116</v>
      </c>
    </row>
    <row r="614" spans="1:12" ht="14.85" customHeight="1" x14ac:dyDescent="0.25">
      <c r="A614" s="108" t="s">
        <v>9308</v>
      </c>
      <c r="B614" s="115" t="s">
        <v>9337</v>
      </c>
      <c r="C614" s="115" t="s">
        <v>9338</v>
      </c>
      <c r="D614" s="109" t="s">
        <v>9747</v>
      </c>
      <c r="E614" s="110" t="s">
        <v>9748</v>
      </c>
      <c r="F614" s="236" t="s">
        <v>9353</v>
      </c>
      <c r="G614" s="115" t="s">
        <v>9324</v>
      </c>
      <c r="H614" s="115" t="s">
        <v>9323</v>
      </c>
      <c r="I614" s="7" t="s">
        <v>9342</v>
      </c>
      <c r="J614" s="110" t="s">
        <v>9343</v>
      </c>
      <c r="K614" s="7" t="s">
        <v>9341</v>
      </c>
      <c r="L614" s="109" t="s">
        <v>9341</v>
      </c>
    </row>
    <row r="615" spans="1:12" ht="14.85" customHeight="1" x14ac:dyDescent="0.25">
      <c r="A615" s="108" t="s">
        <v>9308</v>
      </c>
      <c r="B615" s="115" t="s">
        <v>9337</v>
      </c>
      <c r="C615" s="115" t="s">
        <v>9338</v>
      </c>
      <c r="D615" s="109" t="s">
        <v>9747</v>
      </c>
      <c r="E615" s="110" t="s">
        <v>9748</v>
      </c>
      <c r="F615" s="236" t="s">
        <v>9353</v>
      </c>
      <c r="G615" s="115" t="s">
        <v>9324</v>
      </c>
      <c r="H615" s="115" t="s">
        <v>9323</v>
      </c>
      <c r="I615" s="7" t="s">
        <v>9368</v>
      </c>
      <c r="J615" s="110" t="s">
        <v>9365</v>
      </c>
      <c r="K615" s="7" t="s">
        <v>9353</v>
      </c>
      <c r="L615" s="109" t="s">
        <v>9353</v>
      </c>
    </row>
    <row r="616" spans="1:12" ht="14.85" customHeight="1" x14ac:dyDescent="0.25">
      <c r="A616" s="108" t="s">
        <v>9308</v>
      </c>
      <c r="B616" s="115" t="s">
        <v>9337</v>
      </c>
      <c r="C616" s="115" t="s">
        <v>9338</v>
      </c>
      <c r="D616" s="109" t="s">
        <v>9747</v>
      </c>
      <c r="E616" s="110" t="s">
        <v>9748</v>
      </c>
      <c r="F616" s="236" t="s">
        <v>9353</v>
      </c>
      <c r="G616" s="115" t="s">
        <v>9324</v>
      </c>
      <c r="H616" s="115" t="s">
        <v>9323</v>
      </c>
      <c r="I616" s="7" t="s">
        <v>9369</v>
      </c>
      <c r="J616" s="110" t="s">
        <v>9370</v>
      </c>
      <c r="K616" s="7" t="s">
        <v>9353</v>
      </c>
      <c r="L616" s="109" t="s">
        <v>9353</v>
      </c>
    </row>
    <row r="617" spans="1:12" ht="14.85" customHeight="1" x14ac:dyDescent="0.25">
      <c r="A617" s="108" t="s">
        <v>9308</v>
      </c>
      <c r="B617" s="115" t="s">
        <v>9337</v>
      </c>
      <c r="C617" s="115" t="s">
        <v>9338</v>
      </c>
      <c r="D617" s="109" t="s">
        <v>9747</v>
      </c>
      <c r="E617" s="110" t="s">
        <v>9748</v>
      </c>
      <c r="F617" s="236" t="s">
        <v>9353</v>
      </c>
      <c r="G617" s="115" t="s">
        <v>9324</v>
      </c>
      <c r="H617" s="115" t="s">
        <v>9323</v>
      </c>
      <c r="I617" s="7" t="s">
        <v>9351</v>
      </c>
      <c r="J617" s="110" t="s">
        <v>9352</v>
      </c>
      <c r="K617" s="7" t="s">
        <v>9353</v>
      </c>
      <c r="L617" s="109" t="s">
        <v>9353</v>
      </c>
    </row>
    <row r="618" spans="1:12" ht="14.85" customHeight="1" x14ac:dyDescent="0.25">
      <c r="A618" s="108" t="s">
        <v>9308</v>
      </c>
      <c r="B618" s="115" t="s">
        <v>9337</v>
      </c>
      <c r="C618" s="115" t="s">
        <v>9338</v>
      </c>
      <c r="D618" s="109" t="s">
        <v>9749</v>
      </c>
      <c r="E618" s="110" t="s">
        <v>9750</v>
      </c>
      <c r="F618" s="236" t="s">
        <v>9467</v>
      </c>
      <c r="G618" s="115" t="s">
        <v>9324</v>
      </c>
      <c r="H618" s="115" t="s">
        <v>9323</v>
      </c>
      <c r="I618" s="7" t="s">
        <v>9650</v>
      </c>
      <c r="J618" s="110" t="s">
        <v>9651</v>
      </c>
      <c r="K618" s="7" t="s">
        <v>9440</v>
      </c>
      <c r="L618" s="109" t="s">
        <v>9440</v>
      </c>
    </row>
    <row r="619" spans="1:12" ht="14.85" customHeight="1" x14ac:dyDescent="0.25">
      <c r="A619" s="108" t="s">
        <v>9308</v>
      </c>
      <c r="B619" s="115" t="s">
        <v>9337</v>
      </c>
      <c r="C619" s="115" t="s">
        <v>9338</v>
      </c>
      <c r="D619" s="109" t="s">
        <v>9749</v>
      </c>
      <c r="E619" s="110" t="s">
        <v>9750</v>
      </c>
      <c r="F619" s="236" t="s">
        <v>9467</v>
      </c>
      <c r="G619" s="115" t="s">
        <v>9324</v>
      </c>
      <c r="H619" s="115" t="s">
        <v>9323</v>
      </c>
      <c r="I619" s="7" t="s">
        <v>9368</v>
      </c>
      <c r="J619" s="110" t="s">
        <v>9365</v>
      </c>
      <c r="K619" s="7" t="s">
        <v>9353</v>
      </c>
      <c r="L619" s="109" t="s">
        <v>9353</v>
      </c>
    </row>
    <row r="620" spans="1:12" ht="14.85" customHeight="1" x14ac:dyDescent="0.25">
      <c r="A620" s="108" t="s">
        <v>9308</v>
      </c>
      <c r="B620" s="115" t="s">
        <v>9337</v>
      </c>
      <c r="C620" s="115" t="s">
        <v>9338</v>
      </c>
      <c r="D620" s="109" t="s">
        <v>9749</v>
      </c>
      <c r="E620" s="110" t="s">
        <v>9750</v>
      </c>
      <c r="F620" s="236" t="s">
        <v>9467</v>
      </c>
      <c r="G620" s="115" t="s">
        <v>9324</v>
      </c>
      <c r="H620" s="115" t="s">
        <v>9323</v>
      </c>
      <c r="I620" s="7" t="s">
        <v>9369</v>
      </c>
      <c r="J620" s="110" t="s">
        <v>9370</v>
      </c>
      <c r="K620" s="7" t="s">
        <v>9353</v>
      </c>
      <c r="L620" s="109" t="s">
        <v>9353</v>
      </c>
    </row>
    <row r="621" spans="1:12" ht="14.85" customHeight="1" x14ac:dyDescent="0.25">
      <c r="A621" s="108" t="s">
        <v>9308</v>
      </c>
      <c r="B621" s="115" t="s">
        <v>9337</v>
      </c>
      <c r="C621" s="115" t="s">
        <v>9338</v>
      </c>
      <c r="D621" s="109" t="s">
        <v>9749</v>
      </c>
      <c r="E621" s="110" t="s">
        <v>9750</v>
      </c>
      <c r="F621" s="236" t="s">
        <v>9467</v>
      </c>
      <c r="G621" s="115" t="s">
        <v>9324</v>
      </c>
      <c r="H621" s="115" t="s">
        <v>9323</v>
      </c>
      <c r="I621" s="7" t="s">
        <v>9654</v>
      </c>
      <c r="J621" s="110" t="s">
        <v>9655</v>
      </c>
      <c r="K621" s="7" t="s">
        <v>9440</v>
      </c>
      <c r="L621" s="109" t="s">
        <v>9440</v>
      </c>
    </row>
    <row r="622" spans="1:12" ht="14.85" customHeight="1" x14ac:dyDescent="0.25">
      <c r="A622" s="108" t="s">
        <v>9308</v>
      </c>
      <c r="B622" s="115" t="s">
        <v>9337</v>
      </c>
      <c r="C622" s="115" t="s">
        <v>9338</v>
      </c>
      <c r="D622" s="109" t="s">
        <v>9749</v>
      </c>
      <c r="E622" s="110" t="s">
        <v>9750</v>
      </c>
      <c r="F622" s="236" t="s">
        <v>9467</v>
      </c>
      <c r="G622" s="115" t="s">
        <v>9324</v>
      </c>
      <c r="H622" s="115" t="s">
        <v>9323</v>
      </c>
      <c r="I622" s="7" t="s">
        <v>9351</v>
      </c>
      <c r="J622" s="110" t="s">
        <v>9352</v>
      </c>
      <c r="K622" s="7" t="s">
        <v>9353</v>
      </c>
      <c r="L622" s="109" t="s">
        <v>9467</v>
      </c>
    </row>
    <row r="623" spans="1:12" ht="14.85" customHeight="1" x14ac:dyDescent="0.25">
      <c r="A623" s="108" t="s">
        <v>9308</v>
      </c>
      <c r="B623" s="115" t="s">
        <v>9337</v>
      </c>
      <c r="C623" s="115" t="s">
        <v>9338</v>
      </c>
      <c r="D623" s="109" t="s">
        <v>9749</v>
      </c>
      <c r="E623" s="110" t="s">
        <v>9750</v>
      </c>
      <c r="F623" s="236" t="s">
        <v>9467</v>
      </c>
      <c r="G623" s="115" t="s">
        <v>9324</v>
      </c>
      <c r="H623" s="115" t="s">
        <v>9323</v>
      </c>
      <c r="I623" s="7" t="s">
        <v>9751</v>
      </c>
      <c r="J623" s="110" t="s">
        <v>9752</v>
      </c>
      <c r="K623" s="7" t="s">
        <v>9443</v>
      </c>
      <c r="L623" s="109" t="s">
        <v>9443</v>
      </c>
    </row>
    <row r="624" spans="1:12" ht="14.85" customHeight="1" x14ac:dyDescent="0.25">
      <c r="A624" s="108" t="s">
        <v>9308</v>
      </c>
      <c r="B624" s="115" t="s">
        <v>9337</v>
      </c>
      <c r="C624" s="115" t="s">
        <v>9338</v>
      </c>
      <c r="D624" s="109" t="s">
        <v>9749</v>
      </c>
      <c r="E624" s="110" t="s">
        <v>9750</v>
      </c>
      <c r="F624" s="236" t="s">
        <v>9467</v>
      </c>
      <c r="G624" s="115" t="s">
        <v>9324</v>
      </c>
      <c r="H624" s="115" t="s">
        <v>9323</v>
      </c>
      <c r="I624" s="7" t="s">
        <v>9753</v>
      </c>
      <c r="J624" s="110" t="s">
        <v>9754</v>
      </c>
      <c r="K624" s="7" t="s">
        <v>9443</v>
      </c>
      <c r="L624" s="109" t="s">
        <v>9443</v>
      </c>
    </row>
    <row r="625" spans="1:12" ht="14.85" customHeight="1" x14ac:dyDescent="0.25">
      <c r="A625" s="108" t="s">
        <v>13512</v>
      </c>
      <c r="B625" s="161" t="s">
        <v>9337</v>
      </c>
      <c r="C625" s="115" t="s">
        <v>9338</v>
      </c>
      <c r="D625" s="109" t="s">
        <v>9755</v>
      </c>
      <c r="E625" s="323" t="s">
        <v>13489</v>
      </c>
      <c r="F625" s="236" t="s">
        <v>9451</v>
      </c>
      <c r="G625" s="115" t="s">
        <v>9324</v>
      </c>
      <c r="H625" s="115" t="s">
        <v>9323</v>
      </c>
      <c r="I625" s="7" t="s">
        <v>9369</v>
      </c>
      <c r="J625" s="110" t="s">
        <v>9370</v>
      </c>
      <c r="K625" s="7" t="s">
        <v>9353</v>
      </c>
      <c r="L625" s="109" t="s">
        <v>9451</v>
      </c>
    </row>
    <row r="626" spans="1:12" ht="14.85" customHeight="1" x14ac:dyDescent="0.25">
      <c r="A626" s="108" t="s">
        <v>13512</v>
      </c>
      <c r="B626" s="161" t="s">
        <v>9337</v>
      </c>
      <c r="C626" s="115" t="s">
        <v>9338</v>
      </c>
      <c r="D626" s="109" t="s">
        <v>9755</v>
      </c>
      <c r="E626" s="323" t="s">
        <v>13489</v>
      </c>
      <c r="F626" s="236" t="s">
        <v>9451</v>
      </c>
      <c r="G626" s="115" t="s">
        <v>9324</v>
      </c>
      <c r="H626" s="115" t="s">
        <v>9323</v>
      </c>
      <c r="I626" s="7" t="s">
        <v>9654</v>
      </c>
      <c r="J626" s="110" t="s">
        <v>9655</v>
      </c>
      <c r="K626" s="7" t="s">
        <v>9440</v>
      </c>
      <c r="L626" s="109" t="s">
        <v>9451</v>
      </c>
    </row>
    <row r="627" spans="1:12" ht="14.85" customHeight="1" x14ac:dyDescent="0.25">
      <c r="A627" s="108" t="s">
        <v>13512</v>
      </c>
      <c r="B627" s="161" t="s">
        <v>9337</v>
      </c>
      <c r="C627" s="115" t="s">
        <v>9338</v>
      </c>
      <c r="D627" s="109" t="s">
        <v>9755</v>
      </c>
      <c r="E627" s="323" t="s">
        <v>13489</v>
      </c>
      <c r="F627" s="236" t="s">
        <v>9451</v>
      </c>
      <c r="G627" s="115" t="s">
        <v>9324</v>
      </c>
      <c r="H627" s="115" t="s">
        <v>9323</v>
      </c>
      <c r="I627" s="7" t="s">
        <v>9351</v>
      </c>
      <c r="J627" s="110" t="s">
        <v>9352</v>
      </c>
      <c r="K627" s="7" t="s">
        <v>9353</v>
      </c>
      <c r="L627" s="109" t="s">
        <v>9451</v>
      </c>
    </row>
    <row r="628" spans="1:12" ht="14.85" customHeight="1" x14ac:dyDescent="0.25">
      <c r="A628" s="108" t="s">
        <v>13512</v>
      </c>
      <c r="B628" s="161" t="s">
        <v>9337</v>
      </c>
      <c r="C628" s="115" t="s">
        <v>9338</v>
      </c>
      <c r="D628" s="109" t="s">
        <v>9756</v>
      </c>
      <c r="E628" s="323" t="s">
        <v>13490</v>
      </c>
      <c r="F628" s="236" t="s">
        <v>9451</v>
      </c>
      <c r="G628" s="115" t="s">
        <v>9324</v>
      </c>
      <c r="H628" s="115" t="s">
        <v>9323</v>
      </c>
      <c r="I628" s="7" t="s">
        <v>9369</v>
      </c>
      <c r="J628" s="110" t="s">
        <v>9370</v>
      </c>
      <c r="K628" s="7" t="s">
        <v>9353</v>
      </c>
      <c r="L628" s="109" t="s">
        <v>9451</v>
      </c>
    </row>
    <row r="629" spans="1:12" ht="14.85" customHeight="1" x14ac:dyDescent="0.25">
      <c r="A629" s="108" t="s">
        <v>13512</v>
      </c>
      <c r="B629" s="161" t="s">
        <v>9337</v>
      </c>
      <c r="C629" s="115" t="s">
        <v>9338</v>
      </c>
      <c r="D629" s="109" t="s">
        <v>9756</v>
      </c>
      <c r="E629" s="323" t="s">
        <v>13490</v>
      </c>
      <c r="F629" s="236" t="s">
        <v>9451</v>
      </c>
      <c r="G629" s="115" t="s">
        <v>9324</v>
      </c>
      <c r="H629" s="115" t="s">
        <v>9323</v>
      </c>
      <c r="I629" s="7" t="s">
        <v>9654</v>
      </c>
      <c r="J629" s="110" t="s">
        <v>9655</v>
      </c>
      <c r="K629" s="7" t="s">
        <v>9440</v>
      </c>
      <c r="L629" s="109" t="s">
        <v>9451</v>
      </c>
    </row>
    <row r="630" spans="1:12" ht="14.85" customHeight="1" x14ac:dyDescent="0.25">
      <c r="A630" s="108" t="s">
        <v>13512</v>
      </c>
      <c r="B630" s="161" t="s">
        <v>9337</v>
      </c>
      <c r="C630" s="115" t="s">
        <v>9338</v>
      </c>
      <c r="D630" s="109" t="s">
        <v>9756</v>
      </c>
      <c r="E630" s="323" t="s">
        <v>13490</v>
      </c>
      <c r="F630" s="236" t="s">
        <v>9451</v>
      </c>
      <c r="G630" s="115" t="s">
        <v>9324</v>
      </c>
      <c r="H630" s="115" t="s">
        <v>9323</v>
      </c>
      <c r="I630" s="7" t="s">
        <v>9351</v>
      </c>
      <c r="J630" s="110" t="s">
        <v>9352</v>
      </c>
      <c r="K630" s="7" t="s">
        <v>9353</v>
      </c>
      <c r="L630" s="109" t="s">
        <v>9451</v>
      </c>
    </row>
    <row r="631" spans="1:12" ht="14.85" customHeight="1" x14ac:dyDescent="0.25">
      <c r="A631" s="108" t="s">
        <v>13512</v>
      </c>
      <c r="B631" s="161" t="s">
        <v>9337</v>
      </c>
      <c r="C631" s="115" t="s">
        <v>9338</v>
      </c>
      <c r="D631" s="109" t="s">
        <v>9757</v>
      </c>
      <c r="E631" s="323" t="s">
        <v>13491</v>
      </c>
      <c r="F631" s="236" t="s">
        <v>9451</v>
      </c>
      <c r="G631" s="115" t="s">
        <v>9324</v>
      </c>
      <c r="H631" s="115" t="s">
        <v>9323</v>
      </c>
      <c r="I631" s="7" t="s">
        <v>9369</v>
      </c>
      <c r="J631" s="110" t="s">
        <v>9370</v>
      </c>
      <c r="K631" s="7" t="s">
        <v>9353</v>
      </c>
      <c r="L631" s="109" t="s">
        <v>9451</v>
      </c>
    </row>
    <row r="632" spans="1:12" ht="14.85" customHeight="1" x14ac:dyDescent="0.25">
      <c r="A632" s="108" t="s">
        <v>13512</v>
      </c>
      <c r="B632" s="161" t="s">
        <v>9337</v>
      </c>
      <c r="C632" s="115" t="s">
        <v>9338</v>
      </c>
      <c r="D632" s="109" t="s">
        <v>9757</v>
      </c>
      <c r="E632" s="323" t="s">
        <v>13491</v>
      </c>
      <c r="F632" s="236" t="s">
        <v>9451</v>
      </c>
      <c r="G632" s="115" t="s">
        <v>9324</v>
      </c>
      <c r="H632" s="115" t="s">
        <v>9323</v>
      </c>
      <c r="I632" s="7" t="s">
        <v>9654</v>
      </c>
      <c r="J632" s="110" t="s">
        <v>9655</v>
      </c>
      <c r="K632" s="7" t="s">
        <v>9440</v>
      </c>
      <c r="L632" s="109" t="s">
        <v>9451</v>
      </c>
    </row>
    <row r="633" spans="1:12" ht="14.85" customHeight="1" x14ac:dyDescent="0.25">
      <c r="A633" s="108" t="s">
        <v>13512</v>
      </c>
      <c r="B633" s="161" t="s">
        <v>9337</v>
      </c>
      <c r="C633" s="115" t="s">
        <v>9338</v>
      </c>
      <c r="D633" s="109" t="s">
        <v>9757</v>
      </c>
      <c r="E633" s="323" t="s">
        <v>13491</v>
      </c>
      <c r="F633" s="236" t="s">
        <v>9451</v>
      </c>
      <c r="G633" s="115" t="s">
        <v>9324</v>
      </c>
      <c r="H633" s="115" t="s">
        <v>9323</v>
      </c>
      <c r="I633" s="7" t="s">
        <v>9351</v>
      </c>
      <c r="J633" s="110" t="s">
        <v>9352</v>
      </c>
      <c r="K633" s="7" t="s">
        <v>9353</v>
      </c>
      <c r="L633" s="109" t="s">
        <v>9451</v>
      </c>
    </row>
    <row r="634" spans="1:12" ht="14.85" customHeight="1" x14ac:dyDescent="0.25">
      <c r="A634" s="108" t="s">
        <v>9308</v>
      </c>
      <c r="B634" s="115" t="s">
        <v>9337</v>
      </c>
      <c r="C634" s="115" t="s">
        <v>9338</v>
      </c>
      <c r="D634" s="109" t="s">
        <v>9758</v>
      </c>
      <c r="E634" s="110" t="s">
        <v>9759</v>
      </c>
      <c r="F634" s="236" t="s">
        <v>9353</v>
      </c>
      <c r="G634" s="115" t="s">
        <v>9324</v>
      </c>
      <c r="H634" s="115" t="s">
        <v>9323</v>
      </c>
      <c r="I634" s="7" t="s">
        <v>9342</v>
      </c>
      <c r="J634" s="110" t="s">
        <v>9343</v>
      </c>
      <c r="K634" s="7" t="s">
        <v>9341</v>
      </c>
      <c r="L634" s="109" t="s">
        <v>9341</v>
      </c>
    </row>
    <row r="635" spans="1:12" ht="14.85" customHeight="1" x14ac:dyDescent="0.25">
      <c r="A635" s="108" t="s">
        <v>9308</v>
      </c>
      <c r="B635" s="115" t="s">
        <v>9337</v>
      </c>
      <c r="C635" s="115" t="s">
        <v>9338</v>
      </c>
      <c r="D635" s="109" t="s">
        <v>9758</v>
      </c>
      <c r="E635" s="110" t="s">
        <v>9759</v>
      </c>
      <c r="F635" s="236" t="s">
        <v>9353</v>
      </c>
      <c r="G635" s="115" t="s">
        <v>9324</v>
      </c>
      <c r="H635" s="115" t="s">
        <v>9323</v>
      </c>
      <c r="I635" s="7" t="s">
        <v>9368</v>
      </c>
      <c r="J635" s="110" t="s">
        <v>9365</v>
      </c>
      <c r="K635" s="7" t="s">
        <v>9353</v>
      </c>
      <c r="L635" s="109" t="s">
        <v>9353</v>
      </c>
    </row>
    <row r="636" spans="1:12" ht="14.85" customHeight="1" x14ac:dyDescent="0.25">
      <c r="A636" s="108" t="s">
        <v>9308</v>
      </c>
      <c r="B636" s="115" t="s">
        <v>9337</v>
      </c>
      <c r="C636" s="115" t="s">
        <v>9338</v>
      </c>
      <c r="D636" s="109" t="s">
        <v>9758</v>
      </c>
      <c r="E636" s="110" t="s">
        <v>9759</v>
      </c>
      <c r="F636" s="236" t="s">
        <v>9353</v>
      </c>
      <c r="G636" s="115" t="s">
        <v>9324</v>
      </c>
      <c r="H636" s="115" t="s">
        <v>9323</v>
      </c>
      <c r="I636" s="7" t="s">
        <v>9371</v>
      </c>
      <c r="J636" s="110" t="s">
        <v>9372</v>
      </c>
      <c r="K636" s="7" t="s">
        <v>9353</v>
      </c>
      <c r="L636" s="109" t="s">
        <v>9353</v>
      </c>
    </row>
    <row r="637" spans="1:12" ht="14.85" customHeight="1" x14ac:dyDescent="0.25">
      <c r="A637" s="108" t="s">
        <v>9308</v>
      </c>
      <c r="B637" s="115" t="s">
        <v>9337</v>
      </c>
      <c r="C637" s="115" t="s">
        <v>9338</v>
      </c>
      <c r="D637" s="109" t="s">
        <v>9758</v>
      </c>
      <c r="E637" s="110" t="s">
        <v>9759</v>
      </c>
      <c r="F637" s="236" t="s">
        <v>9353</v>
      </c>
      <c r="G637" s="115" t="s">
        <v>9324</v>
      </c>
      <c r="H637" s="115" t="s">
        <v>9323</v>
      </c>
      <c r="I637" s="7" t="s">
        <v>9351</v>
      </c>
      <c r="J637" s="110" t="s">
        <v>9352</v>
      </c>
      <c r="K637" s="7" t="s">
        <v>9353</v>
      </c>
      <c r="L637" s="109" t="s">
        <v>9353</v>
      </c>
    </row>
    <row r="638" spans="1:12" ht="14.85" customHeight="1" x14ac:dyDescent="0.25">
      <c r="A638" s="108" t="s">
        <v>9308</v>
      </c>
      <c r="B638" s="115" t="s">
        <v>9337</v>
      </c>
      <c r="C638" s="115" t="s">
        <v>9338</v>
      </c>
      <c r="D638" s="109" t="s">
        <v>9760</v>
      </c>
      <c r="E638" s="110" t="s">
        <v>9761</v>
      </c>
      <c r="F638" s="236" t="s">
        <v>9467</v>
      </c>
      <c r="G638" s="115" t="s">
        <v>9324</v>
      </c>
      <c r="H638" s="115" t="s">
        <v>9323</v>
      </c>
      <c r="I638" s="7" t="s">
        <v>9650</v>
      </c>
      <c r="J638" s="110" t="s">
        <v>9651</v>
      </c>
      <c r="K638" s="7" t="s">
        <v>9440</v>
      </c>
      <c r="L638" s="109" t="s">
        <v>9440</v>
      </c>
    </row>
    <row r="639" spans="1:12" ht="14.85" customHeight="1" x14ac:dyDescent="0.25">
      <c r="A639" s="108" t="s">
        <v>9308</v>
      </c>
      <c r="B639" s="115" t="s">
        <v>9337</v>
      </c>
      <c r="C639" s="115" t="s">
        <v>9338</v>
      </c>
      <c r="D639" s="109" t="s">
        <v>9760</v>
      </c>
      <c r="E639" s="110" t="s">
        <v>9761</v>
      </c>
      <c r="F639" s="236" t="s">
        <v>9467</v>
      </c>
      <c r="G639" s="115" t="s">
        <v>9324</v>
      </c>
      <c r="H639" s="115" t="s">
        <v>9323</v>
      </c>
      <c r="I639" s="7" t="s">
        <v>9368</v>
      </c>
      <c r="J639" s="110" t="s">
        <v>9365</v>
      </c>
      <c r="K639" s="7" t="s">
        <v>9353</v>
      </c>
      <c r="L639" s="109" t="s">
        <v>9467</v>
      </c>
    </row>
    <row r="640" spans="1:12" ht="14.85" customHeight="1" x14ac:dyDescent="0.25">
      <c r="A640" s="108" t="s">
        <v>9308</v>
      </c>
      <c r="B640" s="115" t="s">
        <v>9337</v>
      </c>
      <c r="C640" s="115" t="s">
        <v>9338</v>
      </c>
      <c r="D640" s="109" t="s">
        <v>9760</v>
      </c>
      <c r="E640" s="110" t="s">
        <v>9761</v>
      </c>
      <c r="F640" s="236" t="s">
        <v>9467</v>
      </c>
      <c r="G640" s="115" t="s">
        <v>9324</v>
      </c>
      <c r="H640" s="115" t="s">
        <v>9323</v>
      </c>
      <c r="I640" s="7" t="s">
        <v>9371</v>
      </c>
      <c r="J640" s="110" t="s">
        <v>9372</v>
      </c>
      <c r="K640" s="7" t="s">
        <v>9353</v>
      </c>
      <c r="L640" s="109" t="s">
        <v>9467</v>
      </c>
    </row>
    <row r="641" spans="1:12" ht="14.85" customHeight="1" x14ac:dyDescent="0.25">
      <c r="A641" s="108" t="s">
        <v>9308</v>
      </c>
      <c r="B641" s="115" t="s">
        <v>9337</v>
      </c>
      <c r="C641" s="115" t="s">
        <v>9338</v>
      </c>
      <c r="D641" s="109" t="s">
        <v>9760</v>
      </c>
      <c r="E641" s="110" t="s">
        <v>9761</v>
      </c>
      <c r="F641" s="236" t="s">
        <v>9467</v>
      </c>
      <c r="G641" s="115" t="s">
        <v>9324</v>
      </c>
      <c r="H641" s="115" t="s">
        <v>9323</v>
      </c>
      <c r="I641" s="7" t="s">
        <v>9656</v>
      </c>
      <c r="J641" s="110" t="s">
        <v>9657</v>
      </c>
      <c r="K641" s="7" t="s">
        <v>9440</v>
      </c>
      <c r="L641" s="109" t="s">
        <v>9440</v>
      </c>
    </row>
    <row r="642" spans="1:12" ht="14.85" customHeight="1" x14ac:dyDescent="0.25">
      <c r="A642" s="108" t="s">
        <v>9308</v>
      </c>
      <c r="B642" s="115" t="s">
        <v>9337</v>
      </c>
      <c r="C642" s="115" t="s">
        <v>9338</v>
      </c>
      <c r="D642" s="109" t="s">
        <v>9760</v>
      </c>
      <c r="E642" s="110" t="s">
        <v>9761</v>
      </c>
      <c r="F642" s="236" t="s">
        <v>9467</v>
      </c>
      <c r="G642" s="115" t="s">
        <v>9324</v>
      </c>
      <c r="H642" s="115" t="s">
        <v>9323</v>
      </c>
      <c r="I642" s="7" t="s">
        <v>9351</v>
      </c>
      <c r="J642" s="110" t="s">
        <v>9352</v>
      </c>
      <c r="K642" s="7" t="s">
        <v>9353</v>
      </c>
      <c r="L642" s="109" t="s">
        <v>9467</v>
      </c>
    </row>
    <row r="643" spans="1:12" ht="14.85" customHeight="1" x14ac:dyDescent="0.25">
      <c r="A643" s="108" t="s">
        <v>9308</v>
      </c>
      <c r="B643" s="115" t="s">
        <v>9337</v>
      </c>
      <c r="C643" s="115" t="s">
        <v>9338</v>
      </c>
      <c r="D643" s="109" t="s">
        <v>9760</v>
      </c>
      <c r="E643" s="110" t="s">
        <v>9761</v>
      </c>
      <c r="F643" s="236" t="s">
        <v>9467</v>
      </c>
      <c r="G643" s="115" t="s">
        <v>9324</v>
      </c>
      <c r="H643" s="115" t="s">
        <v>9323</v>
      </c>
      <c r="I643" s="7" t="s">
        <v>9751</v>
      </c>
      <c r="J643" s="110" t="s">
        <v>9752</v>
      </c>
      <c r="K643" s="7" t="s">
        <v>9443</v>
      </c>
      <c r="L643" s="109" t="s">
        <v>9443</v>
      </c>
    </row>
    <row r="644" spans="1:12" ht="14.85" customHeight="1" x14ac:dyDescent="0.25">
      <c r="A644" s="108" t="s">
        <v>9308</v>
      </c>
      <c r="B644" s="115" t="s">
        <v>9337</v>
      </c>
      <c r="C644" s="115" t="s">
        <v>9338</v>
      </c>
      <c r="D644" s="109" t="s">
        <v>9760</v>
      </c>
      <c r="E644" s="110" t="s">
        <v>9761</v>
      </c>
      <c r="F644" s="236" t="s">
        <v>9467</v>
      </c>
      <c r="G644" s="115" t="s">
        <v>9324</v>
      </c>
      <c r="H644" s="115" t="s">
        <v>9323</v>
      </c>
      <c r="I644" s="7" t="s">
        <v>9762</v>
      </c>
      <c r="J644" s="110" t="s">
        <v>9763</v>
      </c>
      <c r="K644" s="7" t="s">
        <v>9443</v>
      </c>
      <c r="L644" s="109" t="s">
        <v>9443</v>
      </c>
    </row>
    <row r="645" spans="1:12" ht="14.85" customHeight="1" x14ac:dyDescent="0.25">
      <c r="A645" s="108" t="s">
        <v>13512</v>
      </c>
      <c r="B645" s="161" t="s">
        <v>9337</v>
      </c>
      <c r="C645" s="115" t="s">
        <v>9338</v>
      </c>
      <c r="D645" s="109" t="s">
        <v>9764</v>
      </c>
      <c r="E645" s="323" t="s">
        <v>13492</v>
      </c>
      <c r="F645" s="236" t="s">
        <v>9451</v>
      </c>
      <c r="G645" s="115" t="s">
        <v>9324</v>
      </c>
      <c r="H645" s="115" t="s">
        <v>9323</v>
      </c>
      <c r="I645" s="7" t="s">
        <v>9371</v>
      </c>
      <c r="J645" s="110" t="s">
        <v>9372</v>
      </c>
      <c r="K645" s="7" t="s">
        <v>9353</v>
      </c>
      <c r="L645" s="109" t="s">
        <v>9451</v>
      </c>
    </row>
    <row r="646" spans="1:12" ht="14.85" customHeight="1" x14ac:dyDescent="0.25">
      <c r="A646" s="108" t="s">
        <v>13512</v>
      </c>
      <c r="B646" s="161" t="s">
        <v>9337</v>
      </c>
      <c r="C646" s="115" t="s">
        <v>9338</v>
      </c>
      <c r="D646" s="109" t="s">
        <v>9764</v>
      </c>
      <c r="E646" s="323" t="s">
        <v>13492</v>
      </c>
      <c r="F646" s="236" t="s">
        <v>9451</v>
      </c>
      <c r="G646" s="115" t="s">
        <v>9324</v>
      </c>
      <c r="H646" s="115" t="s">
        <v>9323</v>
      </c>
      <c r="I646" s="7" t="s">
        <v>9656</v>
      </c>
      <c r="J646" s="110" t="s">
        <v>9657</v>
      </c>
      <c r="K646" s="7" t="s">
        <v>9440</v>
      </c>
      <c r="L646" s="109" t="s">
        <v>9451</v>
      </c>
    </row>
    <row r="647" spans="1:12" ht="14.85" customHeight="1" x14ac:dyDescent="0.25">
      <c r="A647" s="108" t="s">
        <v>13512</v>
      </c>
      <c r="B647" s="161" t="s">
        <v>9337</v>
      </c>
      <c r="C647" s="115" t="s">
        <v>9338</v>
      </c>
      <c r="D647" s="109" t="s">
        <v>9764</v>
      </c>
      <c r="E647" s="323" t="s">
        <v>13492</v>
      </c>
      <c r="F647" s="236" t="s">
        <v>9451</v>
      </c>
      <c r="G647" s="115" t="s">
        <v>9324</v>
      </c>
      <c r="H647" s="115" t="s">
        <v>9323</v>
      </c>
      <c r="I647" s="7" t="s">
        <v>9351</v>
      </c>
      <c r="J647" s="110" t="s">
        <v>9352</v>
      </c>
      <c r="K647" s="7" t="s">
        <v>9353</v>
      </c>
      <c r="L647" s="109" t="s">
        <v>9451</v>
      </c>
    </row>
    <row r="648" spans="1:12" ht="14.85" customHeight="1" x14ac:dyDescent="0.25">
      <c r="A648" s="108" t="s">
        <v>13512</v>
      </c>
      <c r="B648" s="161" t="s">
        <v>9337</v>
      </c>
      <c r="C648" s="115" t="s">
        <v>9338</v>
      </c>
      <c r="D648" s="109" t="s">
        <v>9765</v>
      </c>
      <c r="E648" s="323" t="s">
        <v>13493</v>
      </c>
      <c r="F648" s="236" t="s">
        <v>9451</v>
      </c>
      <c r="G648" s="115" t="s">
        <v>9324</v>
      </c>
      <c r="H648" s="115" t="s">
        <v>9323</v>
      </c>
      <c r="I648" s="7" t="s">
        <v>9371</v>
      </c>
      <c r="J648" s="110" t="s">
        <v>9372</v>
      </c>
      <c r="K648" s="7" t="s">
        <v>9353</v>
      </c>
      <c r="L648" s="109" t="s">
        <v>9451</v>
      </c>
    </row>
    <row r="649" spans="1:12" ht="14.85" customHeight="1" x14ac:dyDescent="0.25">
      <c r="A649" s="108" t="s">
        <v>13512</v>
      </c>
      <c r="B649" s="161" t="s">
        <v>9337</v>
      </c>
      <c r="C649" s="115" t="s">
        <v>9338</v>
      </c>
      <c r="D649" s="109" t="s">
        <v>9765</v>
      </c>
      <c r="E649" s="323" t="s">
        <v>13493</v>
      </c>
      <c r="F649" s="236" t="s">
        <v>9451</v>
      </c>
      <c r="G649" s="115" t="s">
        <v>9324</v>
      </c>
      <c r="H649" s="115" t="s">
        <v>9323</v>
      </c>
      <c r="I649" s="7" t="s">
        <v>9656</v>
      </c>
      <c r="J649" s="110" t="s">
        <v>9657</v>
      </c>
      <c r="K649" s="7" t="s">
        <v>9440</v>
      </c>
      <c r="L649" s="109" t="s">
        <v>9451</v>
      </c>
    </row>
    <row r="650" spans="1:12" ht="14.85" customHeight="1" x14ac:dyDescent="0.25">
      <c r="A650" s="108" t="s">
        <v>13512</v>
      </c>
      <c r="B650" s="161" t="s">
        <v>9337</v>
      </c>
      <c r="C650" s="115" t="s">
        <v>9338</v>
      </c>
      <c r="D650" s="109" t="s">
        <v>9765</v>
      </c>
      <c r="E650" s="323" t="s">
        <v>13493</v>
      </c>
      <c r="F650" s="236" t="s">
        <v>9451</v>
      </c>
      <c r="G650" s="115" t="s">
        <v>9324</v>
      </c>
      <c r="H650" s="115" t="s">
        <v>9323</v>
      </c>
      <c r="I650" s="7" t="s">
        <v>9351</v>
      </c>
      <c r="J650" s="110" t="s">
        <v>9352</v>
      </c>
      <c r="K650" s="7" t="s">
        <v>9353</v>
      </c>
      <c r="L650" s="109" t="s">
        <v>9451</v>
      </c>
    </row>
    <row r="651" spans="1:12" ht="14.85" customHeight="1" x14ac:dyDescent="0.25">
      <c r="A651" s="108" t="s">
        <v>13512</v>
      </c>
      <c r="B651" s="161" t="s">
        <v>9337</v>
      </c>
      <c r="C651" s="115" t="s">
        <v>9338</v>
      </c>
      <c r="D651" s="109" t="s">
        <v>9766</v>
      </c>
      <c r="E651" s="323" t="s">
        <v>13494</v>
      </c>
      <c r="F651" s="236" t="s">
        <v>9451</v>
      </c>
      <c r="G651" s="115" t="s">
        <v>9324</v>
      </c>
      <c r="H651" s="115" t="s">
        <v>9323</v>
      </c>
      <c r="I651" s="7" t="s">
        <v>9371</v>
      </c>
      <c r="J651" s="110" t="s">
        <v>9372</v>
      </c>
      <c r="K651" s="7" t="s">
        <v>9353</v>
      </c>
      <c r="L651" s="109" t="s">
        <v>9451</v>
      </c>
    </row>
    <row r="652" spans="1:12" ht="14.85" customHeight="1" x14ac:dyDescent="0.25">
      <c r="A652" s="108" t="s">
        <v>13512</v>
      </c>
      <c r="B652" s="161" t="s">
        <v>9337</v>
      </c>
      <c r="C652" s="115" t="s">
        <v>9338</v>
      </c>
      <c r="D652" s="109" t="s">
        <v>9766</v>
      </c>
      <c r="E652" s="323" t="s">
        <v>13494</v>
      </c>
      <c r="F652" s="236" t="s">
        <v>9451</v>
      </c>
      <c r="G652" s="115" t="s">
        <v>9324</v>
      </c>
      <c r="H652" s="115" t="s">
        <v>9323</v>
      </c>
      <c r="I652" s="7" t="s">
        <v>9656</v>
      </c>
      <c r="J652" s="110" t="s">
        <v>9657</v>
      </c>
      <c r="K652" s="7" t="s">
        <v>9440</v>
      </c>
      <c r="L652" s="109" t="s">
        <v>9451</v>
      </c>
    </row>
    <row r="653" spans="1:12" ht="14.85" customHeight="1" x14ac:dyDescent="0.25">
      <c r="A653" s="108" t="s">
        <v>13512</v>
      </c>
      <c r="B653" s="161" t="s">
        <v>9337</v>
      </c>
      <c r="C653" s="115" t="s">
        <v>9338</v>
      </c>
      <c r="D653" s="109" t="s">
        <v>9766</v>
      </c>
      <c r="E653" s="323" t="s">
        <v>13494</v>
      </c>
      <c r="F653" s="236" t="s">
        <v>9451</v>
      </c>
      <c r="G653" s="115" t="s">
        <v>9324</v>
      </c>
      <c r="H653" s="115" t="s">
        <v>9323</v>
      </c>
      <c r="I653" s="7" t="s">
        <v>9351</v>
      </c>
      <c r="J653" s="110" t="s">
        <v>9352</v>
      </c>
      <c r="K653" s="7" t="s">
        <v>9353</v>
      </c>
      <c r="L653" s="109" t="s">
        <v>9451</v>
      </c>
    </row>
    <row r="654" spans="1:12" ht="14.85" customHeight="1" x14ac:dyDescent="0.25">
      <c r="A654" s="108" t="s">
        <v>9308</v>
      </c>
      <c r="B654" s="115" t="s">
        <v>9337</v>
      </c>
      <c r="C654" s="115" t="s">
        <v>9338</v>
      </c>
      <c r="D654" s="109" t="s">
        <v>9767</v>
      </c>
      <c r="E654" s="110" t="s">
        <v>9768</v>
      </c>
      <c r="F654" s="236" t="s">
        <v>9353</v>
      </c>
      <c r="G654" s="115" t="s">
        <v>9324</v>
      </c>
      <c r="H654" s="115" t="s">
        <v>9323</v>
      </c>
      <c r="I654" s="7" t="s">
        <v>9342</v>
      </c>
      <c r="J654" s="110" t="s">
        <v>9343</v>
      </c>
      <c r="K654" s="7" t="s">
        <v>9341</v>
      </c>
      <c r="L654" s="109" t="s">
        <v>9341</v>
      </c>
    </row>
    <row r="655" spans="1:12" ht="14.85" customHeight="1" x14ac:dyDescent="0.25">
      <c r="A655" s="108" t="s">
        <v>9308</v>
      </c>
      <c r="B655" s="115" t="s">
        <v>9337</v>
      </c>
      <c r="C655" s="115" t="s">
        <v>9338</v>
      </c>
      <c r="D655" s="109" t="s">
        <v>9767</v>
      </c>
      <c r="E655" s="110" t="s">
        <v>9768</v>
      </c>
      <c r="F655" s="236" t="s">
        <v>9353</v>
      </c>
      <c r="G655" s="115" t="s">
        <v>9324</v>
      </c>
      <c r="H655" s="115" t="s">
        <v>9323</v>
      </c>
      <c r="I655" s="7" t="s">
        <v>9368</v>
      </c>
      <c r="J655" s="110" t="s">
        <v>9365</v>
      </c>
      <c r="K655" s="7" t="s">
        <v>9353</v>
      </c>
      <c r="L655" s="109" t="s">
        <v>9353</v>
      </c>
    </row>
    <row r="656" spans="1:12" ht="14.85" customHeight="1" x14ac:dyDescent="0.25">
      <c r="A656" s="108" t="s">
        <v>9308</v>
      </c>
      <c r="B656" s="115" t="s">
        <v>9337</v>
      </c>
      <c r="C656" s="115" t="s">
        <v>9338</v>
      </c>
      <c r="D656" s="109" t="s">
        <v>9767</v>
      </c>
      <c r="E656" s="110" t="s">
        <v>9768</v>
      </c>
      <c r="F656" s="236" t="s">
        <v>9353</v>
      </c>
      <c r="G656" s="115" t="s">
        <v>9324</v>
      </c>
      <c r="H656" s="115" t="s">
        <v>9323</v>
      </c>
      <c r="I656" s="7" t="s">
        <v>9373</v>
      </c>
      <c r="J656" s="110" t="s">
        <v>9374</v>
      </c>
      <c r="K656" s="7" t="s">
        <v>9353</v>
      </c>
      <c r="L656" s="109" t="s">
        <v>9353</v>
      </c>
    </row>
    <row r="657" spans="1:12" ht="14.85" customHeight="1" x14ac:dyDescent="0.25">
      <c r="A657" s="108" t="s">
        <v>9308</v>
      </c>
      <c r="B657" s="115" t="s">
        <v>9337</v>
      </c>
      <c r="C657" s="115" t="s">
        <v>9338</v>
      </c>
      <c r="D657" s="109" t="s">
        <v>9767</v>
      </c>
      <c r="E657" s="110" t="s">
        <v>9768</v>
      </c>
      <c r="F657" s="236" t="s">
        <v>9353</v>
      </c>
      <c r="G657" s="115" t="s">
        <v>9324</v>
      </c>
      <c r="H657" s="115" t="s">
        <v>9323</v>
      </c>
      <c r="I657" s="7" t="s">
        <v>9351</v>
      </c>
      <c r="J657" s="110" t="s">
        <v>9352</v>
      </c>
      <c r="K657" s="7" t="s">
        <v>9353</v>
      </c>
      <c r="L657" s="109" t="s">
        <v>9353</v>
      </c>
    </row>
    <row r="658" spans="1:12" ht="14.55" customHeight="1" x14ac:dyDescent="0.25">
      <c r="A658" s="108" t="s">
        <v>9308</v>
      </c>
      <c r="B658" s="115" t="s">
        <v>9337</v>
      </c>
      <c r="C658" s="115" t="s">
        <v>9338</v>
      </c>
      <c r="D658" s="109" t="s">
        <v>9769</v>
      </c>
      <c r="E658" s="110" t="s">
        <v>9770</v>
      </c>
      <c r="F658" s="236" t="s">
        <v>9467</v>
      </c>
      <c r="G658" s="115" t="s">
        <v>9324</v>
      </c>
      <c r="H658" s="115" t="s">
        <v>9323</v>
      </c>
      <c r="I658" s="7" t="s">
        <v>9650</v>
      </c>
      <c r="J658" s="110" t="s">
        <v>9651</v>
      </c>
      <c r="K658" s="7" t="s">
        <v>9440</v>
      </c>
      <c r="L658" s="109" t="s">
        <v>9440</v>
      </c>
    </row>
    <row r="659" spans="1:12" ht="14.85" customHeight="1" x14ac:dyDescent="0.25">
      <c r="A659" s="108" t="s">
        <v>9308</v>
      </c>
      <c r="B659" s="115" t="s">
        <v>9337</v>
      </c>
      <c r="C659" s="115" t="s">
        <v>9338</v>
      </c>
      <c r="D659" s="109" t="s">
        <v>9769</v>
      </c>
      <c r="E659" s="110" t="s">
        <v>9770</v>
      </c>
      <c r="F659" s="236" t="s">
        <v>9467</v>
      </c>
      <c r="G659" s="115" t="s">
        <v>9324</v>
      </c>
      <c r="H659" s="115" t="s">
        <v>9323</v>
      </c>
      <c r="I659" s="7" t="s">
        <v>9368</v>
      </c>
      <c r="J659" s="110" t="s">
        <v>9365</v>
      </c>
      <c r="K659" s="7" t="s">
        <v>9353</v>
      </c>
      <c r="L659" s="109" t="s">
        <v>9467</v>
      </c>
    </row>
    <row r="660" spans="1:12" ht="14.85" customHeight="1" x14ac:dyDescent="0.25">
      <c r="A660" s="108" t="s">
        <v>9308</v>
      </c>
      <c r="B660" s="115" t="s">
        <v>9337</v>
      </c>
      <c r="C660" s="115" t="s">
        <v>9338</v>
      </c>
      <c r="D660" s="109" t="s">
        <v>9769</v>
      </c>
      <c r="E660" s="110" t="s">
        <v>9770</v>
      </c>
      <c r="F660" s="236" t="s">
        <v>9467</v>
      </c>
      <c r="G660" s="115" t="s">
        <v>9324</v>
      </c>
      <c r="H660" s="115" t="s">
        <v>9323</v>
      </c>
      <c r="I660" s="7" t="s">
        <v>9373</v>
      </c>
      <c r="J660" s="110" t="s">
        <v>9374</v>
      </c>
      <c r="K660" s="7" t="s">
        <v>9353</v>
      </c>
      <c r="L660" s="109" t="s">
        <v>9467</v>
      </c>
    </row>
    <row r="661" spans="1:12" ht="14.85" customHeight="1" x14ac:dyDescent="0.25">
      <c r="A661" s="108" t="s">
        <v>9308</v>
      </c>
      <c r="B661" s="115" t="s">
        <v>9337</v>
      </c>
      <c r="C661" s="115" t="s">
        <v>9338</v>
      </c>
      <c r="D661" s="109" t="s">
        <v>9769</v>
      </c>
      <c r="E661" s="110" t="s">
        <v>9770</v>
      </c>
      <c r="F661" s="236" t="s">
        <v>9467</v>
      </c>
      <c r="G661" s="115" t="s">
        <v>9324</v>
      </c>
      <c r="H661" s="115" t="s">
        <v>9323</v>
      </c>
      <c r="I661" s="7" t="s">
        <v>9658</v>
      </c>
      <c r="J661" s="110" t="s">
        <v>9659</v>
      </c>
      <c r="K661" s="7" t="s">
        <v>9440</v>
      </c>
      <c r="L661" s="109" t="s">
        <v>9440</v>
      </c>
    </row>
    <row r="662" spans="1:12" ht="14.85" customHeight="1" x14ac:dyDescent="0.25">
      <c r="A662" s="108" t="s">
        <v>9308</v>
      </c>
      <c r="B662" s="115" t="s">
        <v>9337</v>
      </c>
      <c r="C662" s="115" t="s">
        <v>9338</v>
      </c>
      <c r="D662" s="109" t="s">
        <v>9769</v>
      </c>
      <c r="E662" s="110" t="s">
        <v>9770</v>
      </c>
      <c r="F662" s="236" t="s">
        <v>9467</v>
      </c>
      <c r="G662" s="115" t="s">
        <v>9324</v>
      </c>
      <c r="H662" s="115" t="s">
        <v>9323</v>
      </c>
      <c r="I662" s="7" t="s">
        <v>9351</v>
      </c>
      <c r="J662" s="110" t="s">
        <v>9352</v>
      </c>
      <c r="K662" s="7" t="s">
        <v>9353</v>
      </c>
      <c r="L662" s="109" t="s">
        <v>9467</v>
      </c>
    </row>
    <row r="663" spans="1:12" ht="14.85" customHeight="1" x14ac:dyDescent="0.25">
      <c r="A663" s="108" t="s">
        <v>9308</v>
      </c>
      <c r="B663" s="115" t="s">
        <v>9337</v>
      </c>
      <c r="C663" s="115" t="s">
        <v>9338</v>
      </c>
      <c r="D663" s="109" t="s">
        <v>9769</v>
      </c>
      <c r="E663" s="110" t="s">
        <v>9770</v>
      </c>
      <c r="F663" s="236" t="s">
        <v>9467</v>
      </c>
      <c r="G663" s="115" t="s">
        <v>9324</v>
      </c>
      <c r="H663" s="115" t="s">
        <v>9323</v>
      </c>
      <c r="I663" s="7" t="s">
        <v>9751</v>
      </c>
      <c r="J663" s="110" t="s">
        <v>9752</v>
      </c>
      <c r="K663" s="7" t="s">
        <v>9443</v>
      </c>
      <c r="L663" s="109" t="s">
        <v>9443</v>
      </c>
    </row>
    <row r="664" spans="1:12" ht="14.85" customHeight="1" x14ac:dyDescent="0.25">
      <c r="A664" s="108" t="s">
        <v>9308</v>
      </c>
      <c r="B664" s="115" t="s">
        <v>9337</v>
      </c>
      <c r="C664" s="115" t="s">
        <v>9338</v>
      </c>
      <c r="D664" s="109" t="s">
        <v>9769</v>
      </c>
      <c r="E664" s="110" t="s">
        <v>9770</v>
      </c>
      <c r="F664" s="236" t="s">
        <v>9467</v>
      </c>
      <c r="G664" s="115" t="s">
        <v>9324</v>
      </c>
      <c r="H664" s="115" t="s">
        <v>9323</v>
      </c>
      <c r="I664" s="7" t="s">
        <v>9771</v>
      </c>
      <c r="J664" s="110" t="s">
        <v>9772</v>
      </c>
      <c r="K664" s="7" t="s">
        <v>9443</v>
      </c>
      <c r="L664" s="109" t="s">
        <v>9443</v>
      </c>
    </row>
    <row r="665" spans="1:12" ht="14.85" customHeight="1" x14ac:dyDescent="0.25">
      <c r="A665" s="108" t="s">
        <v>13512</v>
      </c>
      <c r="B665" s="161" t="s">
        <v>9337</v>
      </c>
      <c r="C665" s="115" t="s">
        <v>9338</v>
      </c>
      <c r="D665" s="109" t="s">
        <v>9773</v>
      </c>
      <c r="E665" s="323" t="s">
        <v>13495</v>
      </c>
      <c r="F665" s="236" t="s">
        <v>9451</v>
      </c>
      <c r="G665" s="115" t="s">
        <v>9324</v>
      </c>
      <c r="H665" s="115" t="s">
        <v>9323</v>
      </c>
      <c r="I665" s="7" t="s">
        <v>9373</v>
      </c>
      <c r="J665" s="110" t="s">
        <v>9374</v>
      </c>
      <c r="K665" s="7" t="s">
        <v>9353</v>
      </c>
      <c r="L665" s="109" t="s">
        <v>9451</v>
      </c>
    </row>
    <row r="666" spans="1:12" ht="14.85" customHeight="1" x14ac:dyDescent="0.25">
      <c r="A666" s="108" t="s">
        <v>13512</v>
      </c>
      <c r="B666" s="161" t="s">
        <v>9337</v>
      </c>
      <c r="C666" s="115" t="s">
        <v>9338</v>
      </c>
      <c r="D666" s="109" t="s">
        <v>9773</v>
      </c>
      <c r="E666" s="323" t="s">
        <v>13495</v>
      </c>
      <c r="F666" s="236" t="s">
        <v>9451</v>
      </c>
      <c r="G666" s="115" t="s">
        <v>9324</v>
      </c>
      <c r="H666" s="115" t="s">
        <v>9323</v>
      </c>
      <c r="I666" s="7" t="s">
        <v>9658</v>
      </c>
      <c r="J666" s="110" t="s">
        <v>9659</v>
      </c>
      <c r="K666" s="7" t="s">
        <v>9440</v>
      </c>
      <c r="L666" s="109" t="s">
        <v>9451</v>
      </c>
    </row>
    <row r="667" spans="1:12" ht="14.85" customHeight="1" x14ac:dyDescent="0.25">
      <c r="A667" s="108" t="s">
        <v>13512</v>
      </c>
      <c r="B667" s="161" t="s">
        <v>9337</v>
      </c>
      <c r="C667" s="115" t="s">
        <v>9338</v>
      </c>
      <c r="D667" s="109" t="s">
        <v>9773</v>
      </c>
      <c r="E667" s="323" t="s">
        <v>13495</v>
      </c>
      <c r="F667" s="236" t="s">
        <v>9451</v>
      </c>
      <c r="G667" s="115" t="s">
        <v>9324</v>
      </c>
      <c r="H667" s="115" t="s">
        <v>9323</v>
      </c>
      <c r="I667" s="7" t="s">
        <v>9351</v>
      </c>
      <c r="J667" s="110" t="s">
        <v>9352</v>
      </c>
      <c r="K667" s="7" t="s">
        <v>9353</v>
      </c>
      <c r="L667" s="109" t="s">
        <v>9451</v>
      </c>
    </row>
    <row r="668" spans="1:12" ht="14.85" customHeight="1" x14ac:dyDescent="0.25">
      <c r="A668" s="108" t="s">
        <v>9308</v>
      </c>
      <c r="B668" s="115" t="s">
        <v>9337</v>
      </c>
      <c r="C668" s="115" t="s">
        <v>9338</v>
      </c>
      <c r="D668" s="109" t="s">
        <v>9774</v>
      </c>
      <c r="E668" s="110" t="s">
        <v>9775</v>
      </c>
      <c r="F668" s="236" t="s">
        <v>9353</v>
      </c>
      <c r="G668" s="115" t="s">
        <v>9324</v>
      </c>
      <c r="H668" s="115" t="s">
        <v>9323</v>
      </c>
      <c r="I668" s="7" t="s">
        <v>9342</v>
      </c>
      <c r="J668" s="110" t="s">
        <v>9343</v>
      </c>
      <c r="K668" s="7" t="s">
        <v>9341</v>
      </c>
      <c r="L668" s="109" t="s">
        <v>9341</v>
      </c>
    </row>
    <row r="669" spans="1:12" ht="14.85" customHeight="1" x14ac:dyDescent="0.25">
      <c r="A669" s="108" t="s">
        <v>9308</v>
      </c>
      <c r="B669" s="115" t="s">
        <v>9337</v>
      </c>
      <c r="C669" s="115" t="s">
        <v>9338</v>
      </c>
      <c r="D669" s="109" t="s">
        <v>9774</v>
      </c>
      <c r="E669" s="110" t="s">
        <v>9775</v>
      </c>
      <c r="F669" s="236" t="s">
        <v>9353</v>
      </c>
      <c r="G669" s="115" t="s">
        <v>9324</v>
      </c>
      <c r="H669" s="115" t="s">
        <v>9323</v>
      </c>
      <c r="I669" s="7" t="s">
        <v>9368</v>
      </c>
      <c r="J669" s="110" t="s">
        <v>9365</v>
      </c>
      <c r="K669" s="7" t="s">
        <v>9353</v>
      </c>
      <c r="L669" s="109" t="s">
        <v>9353</v>
      </c>
    </row>
    <row r="670" spans="1:12" ht="14.85" customHeight="1" x14ac:dyDescent="0.25">
      <c r="A670" s="108" t="s">
        <v>9308</v>
      </c>
      <c r="B670" s="115" t="s">
        <v>9337</v>
      </c>
      <c r="C670" s="115" t="s">
        <v>9338</v>
      </c>
      <c r="D670" s="109" t="s">
        <v>9774</v>
      </c>
      <c r="E670" s="110" t="s">
        <v>9775</v>
      </c>
      <c r="F670" s="236" t="s">
        <v>9353</v>
      </c>
      <c r="G670" s="115" t="s">
        <v>9324</v>
      </c>
      <c r="H670" s="115" t="s">
        <v>9323</v>
      </c>
      <c r="I670" s="7" t="s">
        <v>9379</v>
      </c>
      <c r="J670" s="110" t="s">
        <v>9380</v>
      </c>
      <c r="K670" s="7" t="s">
        <v>9353</v>
      </c>
      <c r="L670" s="109" t="s">
        <v>9353</v>
      </c>
    </row>
    <row r="671" spans="1:12" ht="14.85" customHeight="1" x14ac:dyDescent="0.25">
      <c r="A671" s="108" t="s">
        <v>9308</v>
      </c>
      <c r="B671" s="115" t="s">
        <v>9337</v>
      </c>
      <c r="C671" s="115" t="s">
        <v>9338</v>
      </c>
      <c r="D671" s="109" t="s">
        <v>9774</v>
      </c>
      <c r="E671" s="110" t="s">
        <v>9775</v>
      </c>
      <c r="F671" s="236" t="s">
        <v>9353</v>
      </c>
      <c r="G671" s="115" t="s">
        <v>9324</v>
      </c>
      <c r="H671" s="115" t="s">
        <v>9323</v>
      </c>
      <c r="I671" s="7" t="s">
        <v>9351</v>
      </c>
      <c r="J671" s="110" t="s">
        <v>9352</v>
      </c>
      <c r="K671" s="7" t="s">
        <v>9353</v>
      </c>
      <c r="L671" s="109" t="s">
        <v>9353</v>
      </c>
    </row>
    <row r="672" spans="1:12" ht="14.85" customHeight="1" x14ac:dyDescent="0.25">
      <c r="A672" s="108" t="s">
        <v>9308</v>
      </c>
      <c r="B672" s="115" t="s">
        <v>9337</v>
      </c>
      <c r="C672" s="115" t="s">
        <v>9338</v>
      </c>
      <c r="D672" s="109" t="s">
        <v>9776</v>
      </c>
      <c r="E672" s="110" t="s">
        <v>9777</v>
      </c>
      <c r="F672" s="236" t="s">
        <v>9467</v>
      </c>
      <c r="G672" s="115" t="s">
        <v>9324</v>
      </c>
      <c r="H672" s="115" t="s">
        <v>9323</v>
      </c>
      <c r="I672" s="7" t="s">
        <v>9650</v>
      </c>
      <c r="J672" s="110" t="s">
        <v>9651</v>
      </c>
      <c r="K672" s="7" t="s">
        <v>9440</v>
      </c>
      <c r="L672" s="109" t="s">
        <v>9440</v>
      </c>
    </row>
    <row r="673" spans="1:12" ht="14.85" customHeight="1" x14ac:dyDescent="0.25">
      <c r="A673" s="108" t="s">
        <v>9308</v>
      </c>
      <c r="B673" s="115" t="s">
        <v>9337</v>
      </c>
      <c r="C673" s="115" t="s">
        <v>9338</v>
      </c>
      <c r="D673" s="109" t="s">
        <v>9776</v>
      </c>
      <c r="E673" s="110" t="s">
        <v>9777</v>
      </c>
      <c r="F673" s="236" t="s">
        <v>9467</v>
      </c>
      <c r="G673" s="115" t="s">
        <v>9324</v>
      </c>
      <c r="H673" s="115" t="s">
        <v>9323</v>
      </c>
      <c r="I673" s="7" t="s">
        <v>9368</v>
      </c>
      <c r="J673" s="110" t="s">
        <v>9365</v>
      </c>
      <c r="K673" s="7" t="s">
        <v>9353</v>
      </c>
      <c r="L673" s="109" t="s">
        <v>9467</v>
      </c>
    </row>
    <row r="674" spans="1:12" ht="14.85" customHeight="1" x14ac:dyDescent="0.25">
      <c r="A674" s="108" t="s">
        <v>9308</v>
      </c>
      <c r="B674" s="115" t="s">
        <v>9337</v>
      </c>
      <c r="C674" s="115" t="s">
        <v>9338</v>
      </c>
      <c r="D674" s="109" t="s">
        <v>9776</v>
      </c>
      <c r="E674" s="110" t="s">
        <v>9777</v>
      </c>
      <c r="F674" s="236" t="s">
        <v>9467</v>
      </c>
      <c r="G674" s="115" t="s">
        <v>9324</v>
      </c>
      <c r="H674" s="115" t="s">
        <v>9323</v>
      </c>
      <c r="I674" s="7" t="s">
        <v>9379</v>
      </c>
      <c r="J674" s="110" t="s">
        <v>9380</v>
      </c>
      <c r="K674" s="7" t="s">
        <v>9353</v>
      </c>
      <c r="L674" s="109" t="s">
        <v>9467</v>
      </c>
    </row>
    <row r="675" spans="1:12" ht="14.85" customHeight="1" x14ac:dyDescent="0.25">
      <c r="A675" s="108" t="s">
        <v>9308</v>
      </c>
      <c r="B675" s="115" t="s">
        <v>9337</v>
      </c>
      <c r="C675" s="115" t="s">
        <v>9338</v>
      </c>
      <c r="D675" s="109" t="s">
        <v>9776</v>
      </c>
      <c r="E675" s="110" t="s">
        <v>9777</v>
      </c>
      <c r="F675" s="236" t="s">
        <v>9467</v>
      </c>
      <c r="G675" s="115" t="s">
        <v>9324</v>
      </c>
      <c r="H675" s="115" t="s">
        <v>9323</v>
      </c>
      <c r="I675" s="7" t="s">
        <v>9351</v>
      </c>
      <c r="J675" s="110" t="s">
        <v>9352</v>
      </c>
      <c r="K675" s="7" t="s">
        <v>9353</v>
      </c>
      <c r="L675" s="109" t="s">
        <v>9467</v>
      </c>
    </row>
    <row r="676" spans="1:12" ht="14.85" customHeight="1" x14ac:dyDescent="0.25">
      <c r="A676" s="108" t="s">
        <v>9308</v>
      </c>
      <c r="B676" s="115" t="s">
        <v>9337</v>
      </c>
      <c r="C676" s="115" t="s">
        <v>9338</v>
      </c>
      <c r="D676" s="109" t="s">
        <v>9776</v>
      </c>
      <c r="E676" s="110" t="s">
        <v>9777</v>
      </c>
      <c r="F676" s="236" t="s">
        <v>9467</v>
      </c>
      <c r="G676" s="115" t="s">
        <v>9324</v>
      </c>
      <c r="H676" s="115" t="s">
        <v>9323</v>
      </c>
      <c r="I676" s="7" t="s">
        <v>9751</v>
      </c>
      <c r="J676" s="110" t="s">
        <v>9752</v>
      </c>
      <c r="K676" s="7" t="s">
        <v>9443</v>
      </c>
      <c r="L676" s="109" t="s">
        <v>9443</v>
      </c>
    </row>
    <row r="677" spans="1:12" ht="14.85" customHeight="1" x14ac:dyDescent="0.25">
      <c r="A677" s="108" t="s">
        <v>9308</v>
      </c>
      <c r="B677" s="115" t="s">
        <v>9337</v>
      </c>
      <c r="C677" s="115" t="s">
        <v>9338</v>
      </c>
      <c r="D677" s="109" t="s">
        <v>9778</v>
      </c>
      <c r="E677" s="110" t="s">
        <v>9779</v>
      </c>
      <c r="F677" s="236" t="s">
        <v>9353</v>
      </c>
      <c r="G677" s="115" t="s">
        <v>9324</v>
      </c>
      <c r="H677" s="115" t="s">
        <v>9323</v>
      </c>
      <c r="I677" s="7" t="s">
        <v>9342</v>
      </c>
      <c r="J677" s="110" t="s">
        <v>9343</v>
      </c>
      <c r="K677" s="7" t="s">
        <v>9341</v>
      </c>
      <c r="L677" s="109" t="s">
        <v>9341</v>
      </c>
    </row>
    <row r="678" spans="1:12" ht="14.85" customHeight="1" x14ac:dyDescent="0.25">
      <c r="A678" s="108" t="s">
        <v>9308</v>
      </c>
      <c r="B678" s="115" t="s">
        <v>9337</v>
      </c>
      <c r="C678" s="115" t="s">
        <v>9338</v>
      </c>
      <c r="D678" s="109" t="s">
        <v>9778</v>
      </c>
      <c r="E678" s="110" t="s">
        <v>9779</v>
      </c>
      <c r="F678" s="236" t="s">
        <v>9353</v>
      </c>
      <c r="G678" s="115" t="s">
        <v>9324</v>
      </c>
      <c r="H678" s="115" t="s">
        <v>9323</v>
      </c>
      <c r="I678" s="7" t="s">
        <v>9780</v>
      </c>
      <c r="J678" s="110" t="s">
        <v>9781</v>
      </c>
      <c r="K678" s="7" t="s">
        <v>9782</v>
      </c>
      <c r="L678" s="109" t="s">
        <v>9353</v>
      </c>
    </row>
    <row r="679" spans="1:12" ht="14.85" customHeight="1" x14ac:dyDescent="0.25">
      <c r="A679" s="108" t="s">
        <v>9308</v>
      </c>
      <c r="B679" s="115" t="s">
        <v>9337</v>
      </c>
      <c r="C679" s="115" t="s">
        <v>9338</v>
      </c>
      <c r="D679" s="109" t="s">
        <v>9778</v>
      </c>
      <c r="E679" s="110" t="s">
        <v>9779</v>
      </c>
      <c r="F679" s="236" t="s">
        <v>9353</v>
      </c>
      <c r="G679" s="115" t="s">
        <v>9324</v>
      </c>
      <c r="H679" s="115" t="s">
        <v>9323</v>
      </c>
      <c r="I679" s="7" t="s">
        <v>9366</v>
      </c>
      <c r="J679" s="110" t="s">
        <v>9367</v>
      </c>
      <c r="K679" s="7" t="s">
        <v>9353</v>
      </c>
      <c r="L679" s="109" t="s">
        <v>9353</v>
      </c>
    </row>
    <row r="680" spans="1:12" ht="14.85" customHeight="1" x14ac:dyDescent="0.25">
      <c r="A680" s="108" t="s">
        <v>9308</v>
      </c>
      <c r="B680" s="115" t="s">
        <v>9337</v>
      </c>
      <c r="C680" s="115" t="s">
        <v>9338</v>
      </c>
      <c r="D680" s="109" t="s">
        <v>9778</v>
      </c>
      <c r="E680" s="110" t="s">
        <v>9779</v>
      </c>
      <c r="F680" s="236" t="s">
        <v>9353</v>
      </c>
      <c r="G680" s="115" t="s">
        <v>9324</v>
      </c>
      <c r="H680" s="115" t="s">
        <v>9323</v>
      </c>
      <c r="I680" s="7" t="s">
        <v>9351</v>
      </c>
      <c r="J680" s="110" t="s">
        <v>9352</v>
      </c>
      <c r="K680" s="7" t="s">
        <v>9353</v>
      </c>
      <c r="L680" s="109" t="s">
        <v>9353</v>
      </c>
    </row>
    <row r="681" spans="1:12" ht="14.85" customHeight="1" x14ac:dyDescent="0.25">
      <c r="A681" s="108" t="s">
        <v>9308</v>
      </c>
      <c r="B681" s="115" t="s">
        <v>9337</v>
      </c>
      <c r="C681" s="115" t="s">
        <v>9338</v>
      </c>
      <c r="D681" s="109" t="s">
        <v>9783</v>
      </c>
      <c r="E681" s="110" t="s">
        <v>9784</v>
      </c>
      <c r="F681" s="236" t="s">
        <v>9467</v>
      </c>
      <c r="G681" s="115" t="s">
        <v>9324</v>
      </c>
      <c r="H681" s="115" t="s">
        <v>9323</v>
      </c>
      <c r="I681" s="7" t="s">
        <v>9780</v>
      </c>
      <c r="J681" s="110" t="s">
        <v>9781</v>
      </c>
      <c r="K681" s="7" t="s">
        <v>9782</v>
      </c>
      <c r="L681" s="109" t="s">
        <v>9467</v>
      </c>
    </row>
    <row r="682" spans="1:12" ht="14.85" customHeight="1" x14ac:dyDescent="0.25">
      <c r="A682" s="108" t="s">
        <v>9308</v>
      </c>
      <c r="B682" s="115" t="s">
        <v>9337</v>
      </c>
      <c r="C682" s="115" t="s">
        <v>9338</v>
      </c>
      <c r="D682" s="109" t="s">
        <v>9783</v>
      </c>
      <c r="E682" s="110" t="s">
        <v>9784</v>
      </c>
      <c r="F682" s="236" t="s">
        <v>9467</v>
      </c>
      <c r="G682" s="115" t="s">
        <v>9324</v>
      </c>
      <c r="H682" s="115" t="s">
        <v>9323</v>
      </c>
      <c r="I682" s="7" t="s">
        <v>9366</v>
      </c>
      <c r="J682" s="110" t="s">
        <v>9367</v>
      </c>
      <c r="K682" s="7" t="s">
        <v>9353</v>
      </c>
      <c r="L682" s="109" t="s">
        <v>9467</v>
      </c>
    </row>
    <row r="683" spans="1:12" ht="14.85" customHeight="1" x14ac:dyDescent="0.25">
      <c r="A683" s="108" t="s">
        <v>9308</v>
      </c>
      <c r="B683" s="115" t="s">
        <v>9337</v>
      </c>
      <c r="C683" s="115" t="s">
        <v>9338</v>
      </c>
      <c r="D683" s="109" t="s">
        <v>9783</v>
      </c>
      <c r="E683" s="110" t="s">
        <v>9784</v>
      </c>
      <c r="F683" s="236" t="s">
        <v>9467</v>
      </c>
      <c r="G683" s="115" t="s">
        <v>9324</v>
      </c>
      <c r="H683" s="115" t="s">
        <v>9323</v>
      </c>
      <c r="I683" s="7" t="s">
        <v>9652</v>
      </c>
      <c r="J683" s="110" t="s">
        <v>9653</v>
      </c>
      <c r="K683" s="7" t="s">
        <v>9440</v>
      </c>
      <c r="L683" s="109" t="s">
        <v>9440</v>
      </c>
    </row>
    <row r="684" spans="1:12" ht="14.85" customHeight="1" x14ac:dyDescent="0.25">
      <c r="A684" s="108" t="s">
        <v>9308</v>
      </c>
      <c r="B684" s="115" t="s">
        <v>9337</v>
      </c>
      <c r="C684" s="115" t="s">
        <v>9338</v>
      </c>
      <c r="D684" s="109" t="s">
        <v>9783</v>
      </c>
      <c r="E684" s="110" t="s">
        <v>9784</v>
      </c>
      <c r="F684" s="236" t="s">
        <v>9467</v>
      </c>
      <c r="G684" s="115" t="s">
        <v>9324</v>
      </c>
      <c r="H684" s="115" t="s">
        <v>9323</v>
      </c>
      <c r="I684" s="7" t="s">
        <v>9351</v>
      </c>
      <c r="J684" s="110" t="s">
        <v>9352</v>
      </c>
      <c r="K684" s="7" t="s">
        <v>9353</v>
      </c>
      <c r="L684" s="109" t="s">
        <v>9467</v>
      </c>
    </row>
    <row r="685" spans="1:12" ht="14.85" customHeight="1" x14ac:dyDescent="0.25">
      <c r="A685" s="108" t="s">
        <v>9308</v>
      </c>
      <c r="B685" s="115" t="s">
        <v>9337</v>
      </c>
      <c r="C685" s="115" t="s">
        <v>9338</v>
      </c>
      <c r="D685" s="109" t="s">
        <v>9783</v>
      </c>
      <c r="E685" s="110" t="s">
        <v>9784</v>
      </c>
      <c r="F685" s="236" t="s">
        <v>9467</v>
      </c>
      <c r="G685" s="115" t="s">
        <v>9324</v>
      </c>
      <c r="H685" s="115" t="s">
        <v>9323</v>
      </c>
      <c r="I685" s="7" t="s">
        <v>9785</v>
      </c>
      <c r="J685" s="110" t="s">
        <v>9786</v>
      </c>
      <c r="K685" s="7" t="s">
        <v>9443</v>
      </c>
      <c r="L685" s="109" t="s">
        <v>9443</v>
      </c>
    </row>
    <row r="686" spans="1:12" ht="14.85" customHeight="1" x14ac:dyDescent="0.25">
      <c r="A686" s="108" t="s">
        <v>9308</v>
      </c>
      <c r="B686" s="115" t="s">
        <v>9337</v>
      </c>
      <c r="C686" s="115" t="s">
        <v>9338</v>
      </c>
      <c r="D686" s="109" t="s">
        <v>9787</v>
      </c>
      <c r="E686" s="110" t="s">
        <v>9788</v>
      </c>
      <c r="F686" s="236" t="s">
        <v>9467</v>
      </c>
      <c r="G686" s="115" t="s">
        <v>9324</v>
      </c>
      <c r="H686" s="115" t="s">
        <v>9323</v>
      </c>
      <c r="I686" s="7" t="s">
        <v>9650</v>
      </c>
      <c r="J686" s="110" t="s">
        <v>9651</v>
      </c>
      <c r="K686" s="7" t="s">
        <v>9440</v>
      </c>
      <c r="L686" s="109" t="s">
        <v>9440</v>
      </c>
    </row>
    <row r="687" spans="1:12" ht="14.85" customHeight="1" x14ac:dyDescent="0.25">
      <c r="A687" s="108" t="s">
        <v>9308</v>
      </c>
      <c r="B687" s="115" t="s">
        <v>9337</v>
      </c>
      <c r="C687" s="115" t="s">
        <v>9338</v>
      </c>
      <c r="D687" s="109" t="s">
        <v>9787</v>
      </c>
      <c r="E687" s="110" t="s">
        <v>9788</v>
      </c>
      <c r="F687" s="236" t="s">
        <v>9467</v>
      </c>
      <c r="G687" s="115" t="s">
        <v>9324</v>
      </c>
      <c r="H687" s="115" t="s">
        <v>9323</v>
      </c>
      <c r="I687" s="7" t="s">
        <v>9366</v>
      </c>
      <c r="J687" s="110" t="s">
        <v>9367</v>
      </c>
      <c r="K687" s="7" t="s">
        <v>9353</v>
      </c>
      <c r="L687" s="109" t="s">
        <v>9467</v>
      </c>
    </row>
    <row r="688" spans="1:12" ht="14.85" customHeight="1" x14ac:dyDescent="0.25">
      <c r="A688" s="108" t="s">
        <v>9308</v>
      </c>
      <c r="B688" s="115" t="s">
        <v>9337</v>
      </c>
      <c r="C688" s="115" t="s">
        <v>9338</v>
      </c>
      <c r="D688" s="109" t="s">
        <v>9787</v>
      </c>
      <c r="E688" s="110" t="s">
        <v>9788</v>
      </c>
      <c r="F688" s="236" t="s">
        <v>9467</v>
      </c>
      <c r="G688" s="115" t="s">
        <v>9324</v>
      </c>
      <c r="H688" s="115" t="s">
        <v>9323</v>
      </c>
      <c r="I688" s="7" t="s">
        <v>9652</v>
      </c>
      <c r="J688" s="110" t="s">
        <v>9653</v>
      </c>
      <c r="K688" s="7" t="s">
        <v>9440</v>
      </c>
      <c r="L688" s="109" t="s">
        <v>9440</v>
      </c>
    </row>
    <row r="689" spans="1:12" ht="14.85" customHeight="1" x14ac:dyDescent="0.25">
      <c r="A689" s="108" t="s">
        <v>9308</v>
      </c>
      <c r="B689" s="115" t="s">
        <v>9337</v>
      </c>
      <c r="C689" s="115" t="s">
        <v>9338</v>
      </c>
      <c r="D689" s="109" t="s">
        <v>9787</v>
      </c>
      <c r="E689" s="110" t="s">
        <v>9788</v>
      </c>
      <c r="F689" s="236" t="s">
        <v>9467</v>
      </c>
      <c r="G689" s="115" t="s">
        <v>9324</v>
      </c>
      <c r="H689" s="115" t="s">
        <v>9323</v>
      </c>
      <c r="I689" s="7" t="s">
        <v>9368</v>
      </c>
      <c r="J689" s="110" t="s">
        <v>9365</v>
      </c>
      <c r="K689" s="7" t="s">
        <v>9353</v>
      </c>
      <c r="L689" s="109" t="s">
        <v>9467</v>
      </c>
    </row>
    <row r="690" spans="1:12" ht="14.85" customHeight="1" x14ac:dyDescent="0.25">
      <c r="A690" s="108" t="s">
        <v>9308</v>
      </c>
      <c r="B690" s="115" t="s">
        <v>9337</v>
      </c>
      <c r="C690" s="115" t="s">
        <v>9338</v>
      </c>
      <c r="D690" s="109" t="s">
        <v>9787</v>
      </c>
      <c r="E690" s="110" t="s">
        <v>9788</v>
      </c>
      <c r="F690" s="236" t="s">
        <v>9467</v>
      </c>
      <c r="G690" s="115" t="s">
        <v>9324</v>
      </c>
      <c r="H690" s="115" t="s">
        <v>9323</v>
      </c>
      <c r="I690" s="7" t="s">
        <v>9369</v>
      </c>
      <c r="J690" s="110" t="s">
        <v>9370</v>
      </c>
      <c r="K690" s="7" t="s">
        <v>9353</v>
      </c>
      <c r="L690" s="109" t="s">
        <v>9467</v>
      </c>
    </row>
    <row r="691" spans="1:12" ht="14.85" customHeight="1" x14ac:dyDescent="0.25">
      <c r="A691" s="108" t="s">
        <v>9308</v>
      </c>
      <c r="B691" s="115" t="s">
        <v>9337</v>
      </c>
      <c r="C691" s="115" t="s">
        <v>9338</v>
      </c>
      <c r="D691" s="109" t="s">
        <v>9787</v>
      </c>
      <c r="E691" s="110" t="s">
        <v>9788</v>
      </c>
      <c r="F691" s="236" t="s">
        <v>9467</v>
      </c>
      <c r="G691" s="115" t="s">
        <v>9324</v>
      </c>
      <c r="H691" s="115" t="s">
        <v>9323</v>
      </c>
      <c r="I691" s="7" t="s">
        <v>9371</v>
      </c>
      <c r="J691" s="110" t="s">
        <v>9372</v>
      </c>
      <c r="K691" s="7" t="s">
        <v>9353</v>
      </c>
      <c r="L691" s="109" t="s">
        <v>9467</v>
      </c>
    </row>
    <row r="692" spans="1:12" ht="14.85" customHeight="1" x14ac:dyDescent="0.25">
      <c r="A692" s="108" t="s">
        <v>9308</v>
      </c>
      <c r="B692" s="115" t="s">
        <v>9337</v>
      </c>
      <c r="C692" s="115" t="s">
        <v>9338</v>
      </c>
      <c r="D692" s="109" t="s">
        <v>9787</v>
      </c>
      <c r="E692" s="110" t="s">
        <v>9788</v>
      </c>
      <c r="F692" s="236" t="s">
        <v>9467</v>
      </c>
      <c r="G692" s="115" t="s">
        <v>9324</v>
      </c>
      <c r="H692" s="115" t="s">
        <v>9323</v>
      </c>
      <c r="I692" s="7" t="s">
        <v>9373</v>
      </c>
      <c r="J692" s="110" t="s">
        <v>9374</v>
      </c>
      <c r="K692" s="7" t="s">
        <v>9353</v>
      </c>
      <c r="L692" s="109" t="s">
        <v>9467</v>
      </c>
    </row>
    <row r="693" spans="1:12" ht="14.85" customHeight="1" x14ac:dyDescent="0.25">
      <c r="A693" s="108" t="s">
        <v>9308</v>
      </c>
      <c r="B693" s="115" t="s">
        <v>9337</v>
      </c>
      <c r="C693" s="115" t="s">
        <v>9338</v>
      </c>
      <c r="D693" s="109" t="s">
        <v>9787</v>
      </c>
      <c r="E693" s="110" t="s">
        <v>9788</v>
      </c>
      <c r="F693" s="236" t="s">
        <v>9467</v>
      </c>
      <c r="G693" s="115" t="s">
        <v>9324</v>
      </c>
      <c r="H693" s="115" t="s">
        <v>9323</v>
      </c>
      <c r="I693" s="7" t="s">
        <v>9375</v>
      </c>
      <c r="J693" s="110" t="s">
        <v>9376</v>
      </c>
      <c r="K693" s="7" t="s">
        <v>9353</v>
      </c>
      <c r="L693" s="109" t="s">
        <v>9467</v>
      </c>
    </row>
    <row r="694" spans="1:12" ht="14.85" customHeight="1" x14ac:dyDescent="0.25">
      <c r="A694" s="108" t="s">
        <v>9308</v>
      </c>
      <c r="B694" s="115" t="s">
        <v>9337</v>
      </c>
      <c r="C694" s="115" t="s">
        <v>9338</v>
      </c>
      <c r="D694" s="109" t="s">
        <v>9787</v>
      </c>
      <c r="E694" s="110" t="s">
        <v>9788</v>
      </c>
      <c r="F694" s="236" t="s">
        <v>9467</v>
      </c>
      <c r="G694" s="115" t="s">
        <v>9324</v>
      </c>
      <c r="H694" s="115" t="s">
        <v>9323</v>
      </c>
      <c r="I694" s="7" t="s">
        <v>9377</v>
      </c>
      <c r="J694" s="110" t="s">
        <v>9378</v>
      </c>
      <c r="K694" s="7" t="s">
        <v>9353</v>
      </c>
      <c r="L694" s="109" t="s">
        <v>9467</v>
      </c>
    </row>
    <row r="695" spans="1:12" ht="14.85" customHeight="1" x14ac:dyDescent="0.25">
      <c r="A695" s="108" t="s">
        <v>9308</v>
      </c>
      <c r="B695" s="115" t="s">
        <v>9337</v>
      </c>
      <c r="C695" s="115" t="s">
        <v>9338</v>
      </c>
      <c r="D695" s="109" t="s">
        <v>9787</v>
      </c>
      <c r="E695" s="110" t="s">
        <v>9788</v>
      </c>
      <c r="F695" s="236" t="s">
        <v>9467</v>
      </c>
      <c r="G695" s="115" t="s">
        <v>9324</v>
      </c>
      <c r="H695" s="115" t="s">
        <v>9323</v>
      </c>
      <c r="I695" s="7" t="s">
        <v>9654</v>
      </c>
      <c r="J695" s="110" t="s">
        <v>9655</v>
      </c>
      <c r="K695" s="7" t="s">
        <v>9440</v>
      </c>
      <c r="L695" s="109" t="s">
        <v>9440</v>
      </c>
    </row>
    <row r="696" spans="1:12" ht="14.85" customHeight="1" x14ac:dyDescent="0.25">
      <c r="A696" s="108" t="s">
        <v>9308</v>
      </c>
      <c r="B696" s="115" t="s">
        <v>9337</v>
      </c>
      <c r="C696" s="115" t="s">
        <v>9338</v>
      </c>
      <c r="D696" s="109" t="s">
        <v>9787</v>
      </c>
      <c r="E696" s="110" t="s">
        <v>9788</v>
      </c>
      <c r="F696" s="236" t="s">
        <v>9467</v>
      </c>
      <c r="G696" s="115" t="s">
        <v>9324</v>
      </c>
      <c r="H696" s="115" t="s">
        <v>9323</v>
      </c>
      <c r="I696" s="7" t="s">
        <v>9656</v>
      </c>
      <c r="J696" s="110" t="s">
        <v>9657</v>
      </c>
      <c r="K696" s="7" t="s">
        <v>9440</v>
      </c>
      <c r="L696" s="109" t="s">
        <v>9440</v>
      </c>
    </row>
    <row r="697" spans="1:12" ht="14.85" customHeight="1" x14ac:dyDescent="0.25">
      <c r="A697" s="108" t="s">
        <v>9308</v>
      </c>
      <c r="B697" s="115" t="s">
        <v>9337</v>
      </c>
      <c r="C697" s="115" t="s">
        <v>9338</v>
      </c>
      <c r="D697" s="109" t="s">
        <v>9787</v>
      </c>
      <c r="E697" s="110" t="s">
        <v>9788</v>
      </c>
      <c r="F697" s="236" t="s">
        <v>9467</v>
      </c>
      <c r="G697" s="115" t="s">
        <v>9324</v>
      </c>
      <c r="H697" s="115" t="s">
        <v>9323</v>
      </c>
      <c r="I697" s="7" t="s">
        <v>9658</v>
      </c>
      <c r="J697" s="110" t="s">
        <v>9659</v>
      </c>
      <c r="K697" s="7" t="s">
        <v>9440</v>
      </c>
      <c r="L697" s="109" t="s">
        <v>9440</v>
      </c>
    </row>
    <row r="698" spans="1:12" ht="14.85" customHeight="1" x14ac:dyDescent="0.25">
      <c r="A698" s="108" t="s">
        <v>9308</v>
      </c>
      <c r="B698" s="115" t="s">
        <v>9337</v>
      </c>
      <c r="C698" s="115" t="s">
        <v>9338</v>
      </c>
      <c r="D698" s="109" t="s">
        <v>9787</v>
      </c>
      <c r="E698" s="110" t="s">
        <v>9788</v>
      </c>
      <c r="F698" s="236" t="s">
        <v>9467</v>
      </c>
      <c r="G698" s="115" t="s">
        <v>9324</v>
      </c>
      <c r="H698" s="115" t="s">
        <v>9323</v>
      </c>
      <c r="I698" s="7" t="s">
        <v>9379</v>
      </c>
      <c r="J698" s="110" t="s">
        <v>9380</v>
      </c>
      <c r="K698" s="7" t="s">
        <v>9353</v>
      </c>
      <c r="L698" s="109" t="s">
        <v>9467</v>
      </c>
    </row>
    <row r="699" spans="1:12" ht="14.85" customHeight="1" x14ac:dyDescent="0.25">
      <c r="A699" s="108" t="s">
        <v>9308</v>
      </c>
      <c r="B699" s="115" t="s">
        <v>9337</v>
      </c>
      <c r="C699" s="115" t="s">
        <v>9338</v>
      </c>
      <c r="D699" s="109" t="s">
        <v>9787</v>
      </c>
      <c r="E699" s="110" t="s">
        <v>9788</v>
      </c>
      <c r="F699" s="236" t="s">
        <v>9467</v>
      </c>
      <c r="G699" s="115" t="s">
        <v>9324</v>
      </c>
      <c r="H699" s="115" t="s">
        <v>9323</v>
      </c>
      <c r="I699" s="7" t="s">
        <v>9660</v>
      </c>
      <c r="J699" s="110" t="s">
        <v>9661</v>
      </c>
      <c r="K699" s="7" t="s">
        <v>9440</v>
      </c>
      <c r="L699" s="109" t="s">
        <v>9440</v>
      </c>
    </row>
    <row r="700" spans="1:12" ht="14.85" customHeight="1" x14ac:dyDescent="0.25">
      <c r="A700" s="108" t="s">
        <v>9308</v>
      </c>
      <c r="B700" s="115" t="s">
        <v>9337</v>
      </c>
      <c r="C700" s="115" t="s">
        <v>9338</v>
      </c>
      <c r="D700" s="109" t="s">
        <v>9787</v>
      </c>
      <c r="E700" s="110" t="s">
        <v>9788</v>
      </c>
      <c r="F700" s="236" t="s">
        <v>9467</v>
      </c>
      <c r="G700" s="115" t="s">
        <v>9324</v>
      </c>
      <c r="H700" s="115" t="s">
        <v>9323</v>
      </c>
      <c r="I700" s="7" t="s">
        <v>9662</v>
      </c>
      <c r="J700" s="110" t="s">
        <v>9663</v>
      </c>
      <c r="K700" s="7" t="s">
        <v>9440</v>
      </c>
      <c r="L700" s="109" t="s">
        <v>9440</v>
      </c>
    </row>
    <row r="701" spans="1:12" ht="14.85" customHeight="1" x14ac:dyDescent="0.25">
      <c r="A701" s="108" t="s">
        <v>9308</v>
      </c>
      <c r="B701" s="115" t="s">
        <v>9337</v>
      </c>
      <c r="C701" s="115" t="s">
        <v>9338</v>
      </c>
      <c r="D701" s="109" t="s">
        <v>9787</v>
      </c>
      <c r="E701" s="110" t="s">
        <v>9788</v>
      </c>
      <c r="F701" s="236" t="s">
        <v>9467</v>
      </c>
      <c r="G701" s="115" t="s">
        <v>9324</v>
      </c>
      <c r="H701" s="115" t="s">
        <v>9323</v>
      </c>
      <c r="I701" s="7" t="s">
        <v>9381</v>
      </c>
      <c r="J701" s="110" t="s">
        <v>9382</v>
      </c>
      <c r="K701" s="7" t="s">
        <v>9353</v>
      </c>
      <c r="L701" s="109" t="s">
        <v>9467</v>
      </c>
    </row>
    <row r="702" spans="1:12" ht="14.85" customHeight="1" x14ac:dyDescent="0.25">
      <c r="A702" s="108" t="s">
        <v>9308</v>
      </c>
      <c r="B702" s="115" t="s">
        <v>9337</v>
      </c>
      <c r="C702" s="115" t="s">
        <v>9338</v>
      </c>
      <c r="D702" s="109" t="s">
        <v>9787</v>
      </c>
      <c r="E702" s="110" t="s">
        <v>9788</v>
      </c>
      <c r="F702" s="236" t="s">
        <v>9467</v>
      </c>
      <c r="G702" s="115" t="s">
        <v>9324</v>
      </c>
      <c r="H702" s="115" t="s">
        <v>9323</v>
      </c>
      <c r="I702" s="7" t="s">
        <v>9664</v>
      </c>
      <c r="J702" s="110" t="s">
        <v>9665</v>
      </c>
      <c r="K702" s="7" t="s">
        <v>9440</v>
      </c>
      <c r="L702" s="109" t="s">
        <v>9440</v>
      </c>
    </row>
    <row r="703" spans="1:12" ht="14.85" customHeight="1" x14ac:dyDescent="0.25">
      <c r="A703" s="108" t="s">
        <v>9308</v>
      </c>
      <c r="B703" s="115" t="s">
        <v>9337</v>
      </c>
      <c r="C703" s="115" t="s">
        <v>9338</v>
      </c>
      <c r="D703" s="109" t="s">
        <v>9787</v>
      </c>
      <c r="E703" s="110" t="s">
        <v>9788</v>
      </c>
      <c r="F703" s="236" t="s">
        <v>9467</v>
      </c>
      <c r="G703" s="115" t="s">
        <v>9324</v>
      </c>
      <c r="H703" s="115" t="s">
        <v>9323</v>
      </c>
      <c r="I703" s="7" t="s">
        <v>9383</v>
      </c>
      <c r="J703" s="110" t="s">
        <v>9384</v>
      </c>
      <c r="K703" s="7" t="s">
        <v>9353</v>
      </c>
      <c r="L703" s="109" t="s">
        <v>9467</v>
      </c>
    </row>
    <row r="704" spans="1:12" ht="14.85" customHeight="1" x14ac:dyDescent="0.25">
      <c r="A704" s="108" t="s">
        <v>9308</v>
      </c>
      <c r="B704" s="115" t="s">
        <v>9337</v>
      </c>
      <c r="C704" s="115" t="s">
        <v>9338</v>
      </c>
      <c r="D704" s="109" t="s">
        <v>9787</v>
      </c>
      <c r="E704" s="110" t="s">
        <v>9788</v>
      </c>
      <c r="F704" s="236" t="s">
        <v>9467</v>
      </c>
      <c r="G704" s="115" t="s">
        <v>9324</v>
      </c>
      <c r="H704" s="115" t="s">
        <v>9323</v>
      </c>
      <c r="I704" s="7" t="s">
        <v>9666</v>
      </c>
      <c r="J704" s="110" t="s">
        <v>9667</v>
      </c>
      <c r="K704" s="7" t="s">
        <v>9440</v>
      </c>
      <c r="L704" s="109" t="s">
        <v>9440</v>
      </c>
    </row>
    <row r="705" spans="1:12" ht="14.85" customHeight="1" x14ac:dyDescent="0.25">
      <c r="A705" s="108" t="s">
        <v>9308</v>
      </c>
      <c r="B705" s="115" t="s">
        <v>9337</v>
      </c>
      <c r="C705" s="115" t="s">
        <v>9338</v>
      </c>
      <c r="D705" s="109" t="s">
        <v>9787</v>
      </c>
      <c r="E705" s="110" t="s">
        <v>9788</v>
      </c>
      <c r="F705" s="236" t="s">
        <v>9467</v>
      </c>
      <c r="G705" s="115" t="s">
        <v>9324</v>
      </c>
      <c r="H705" s="115" t="s">
        <v>9323</v>
      </c>
      <c r="I705" s="7" t="s">
        <v>9385</v>
      </c>
      <c r="J705" s="110" t="s">
        <v>9386</v>
      </c>
      <c r="K705" s="7" t="s">
        <v>9353</v>
      </c>
      <c r="L705" s="109" t="s">
        <v>9467</v>
      </c>
    </row>
    <row r="706" spans="1:12" ht="14.85" customHeight="1" x14ac:dyDescent="0.25">
      <c r="A706" s="108" t="s">
        <v>9308</v>
      </c>
      <c r="B706" s="115" t="s">
        <v>9337</v>
      </c>
      <c r="C706" s="115" t="s">
        <v>9338</v>
      </c>
      <c r="D706" s="109" t="s">
        <v>9787</v>
      </c>
      <c r="E706" s="110" t="s">
        <v>9788</v>
      </c>
      <c r="F706" s="236" t="s">
        <v>9467</v>
      </c>
      <c r="G706" s="115" t="s">
        <v>9324</v>
      </c>
      <c r="H706" s="115" t="s">
        <v>9323</v>
      </c>
      <c r="I706" s="7" t="s">
        <v>9387</v>
      </c>
      <c r="J706" s="110" t="s">
        <v>9388</v>
      </c>
      <c r="K706" s="7" t="s">
        <v>9353</v>
      </c>
      <c r="L706" s="109" t="s">
        <v>9467</v>
      </c>
    </row>
    <row r="707" spans="1:12" ht="14.85" customHeight="1" x14ac:dyDescent="0.25">
      <c r="A707" s="108" t="s">
        <v>9308</v>
      </c>
      <c r="B707" s="115" t="s">
        <v>9337</v>
      </c>
      <c r="C707" s="115" t="s">
        <v>9338</v>
      </c>
      <c r="D707" s="109" t="s">
        <v>9787</v>
      </c>
      <c r="E707" s="110" t="s">
        <v>9788</v>
      </c>
      <c r="F707" s="236" t="s">
        <v>9467</v>
      </c>
      <c r="G707" s="115" t="s">
        <v>9324</v>
      </c>
      <c r="H707" s="115" t="s">
        <v>9323</v>
      </c>
      <c r="I707" s="7" t="s">
        <v>9389</v>
      </c>
      <c r="J707" s="110" t="s">
        <v>9390</v>
      </c>
      <c r="K707" s="7" t="s">
        <v>9353</v>
      </c>
      <c r="L707" s="109" t="s">
        <v>9467</v>
      </c>
    </row>
    <row r="708" spans="1:12" ht="14.85" customHeight="1" x14ac:dyDescent="0.25">
      <c r="A708" s="108" t="s">
        <v>9308</v>
      </c>
      <c r="B708" s="115" t="s">
        <v>9337</v>
      </c>
      <c r="C708" s="115" t="s">
        <v>9338</v>
      </c>
      <c r="D708" s="109" t="s">
        <v>9787</v>
      </c>
      <c r="E708" s="110" t="s">
        <v>9788</v>
      </c>
      <c r="F708" s="236" t="s">
        <v>9467</v>
      </c>
      <c r="G708" s="115" t="s">
        <v>9324</v>
      </c>
      <c r="H708" s="115" t="s">
        <v>9323</v>
      </c>
      <c r="I708" s="7" t="s">
        <v>9391</v>
      </c>
      <c r="J708" s="110" t="s">
        <v>9392</v>
      </c>
      <c r="K708" s="7" t="s">
        <v>9353</v>
      </c>
      <c r="L708" s="109" t="s">
        <v>9467</v>
      </c>
    </row>
    <row r="709" spans="1:12" ht="14.85" customHeight="1" x14ac:dyDescent="0.25">
      <c r="A709" s="108" t="s">
        <v>9308</v>
      </c>
      <c r="B709" s="115" t="s">
        <v>9337</v>
      </c>
      <c r="C709" s="115" t="s">
        <v>9338</v>
      </c>
      <c r="D709" s="109" t="s">
        <v>9787</v>
      </c>
      <c r="E709" s="110" t="s">
        <v>9788</v>
      </c>
      <c r="F709" s="236" t="s">
        <v>9467</v>
      </c>
      <c r="G709" s="115" t="s">
        <v>9324</v>
      </c>
      <c r="H709" s="115" t="s">
        <v>9323</v>
      </c>
      <c r="I709" s="7" t="s">
        <v>9393</v>
      </c>
      <c r="J709" s="110" t="s">
        <v>9394</v>
      </c>
      <c r="K709" s="7" t="s">
        <v>9353</v>
      </c>
      <c r="L709" s="109" t="s">
        <v>9467</v>
      </c>
    </row>
    <row r="710" spans="1:12" ht="14.85" customHeight="1" x14ac:dyDescent="0.25">
      <c r="A710" s="108" t="s">
        <v>9308</v>
      </c>
      <c r="B710" s="115" t="s">
        <v>9337</v>
      </c>
      <c r="C710" s="115" t="s">
        <v>9338</v>
      </c>
      <c r="D710" s="109" t="s">
        <v>9787</v>
      </c>
      <c r="E710" s="110" t="s">
        <v>9788</v>
      </c>
      <c r="F710" s="236" t="s">
        <v>9467</v>
      </c>
      <c r="G710" s="115" t="s">
        <v>9324</v>
      </c>
      <c r="H710" s="115" t="s">
        <v>9323</v>
      </c>
      <c r="I710" s="7" t="s">
        <v>9395</v>
      </c>
      <c r="J710" s="110" t="s">
        <v>9396</v>
      </c>
      <c r="K710" s="7" t="s">
        <v>9353</v>
      </c>
      <c r="L710" s="109" t="s">
        <v>9467</v>
      </c>
    </row>
    <row r="711" spans="1:12" ht="14.85" customHeight="1" x14ac:dyDescent="0.25">
      <c r="A711" s="108" t="s">
        <v>9308</v>
      </c>
      <c r="B711" s="115" t="s">
        <v>9337</v>
      </c>
      <c r="C711" s="115" t="s">
        <v>9338</v>
      </c>
      <c r="D711" s="109" t="s">
        <v>9787</v>
      </c>
      <c r="E711" s="110" t="s">
        <v>9788</v>
      </c>
      <c r="F711" s="236" t="s">
        <v>9467</v>
      </c>
      <c r="G711" s="115" t="s">
        <v>9324</v>
      </c>
      <c r="H711" s="115" t="s">
        <v>9323</v>
      </c>
      <c r="I711" s="7" t="s">
        <v>9668</v>
      </c>
      <c r="J711" s="110" t="s">
        <v>9669</v>
      </c>
      <c r="K711" s="7" t="s">
        <v>9440</v>
      </c>
      <c r="L711" s="109" t="s">
        <v>9440</v>
      </c>
    </row>
    <row r="712" spans="1:12" ht="14.85" customHeight="1" x14ac:dyDescent="0.25">
      <c r="A712" s="108" t="s">
        <v>9308</v>
      </c>
      <c r="B712" s="115" t="s">
        <v>9337</v>
      </c>
      <c r="C712" s="115" t="s">
        <v>9338</v>
      </c>
      <c r="D712" s="109" t="s">
        <v>9787</v>
      </c>
      <c r="E712" s="110" t="s">
        <v>9788</v>
      </c>
      <c r="F712" s="236" t="s">
        <v>9467</v>
      </c>
      <c r="G712" s="115" t="s">
        <v>9324</v>
      </c>
      <c r="H712" s="115" t="s">
        <v>9323</v>
      </c>
      <c r="I712" s="7" t="s">
        <v>9397</v>
      </c>
      <c r="J712" s="110" t="s">
        <v>9398</v>
      </c>
      <c r="K712" s="7" t="s">
        <v>9353</v>
      </c>
      <c r="L712" s="109" t="s">
        <v>9467</v>
      </c>
    </row>
    <row r="713" spans="1:12" ht="14.85" customHeight="1" x14ac:dyDescent="0.25">
      <c r="A713" s="108" t="s">
        <v>9308</v>
      </c>
      <c r="B713" s="115" t="s">
        <v>9337</v>
      </c>
      <c r="C713" s="115" t="s">
        <v>9338</v>
      </c>
      <c r="D713" s="109" t="s">
        <v>9787</v>
      </c>
      <c r="E713" s="110" t="s">
        <v>9788</v>
      </c>
      <c r="F713" s="236" t="s">
        <v>9467</v>
      </c>
      <c r="G713" s="115" t="s">
        <v>9324</v>
      </c>
      <c r="H713" s="115" t="s">
        <v>9323</v>
      </c>
      <c r="I713" s="7" t="s">
        <v>9399</v>
      </c>
      <c r="J713" s="110" t="s">
        <v>9400</v>
      </c>
      <c r="K713" s="7" t="s">
        <v>9353</v>
      </c>
      <c r="L713" s="109" t="s">
        <v>9467</v>
      </c>
    </row>
    <row r="714" spans="1:12" ht="14.85" customHeight="1" x14ac:dyDescent="0.25">
      <c r="A714" s="108" t="s">
        <v>9308</v>
      </c>
      <c r="B714" s="115" t="s">
        <v>9337</v>
      </c>
      <c r="C714" s="115" t="s">
        <v>9338</v>
      </c>
      <c r="D714" s="109" t="s">
        <v>9787</v>
      </c>
      <c r="E714" s="110" t="s">
        <v>9788</v>
      </c>
      <c r="F714" s="236" t="s">
        <v>9467</v>
      </c>
      <c r="G714" s="115" t="s">
        <v>9324</v>
      </c>
      <c r="H714" s="115" t="s">
        <v>9323</v>
      </c>
      <c r="I714" s="7" t="s">
        <v>9351</v>
      </c>
      <c r="J714" s="110" t="s">
        <v>9352</v>
      </c>
      <c r="K714" s="7" t="s">
        <v>9353</v>
      </c>
      <c r="L714" s="109" t="s">
        <v>9467</v>
      </c>
    </row>
    <row r="715" spans="1:12" ht="14.85" customHeight="1" x14ac:dyDescent="0.25">
      <c r="A715" s="108" t="s">
        <v>9308</v>
      </c>
      <c r="B715" s="115" t="s">
        <v>9337</v>
      </c>
      <c r="C715" s="115" t="s">
        <v>9338</v>
      </c>
      <c r="D715" s="109" t="s">
        <v>9787</v>
      </c>
      <c r="E715" s="110" t="s">
        <v>9788</v>
      </c>
      <c r="F715" s="236" t="s">
        <v>9467</v>
      </c>
      <c r="G715" s="115" t="s">
        <v>9324</v>
      </c>
      <c r="H715" s="115" t="s">
        <v>9323</v>
      </c>
      <c r="I715" s="7" t="s">
        <v>9751</v>
      </c>
      <c r="J715" s="110" t="s">
        <v>9752</v>
      </c>
      <c r="K715" s="7" t="s">
        <v>9443</v>
      </c>
      <c r="L715" s="7" t="s">
        <v>9443</v>
      </c>
    </row>
    <row r="716" spans="1:12" ht="14.85" customHeight="1" x14ac:dyDescent="0.25">
      <c r="A716" s="108" t="s">
        <v>9308</v>
      </c>
      <c r="B716" s="115" t="s">
        <v>9337</v>
      </c>
      <c r="C716" s="115" t="s">
        <v>9338</v>
      </c>
      <c r="D716" s="109" t="s">
        <v>9787</v>
      </c>
      <c r="E716" s="110" t="s">
        <v>9788</v>
      </c>
      <c r="F716" s="236" t="s">
        <v>9467</v>
      </c>
      <c r="G716" s="115" t="s">
        <v>9324</v>
      </c>
      <c r="H716" s="115" t="s">
        <v>9323</v>
      </c>
      <c r="I716" s="7" t="s">
        <v>9785</v>
      </c>
      <c r="J716" s="110" t="s">
        <v>9786</v>
      </c>
      <c r="K716" s="7" t="s">
        <v>9443</v>
      </c>
      <c r="L716" s="7" t="s">
        <v>9443</v>
      </c>
    </row>
    <row r="717" spans="1:12" ht="14.85" customHeight="1" x14ac:dyDescent="0.25">
      <c r="A717" s="108" t="s">
        <v>9308</v>
      </c>
      <c r="B717" s="115" t="s">
        <v>9337</v>
      </c>
      <c r="C717" s="115" t="s">
        <v>9338</v>
      </c>
      <c r="D717" s="109" t="s">
        <v>9787</v>
      </c>
      <c r="E717" s="110" t="s">
        <v>9788</v>
      </c>
      <c r="F717" s="236" t="s">
        <v>9467</v>
      </c>
      <c r="G717" s="115" t="s">
        <v>9324</v>
      </c>
      <c r="H717" s="115" t="s">
        <v>9323</v>
      </c>
      <c r="I717" s="7" t="s">
        <v>9753</v>
      </c>
      <c r="J717" s="110" t="s">
        <v>9754</v>
      </c>
      <c r="K717" s="7" t="s">
        <v>9443</v>
      </c>
      <c r="L717" s="7" t="s">
        <v>9443</v>
      </c>
    </row>
    <row r="718" spans="1:12" ht="14.85" customHeight="1" x14ac:dyDescent="0.25">
      <c r="A718" s="108" t="s">
        <v>9308</v>
      </c>
      <c r="B718" s="115" t="s">
        <v>9337</v>
      </c>
      <c r="C718" s="115" t="s">
        <v>9338</v>
      </c>
      <c r="D718" s="109" t="s">
        <v>9787</v>
      </c>
      <c r="E718" s="110" t="s">
        <v>9788</v>
      </c>
      <c r="F718" s="236" t="s">
        <v>9467</v>
      </c>
      <c r="G718" s="115" t="s">
        <v>9324</v>
      </c>
      <c r="H718" s="115" t="s">
        <v>9323</v>
      </c>
      <c r="I718" s="7" t="s">
        <v>9771</v>
      </c>
      <c r="J718" s="110" t="s">
        <v>9772</v>
      </c>
      <c r="K718" s="7" t="s">
        <v>9443</v>
      </c>
      <c r="L718" s="7" t="s">
        <v>9443</v>
      </c>
    </row>
    <row r="719" spans="1:12" ht="14.85" customHeight="1" x14ac:dyDescent="0.25">
      <c r="A719" s="108" t="s">
        <v>9308</v>
      </c>
      <c r="B719" s="115" t="s">
        <v>9337</v>
      </c>
      <c r="C719" s="115" t="s">
        <v>9338</v>
      </c>
      <c r="D719" s="109" t="s">
        <v>9787</v>
      </c>
      <c r="E719" s="110" t="s">
        <v>9788</v>
      </c>
      <c r="F719" s="236" t="s">
        <v>9467</v>
      </c>
      <c r="G719" s="115" t="s">
        <v>9324</v>
      </c>
      <c r="H719" s="115" t="s">
        <v>9323</v>
      </c>
      <c r="I719" s="7" t="s">
        <v>9789</v>
      </c>
      <c r="J719" s="110" t="s">
        <v>9790</v>
      </c>
      <c r="K719" s="7" t="s">
        <v>9443</v>
      </c>
      <c r="L719" s="7" t="s">
        <v>9443</v>
      </c>
    </row>
    <row r="720" spans="1:12" ht="14.85" customHeight="1" x14ac:dyDescent="0.25">
      <c r="A720" s="108" t="s">
        <v>9308</v>
      </c>
      <c r="B720" s="115" t="s">
        <v>9337</v>
      </c>
      <c r="C720" s="115" t="s">
        <v>9338</v>
      </c>
      <c r="D720" s="109" t="s">
        <v>9787</v>
      </c>
      <c r="E720" s="110" t="s">
        <v>9788</v>
      </c>
      <c r="F720" s="236" t="s">
        <v>9467</v>
      </c>
      <c r="G720" s="115" t="s">
        <v>9324</v>
      </c>
      <c r="H720" s="115" t="s">
        <v>9323</v>
      </c>
      <c r="I720" s="7" t="s">
        <v>9791</v>
      </c>
      <c r="J720" s="110" t="s">
        <v>9792</v>
      </c>
      <c r="K720" s="7" t="s">
        <v>9443</v>
      </c>
      <c r="L720" s="7" t="s">
        <v>9443</v>
      </c>
    </row>
    <row r="721" spans="1:12" ht="14.85" customHeight="1" x14ac:dyDescent="0.25">
      <c r="A721" s="108" t="s">
        <v>9308</v>
      </c>
      <c r="B721" s="115" t="s">
        <v>9337</v>
      </c>
      <c r="C721" s="115" t="s">
        <v>9338</v>
      </c>
      <c r="D721" s="109" t="s">
        <v>9787</v>
      </c>
      <c r="E721" s="110" t="s">
        <v>9788</v>
      </c>
      <c r="F721" s="236" t="s">
        <v>9467</v>
      </c>
      <c r="G721" s="115" t="s">
        <v>9324</v>
      </c>
      <c r="H721" s="115" t="s">
        <v>9323</v>
      </c>
      <c r="I721" s="7" t="s">
        <v>9793</v>
      </c>
      <c r="J721" s="110" t="s">
        <v>9794</v>
      </c>
      <c r="K721" s="7" t="s">
        <v>9443</v>
      </c>
      <c r="L721" s="7" t="s">
        <v>9443</v>
      </c>
    </row>
    <row r="722" spans="1:12" ht="14.85" customHeight="1" x14ac:dyDescent="0.25">
      <c r="A722" s="108" t="s">
        <v>9308</v>
      </c>
      <c r="B722" s="115" t="s">
        <v>9337</v>
      </c>
      <c r="C722" s="115" t="s">
        <v>9338</v>
      </c>
      <c r="D722" s="109" t="s">
        <v>9787</v>
      </c>
      <c r="E722" s="110" t="s">
        <v>9788</v>
      </c>
      <c r="F722" s="236" t="s">
        <v>9467</v>
      </c>
      <c r="G722" s="115" t="s">
        <v>9324</v>
      </c>
      <c r="H722" s="115" t="s">
        <v>9323</v>
      </c>
      <c r="I722" s="7" t="s">
        <v>9795</v>
      </c>
      <c r="J722" s="110" t="s">
        <v>9796</v>
      </c>
      <c r="K722" s="7" t="s">
        <v>9443</v>
      </c>
      <c r="L722" s="7" t="s">
        <v>9443</v>
      </c>
    </row>
    <row r="723" spans="1:12" ht="14.85" customHeight="1" x14ac:dyDescent="0.25">
      <c r="A723" s="108" t="s">
        <v>9308</v>
      </c>
      <c r="B723" s="115" t="s">
        <v>9337</v>
      </c>
      <c r="C723" s="115" t="s">
        <v>9338</v>
      </c>
      <c r="D723" s="109" t="s">
        <v>9787</v>
      </c>
      <c r="E723" s="110" t="s">
        <v>9788</v>
      </c>
      <c r="F723" s="236" t="s">
        <v>9467</v>
      </c>
      <c r="G723" s="115" t="s">
        <v>9324</v>
      </c>
      <c r="H723" s="115" t="s">
        <v>9323</v>
      </c>
      <c r="I723" s="7" t="s">
        <v>9762</v>
      </c>
      <c r="J723" s="110" t="s">
        <v>9763</v>
      </c>
      <c r="K723" s="7" t="s">
        <v>9443</v>
      </c>
      <c r="L723" s="7" t="s">
        <v>9443</v>
      </c>
    </row>
    <row r="724" spans="1:12" ht="14.85" customHeight="1" x14ac:dyDescent="0.25">
      <c r="A724" s="108" t="s">
        <v>9308</v>
      </c>
      <c r="B724" s="115" t="s">
        <v>9337</v>
      </c>
      <c r="C724" s="115" t="s">
        <v>9338</v>
      </c>
      <c r="D724" s="109" t="s">
        <v>9797</v>
      </c>
      <c r="E724" s="110" t="s">
        <v>9798</v>
      </c>
      <c r="F724" s="109" t="s">
        <v>9353</v>
      </c>
      <c r="G724" s="237" t="s">
        <v>9323</v>
      </c>
      <c r="H724" s="115" t="s">
        <v>9323</v>
      </c>
      <c r="I724" s="7" t="s">
        <v>9799</v>
      </c>
      <c r="J724" s="110" t="s">
        <v>9800</v>
      </c>
      <c r="K724" s="7" t="s">
        <v>9353</v>
      </c>
    </row>
    <row r="725" spans="1:12" ht="14.85" customHeight="1" x14ac:dyDescent="0.25">
      <c r="A725" s="108" t="s">
        <v>9308</v>
      </c>
      <c r="B725" s="115" t="s">
        <v>9337</v>
      </c>
      <c r="C725" s="115" t="s">
        <v>9338</v>
      </c>
      <c r="D725" s="109" t="s">
        <v>9797</v>
      </c>
      <c r="E725" s="110" t="s">
        <v>9798</v>
      </c>
      <c r="F725" s="109" t="s">
        <v>9353</v>
      </c>
      <c r="G725" s="237" t="s">
        <v>9323</v>
      </c>
      <c r="H725" s="115" t="s">
        <v>9323</v>
      </c>
      <c r="I725" s="7" t="s">
        <v>9801</v>
      </c>
      <c r="J725" s="110" t="s">
        <v>9802</v>
      </c>
      <c r="K725" s="7" t="s">
        <v>9353</v>
      </c>
    </row>
    <row r="726" spans="1:12" ht="14.85" customHeight="1" x14ac:dyDescent="0.25">
      <c r="A726" s="108" t="s">
        <v>9308</v>
      </c>
      <c r="B726" s="115" t="s">
        <v>9337</v>
      </c>
      <c r="C726" s="115" t="s">
        <v>9338</v>
      </c>
      <c r="D726" s="109" t="s">
        <v>9797</v>
      </c>
      <c r="E726" s="110" t="s">
        <v>9798</v>
      </c>
      <c r="F726" s="109" t="s">
        <v>9353</v>
      </c>
      <c r="G726" s="237" t="s">
        <v>9323</v>
      </c>
      <c r="H726" s="115" t="s">
        <v>9323</v>
      </c>
      <c r="I726" s="7" t="s">
        <v>9803</v>
      </c>
      <c r="J726" s="110" t="s">
        <v>9804</v>
      </c>
      <c r="K726" s="7"/>
    </row>
    <row r="727" spans="1:12" ht="14.85" customHeight="1" x14ac:dyDescent="0.25">
      <c r="A727" s="108" t="s">
        <v>9308</v>
      </c>
      <c r="B727" s="115" t="s">
        <v>9337</v>
      </c>
      <c r="C727" s="115" t="s">
        <v>9338</v>
      </c>
      <c r="D727" s="109" t="s">
        <v>9797</v>
      </c>
      <c r="E727" s="110" t="s">
        <v>9798</v>
      </c>
      <c r="F727" s="236" t="s">
        <v>9353</v>
      </c>
      <c r="G727" s="237" t="s">
        <v>9323</v>
      </c>
      <c r="H727" s="115" t="s">
        <v>9323</v>
      </c>
      <c r="I727" s="7" t="s">
        <v>9351</v>
      </c>
      <c r="J727" s="110" t="s">
        <v>9352</v>
      </c>
      <c r="K727" s="7" t="s">
        <v>9353</v>
      </c>
    </row>
    <row r="728" spans="1:12" ht="14.85" customHeight="1" x14ac:dyDescent="0.25">
      <c r="A728" s="108" t="s">
        <v>9308</v>
      </c>
      <c r="B728" s="115" t="s">
        <v>9337</v>
      </c>
      <c r="C728" s="115" t="s">
        <v>9338</v>
      </c>
      <c r="D728" s="109" t="s">
        <v>9797</v>
      </c>
      <c r="E728" s="110" t="s">
        <v>9798</v>
      </c>
      <c r="F728" s="236" t="s">
        <v>9353</v>
      </c>
      <c r="G728" s="237" t="s">
        <v>9323</v>
      </c>
      <c r="H728" s="115" t="s">
        <v>9323</v>
      </c>
      <c r="I728" s="7"/>
      <c r="J728" s="108" t="s">
        <v>9612</v>
      </c>
      <c r="K728" s="7"/>
      <c r="L728" s="7"/>
    </row>
    <row r="729" spans="1:12" ht="14.85" customHeight="1" x14ac:dyDescent="0.25">
      <c r="A729" s="108" t="s">
        <v>9308</v>
      </c>
      <c r="B729" s="115" t="s">
        <v>9337</v>
      </c>
      <c r="C729" s="115" t="s">
        <v>9338</v>
      </c>
      <c r="D729" s="109" t="s">
        <v>9805</v>
      </c>
      <c r="E729" s="110" t="s">
        <v>9806</v>
      </c>
      <c r="F729" s="236" t="s">
        <v>9353</v>
      </c>
      <c r="G729" s="237" t="s">
        <v>9323</v>
      </c>
      <c r="H729" s="115" t="s">
        <v>9323</v>
      </c>
      <c r="I729" s="7"/>
      <c r="J729" s="108" t="s">
        <v>9612</v>
      </c>
      <c r="K729" s="7"/>
      <c r="L729" s="7"/>
    </row>
    <row r="730" spans="1:12" ht="14.85" customHeight="1" x14ac:dyDescent="0.25">
      <c r="A730" s="108" t="s">
        <v>9308</v>
      </c>
      <c r="B730" s="115" t="s">
        <v>9337</v>
      </c>
      <c r="C730" s="115" t="s">
        <v>9338</v>
      </c>
      <c r="D730" s="109" t="s">
        <v>9807</v>
      </c>
      <c r="E730" s="110" t="s">
        <v>10994</v>
      </c>
      <c r="F730" s="236" t="s">
        <v>9353</v>
      </c>
      <c r="G730" s="237" t="s">
        <v>9323</v>
      </c>
      <c r="H730" s="115" t="s">
        <v>9323</v>
      </c>
      <c r="I730" s="7" t="s">
        <v>9799</v>
      </c>
      <c r="J730" s="108" t="s">
        <v>9800</v>
      </c>
      <c r="K730" s="7" t="s">
        <v>9353</v>
      </c>
      <c r="L730" s="7"/>
    </row>
    <row r="731" spans="1:12" ht="14.85" customHeight="1" x14ac:dyDescent="0.25">
      <c r="A731" s="108" t="s">
        <v>9308</v>
      </c>
      <c r="B731" s="115" t="s">
        <v>9337</v>
      </c>
      <c r="C731" s="115" t="s">
        <v>9338</v>
      </c>
      <c r="D731" s="109" t="s">
        <v>9807</v>
      </c>
      <c r="E731" s="110" t="s">
        <v>10994</v>
      </c>
      <c r="F731" s="236" t="s">
        <v>9353</v>
      </c>
      <c r="G731" s="237" t="s">
        <v>9323</v>
      </c>
      <c r="H731" s="115" t="s">
        <v>9323</v>
      </c>
      <c r="I731" s="7" t="s">
        <v>9803</v>
      </c>
      <c r="J731" s="108" t="s">
        <v>9804</v>
      </c>
      <c r="K731" s="7"/>
      <c r="L731" s="7"/>
    </row>
    <row r="732" spans="1:12" ht="14.85" customHeight="1" x14ac:dyDescent="0.25">
      <c r="A732" s="108" t="s">
        <v>9308</v>
      </c>
      <c r="B732" s="115" t="s">
        <v>9337</v>
      </c>
      <c r="C732" s="115" t="s">
        <v>9338</v>
      </c>
      <c r="D732" s="109" t="s">
        <v>9807</v>
      </c>
      <c r="E732" s="110" t="s">
        <v>10994</v>
      </c>
      <c r="F732" s="236" t="s">
        <v>9353</v>
      </c>
      <c r="G732" s="237" t="s">
        <v>9323</v>
      </c>
      <c r="H732" s="115" t="s">
        <v>9323</v>
      </c>
      <c r="I732" s="7"/>
      <c r="J732" s="108" t="s">
        <v>9731</v>
      </c>
      <c r="K732" s="7"/>
      <c r="L732" s="7"/>
    </row>
    <row r="733" spans="1:12" ht="14.85" customHeight="1" x14ac:dyDescent="0.25">
      <c r="A733" s="108" t="s">
        <v>9308</v>
      </c>
      <c r="B733" s="115" t="s">
        <v>9337</v>
      </c>
      <c r="C733" s="115" t="s">
        <v>9338</v>
      </c>
      <c r="D733" s="109" t="s">
        <v>9807</v>
      </c>
      <c r="E733" s="110" t="s">
        <v>10994</v>
      </c>
      <c r="F733" s="236" t="s">
        <v>9353</v>
      </c>
      <c r="G733" s="237" t="s">
        <v>9323</v>
      </c>
      <c r="H733" s="115" t="s">
        <v>9323</v>
      </c>
      <c r="I733" s="7"/>
      <c r="J733" s="108" t="s">
        <v>9612</v>
      </c>
      <c r="K733" s="7"/>
      <c r="L733" s="7"/>
    </row>
    <row r="734" spans="1:12" ht="14.85" customHeight="1" x14ac:dyDescent="0.25">
      <c r="A734" s="108" t="s">
        <v>9308</v>
      </c>
      <c r="B734" s="115" t="s">
        <v>9337</v>
      </c>
      <c r="C734" s="115" t="s">
        <v>9338</v>
      </c>
      <c r="D734" s="109" t="s">
        <v>9808</v>
      </c>
      <c r="E734" s="110" t="s">
        <v>9809</v>
      </c>
      <c r="F734" s="236" t="s">
        <v>9353</v>
      </c>
      <c r="G734" s="237" t="s">
        <v>9323</v>
      </c>
      <c r="H734" s="115" t="s">
        <v>9323</v>
      </c>
      <c r="I734" s="7"/>
      <c r="J734" s="108" t="s">
        <v>9612</v>
      </c>
      <c r="K734" s="7"/>
      <c r="L734" s="7"/>
    </row>
    <row r="735" spans="1:12" ht="14.85" customHeight="1" x14ac:dyDescent="0.25">
      <c r="A735" s="108" t="s">
        <v>9308</v>
      </c>
      <c r="B735" s="115" t="s">
        <v>9337</v>
      </c>
      <c r="C735" s="115" t="s">
        <v>9338</v>
      </c>
      <c r="D735" s="109" t="s">
        <v>9808</v>
      </c>
      <c r="E735" s="110" t="s">
        <v>9809</v>
      </c>
      <c r="F735" s="236" t="s">
        <v>9353</v>
      </c>
      <c r="G735" s="237" t="s">
        <v>9323</v>
      </c>
      <c r="H735" s="115" t="s">
        <v>9323</v>
      </c>
      <c r="I735" s="7" t="s">
        <v>9351</v>
      </c>
      <c r="J735" s="108" t="s">
        <v>9352</v>
      </c>
      <c r="K735" s="7" t="s">
        <v>9353</v>
      </c>
      <c r="L735" s="7"/>
    </row>
    <row r="736" spans="1:12" ht="14.85" customHeight="1" x14ac:dyDescent="0.25">
      <c r="A736" s="108" t="s">
        <v>9308</v>
      </c>
      <c r="B736" s="115" t="s">
        <v>9337</v>
      </c>
      <c r="C736" s="115" t="s">
        <v>9338</v>
      </c>
      <c r="D736" s="109" t="s">
        <v>9810</v>
      </c>
      <c r="E736" s="110" t="s">
        <v>9811</v>
      </c>
      <c r="F736" s="236" t="s">
        <v>9353</v>
      </c>
      <c r="G736" s="237" t="s">
        <v>9323</v>
      </c>
      <c r="H736" s="115" t="s">
        <v>9323</v>
      </c>
      <c r="I736" s="7"/>
      <c r="J736" s="108" t="s">
        <v>9612</v>
      </c>
      <c r="K736" s="7"/>
      <c r="L736" s="7"/>
    </row>
    <row r="737" spans="1:12" ht="14.85" customHeight="1" x14ac:dyDescent="0.25">
      <c r="A737" s="108" t="s">
        <v>9308</v>
      </c>
      <c r="B737" s="115" t="s">
        <v>9337</v>
      </c>
      <c r="C737" s="115" t="s">
        <v>9338</v>
      </c>
      <c r="D737" s="109" t="s">
        <v>9812</v>
      </c>
      <c r="E737" s="110" t="s">
        <v>9813</v>
      </c>
      <c r="F737" s="236" t="s">
        <v>9353</v>
      </c>
      <c r="G737" s="237" t="s">
        <v>9323</v>
      </c>
      <c r="H737" s="115" t="s">
        <v>9323</v>
      </c>
      <c r="I737" s="7" t="s">
        <v>9418</v>
      </c>
      <c r="J737" s="108" t="s">
        <v>9419</v>
      </c>
      <c r="K737" s="7" t="s">
        <v>9353</v>
      </c>
      <c r="L737" s="7"/>
    </row>
    <row r="738" spans="1:12" ht="14.85" customHeight="1" x14ac:dyDescent="0.25">
      <c r="A738" s="108" t="s">
        <v>9308</v>
      </c>
      <c r="B738" s="115" t="s">
        <v>9337</v>
      </c>
      <c r="C738" s="115" t="s">
        <v>9338</v>
      </c>
      <c r="D738" s="109" t="s">
        <v>9814</v>
      </c>
      <c r="E738" s="110" t="s">
        <v>9815</v>
      </c>
      <c r="F738" s="236" t="s">
        <v>9353</v>
      </c>
      <c r="G738" s="237" t="s">
        <v>9323</v>
      </c>
      <c r="H738" s="115" t="s">
        <v>9323</v>
      </c>
      <c r="I738" s="7" t="s">
        <v>9816</v>
      </c>
      <c r="J738" s="108" t="s">
        <v>9815</v>
      </c>
      <c r="K738" s="7" t="s">
        <v>9353</v>
      </c>
      <c r="L738" s="7"/>
    </row>
    <row r="739" spans="1:12" ht="14.85" customHeight="1" x14ac:dyDescent="0.25">
      <c r="A739" s="108" t="s">
        <v>9308</v>
      </c>
      <c r="B739" s="115" t="s">
        <v>9337</v>
      </c>
      <c r="C739" s="115" t="s">
        <v>9338</v>
      </c>
      <c r="D739" s="109" t="s">
        <v>9817</v>
      </c>
      <c r="E739" s="110" t="s">
        <v>9818</v>
      </c>
      <c r="F739" s="236" t="s">
        <v>9353</v>
      </c>
      <c r="G739" s="237" t="s">
        <v>9323</v>
      </c>
      <c r="H739" s="115" t="s">
        <v>9323</v>
      </c>
      <c r="I739" s="7" t="s">
        <v>9819</v>
      </c>
      <c r="J739" s="108" t="s">
        <v>9820</v>
      </c>
      <c r="K739" s="7" t="s">
        <v>9353</v>
      </c>
      <c r="L739" s="7"/>
    </row>
    <row r="740" spans="1:12" ht="14.85" customHeight="1" x14ac:dyDescent="0.25">
      <c r="A740" s="108" t="s">
        <v>9308</v>
      </c>
      <c r="B740" s="115" t="s">
        <v>9337</v>
      </c>
      <c r="C740" s="115" t="s">
        <v>9338</v>
      </c>
      <c r="D740" s="109" t="s">
        <v>9821</v>
      </c>
      <c r="E740" s="110" t="s">
        <v>9822</v>
      </c>
      <c r="F740" s="236" t="s">
        <v>9353</v>
      </c>
      <c r="G740" s="237" t="s">
        <v>9323</v>
      </c>
      <c r="H740" s="115" t="s">
        <v>9323</v>
      </c>
      <c r="I740" s="7" t="s">
        <v>9823</v>
      </c>
      <c r="J740" s="108" t="s">
        <v>9822</v>
      </c>
      <c r="K740" s="7" t="s">
        <v>9353</v>
      </c>
      <c r="L740" s="7"/>
    </row>
    <row r="741" spans="1:12" ht="14.85" customHeight="1" x14ac:dyDescent="0.25">
      <c r="A741" s="108" t="s">
        <v>9308</v>
      </c>
      <c r="B741" s="115" t="s">
        <v>9337</v>
      </c>
      <c r="C741" s="115" t="s">
        <v>9338</v>
      </c>
      <c r="D741" s="109" t="s">
        <v>9824</v>
      </c>
      <c r="E741" s="110" t="s">
        <v>9825</v>
      </c>
      <c r="F741" s="236" t="s">
        <v>9353</v>
      </c>
      <c r="G741" s="237" t="s">
        <v>9323</v>
      </c>
      <c r="H741" s="115" t="s">
        <v>9323</v>
      </c>
      <c r="I741" s="7" t="s">
        <v>9826</v>
      </c>
      <c r="J741" s="108" t="s">
        <v>9825</v>
      </c>
      <c r="K741" s="7" t="s">
        <v>9353</v>
      </c>
      <c r="L741" s="7"/>
    </row>
    <row r="742" spans="1:12" ht="14.85" customHeight="1" x14ac:dyDescent="0.25">
      <c r="A742" s="108" t="s">
        <v>9308</v>
      </c>
      <c r="B742" s="115" t="s">
        <v>9337</v>
      </c>
      <c r="C742" s="115" t="s">
        <v>9338</v>
      </c>
      <c r="D742" s="109" t="s">
        <v>9827</v>
      </c>
      <c r="E742" s="110" t="s">
        <v>9828</v>
      </c>
      <c r="F742" s="236" t="s">
        <v>9353</v>
      </c>
      <c r="G742" s="237" t="s">
        <v>9323</v>
      </c>
      <c r="H742" s="115" t="s">
        <v>9323</v>
      </c>
      <c r="I742" s="7" t="s">
        <v>9829</v>
      </c>
      <c r="J742" s="108" t="s">
        <v>9828</v>
      </c>
      <c r="K742" s="7" t="s">
        <v>9353</v>
      </c>
      <c r="L742" s="7"/>
    </row>
    <row r="743" spans="1:12" ht="14.85" customHeight="1" x14ac:dyDescent="0.25">
      <c r="A743" s="108" t="s">
        <v>9308</v>
      </c>
      <c r="B743" s="115" t="s">
        <v>9337</v>
      </c>
      <c r="C743" s="115" t="s">
        <v>9338</v>
      </c>
      <c r="D743" s="109" t="s">
        <v>9830</v>
      </c>
      <c r="E743" s="110" t="s">
        <v>9831</v>
      </c>
      <c r="F743" s="236" t="s">
        <v>9353</v>
      </c>
      <c r="G743" s="237" t="s">
        <v>9323</v>
      </c>
      <c r="H743" s="115" t="s">
        <v>9323</v>
      </c>
      <c r="I743" s="7"/>
      <c r="J743" s="108" t="s">
        <v>9612</v>
      </c>
      <c r="K743" s="7"/>
      <c r="L743" s="7"/>
    </row>
    <row r="744" spans="1:12" ht="14.85" customHeight="1" x14ac:dyDescent="0.25">
      <c r="A744" s="108" t="s">
        <v>9308</v>
      </c>
      <c r="B744" s="115" t="s">
        <v>9337</v>
      </c>
      <c r="C744" s="115" t="s">
        <v>9832</v>
      </c>
      <c r="D744" s="109" t="s">
        <v>9833</v>
      </c>
      <c r="E744" s="110" t="s">
        <v>9834</v>
      </c>
      <c r="F744" s="236" t="s">
        <v>9353</v>
      </c>
      <c r="G744" s="237" t="s">
        <v>9323</v>
      </c>
      <c r="H744" s="115" t="s">
        <v>9323</v>
      </c>
      <c r="I744" s="7" t="s">
        <v>9835</v>
      </c>
      <c r="J744" s="108" t="s">
        <v>9836</v>
      </c>
      <c r="K744" s="7"/>
      <c r="L744" s="7"/>
    </row>
    <row r="745" spans="1:12" ht="14.85" customHeight="1" x14ac:dyDescent="0.25">
      <c r="A745" s="108" t="s">
        <v>9308</v>
      </c>
      <c r="B745" s="115" t="s">
        <v>9337</v>
      </c>
      <c r="C745" s="115" t="s">
        <v>9832</v>
      </c>
      <c r="D745" s="109" t="s">
        <v>9837</v>
      </c>
      <c r="E745" s="110" t="s">
        <v>9838</v>
      </c>
      <c r="F745" s="236" t="s">
        <v>9353</v>
      </c>
      <c r="G745" s="237" t="s">
        <v>9323</v>
      </c>
      <c r="H745" s="115" t="s">
        <v>9323</v>
      </c>
      <c r="I745" s="7" t="s">
        <v>9839</v>
      </c>
      <c r="J745" s="108" t="s">
        <v>9838</v>
      </c>
      <c r="K745" s="7"/>
      <c r="L745" s="7"/>
    </row>
    <row r="746" spans="1:12" ht="14.85" customHeight="1" x14ac:dyDescent="0.25">
      <c r="A746" s="108" t="s">
        <v>9308</v>
      </c>
      <c r="B746" s="115" t="s">
        <v>9337</v>
      </c>
      <c r="C746" s="115" t="s">
        <v>9832</v>
      </c>
      <c r="D746" s="109" t="s">
        <v>9840</v>
      </c>
      <c r="E746" s="110" t="s">
        <v>9023</v>
      </c>
      <c r="F746" s="236" t="s">
        <v>9353</v>
      </c>
      <c r="G746" s="237" t="s">
        <v>9323</v>
      </c>
      <c r="H746" s="115" t="s">
        <v>9323</v>
      </c>
      <c r="I746" s="7" t="s">
        <v>9841</v>
      </c>
      <c r="J746" s="108" t="s">
        <v>9023</v>
      </c>
      <c r="K746" s="7"/>
      <c r="L746" s="7"/>
    </row>
    <row r="747" spans="1:12" ht="14.85" customHeight="1" x14ac:dyDescent="0.25">
      <c r="A747" s="108" t="s">
        <v>9308</v>
      </c>
      <c r="B747" s="115" t="s">
        <v>9337</v>
      </c>
      <c r="C747" s="115" t="s">
        <v>9832</v>
      </c>
      <c r="D747" s="109" t="s">
        <v>9842</v>
      </c>
      <c r="E747" s="110" t="s">
        <v>9843</v>
      </c>
      <c r="F747" s="236" t="s">
        <v>9353</v>
      </c>
      <c r="G747" s="237" t="s">
        <v>9323</v>
      </c>
      <c r="H747" s="115" t="s">
        <v>9323</v>
      </c>
      <c r="I747" s="7" t="s">
        <v>9844</v>
      </c>
      <c r="J747" s="108" t="s">
        <v>9843</v>
      </c>
      <c r="K747" s="7"/>
      <c r="L747" s="7"/>
    </row>
    <row r="748" spans="1:12" ht="14.85" customHeight="1" x14ac:dyDescent="0.25">
      <c r="A748" s="108" t="s">
        <v>9308</v>
      </c>
      <c r="B748" s="115" t="s">
        <v>9337</v>
      </c>
      <c r="C748" s="115" t="s">
        <v>9832</v>
      </c>
      <c r="D748" s="109" t="s">
        <v>9845</v>
      </c>
      <c r="E748" s="110" t="s">
        <v>9804</v>
      </c>
      <c r="F748" s="236" t="s">
        <v>9353</v>
      </c>
      <c r="G748" s="237" t="s">
        <v>9323</v>
      </c>
      <c r="H748" s="115" t="s">
        <v>9323</v>
      </c>
      <c r="I748" s="7" t="s">
        <v>9803</v>
      </c>
      <c r="J748" s="108" t="s">
        <v>9804</v>
      </c>
      <c r="K748" s="7"/>
      <c r="L748" s="7"/>
    </row>
    <row r="749" spans="1:12" ht="14.85" customHeight="1" x14ac:dyDescent="0.25">
      <c r="A749" s="108" t="s">
        <v>9308</v>
      </c>
      <c r="B749" s="115" t="s">
        <v>9337</v>
      </c>
      <c r="C749" s="115" t="s">
        <v>9832</v>
      </c>
      <c r="D749" s="109" t="s">
        <v>9846</v>
      </c>
      <c r="E749" s="110" t="s">
        <v>9015</v>
      </c>
      <c r="F749" s="236" t="s">
        <v>9353</v>
      </c>
      <c r="G749" s="237" t="s">
        <v>9323</v>
      </c>
      <c r="H749" s="115" t="s">
        <v>9323</v>
      </c>
      <c r="I749" s="7" t="s">
        <v>9799</v>
      </c>
      <c r="J749" s="108" t="s">
        <v>9800</v>
      </c>
      <c r="K749" s="7" t="s">
        <v>9353</v>
      </c>
      <c r="L749" s="7"/>
    </row>
    <row r="750" spans="1:12" ht="14.85" customHeight="1" x14ac:dyDescent="0.25">
      <c r="A750" s="108" t="s">
        <v>9308</v>
      </c>
      <c r="B750" s="115" t="s">
        <v>9337</v>
      </c>
      <c r="C750" s="115" t="s">
        <v>9832</v>
      </c>
      <c r="D750" s="109" t="s">
        <v>9846</v>
      </c>
      <c r="E750" s="110" t="s">
        <v>9015</v>
      </c>
      <c r="F750" s="236" t="s">
        <v>9353</v>
      </c>
      <c r="G750" s="237" t="s">
        <v>9323</v>
      </c>
      <c r="H750" s="115" t="s">
        <v>9323</v>
      </c>
      <c r="I750" s="7" t="s">
        <v>9801</v>
      </c>
      <c r="J750" s="108" t="s">
        <v>9802</v>
      </c>
      <c r="K750" s="7" t="s">
        <v>9353</v>
      </c>
      <c r="L750" s="7"/>
    </row>
    <row r="751" spans="1:12" ht="14.85" customHeight="1" x14ac:dyDescent="0.25">
      <c r="A751" s="108" t="s">
        <v>9308</v>
      </c>
      <c r="B751" s="115" t="s">
        <v>9337</v>
      </c>
      <c r="C751" s="115" t="s">
        <v>9832</v>
      </c>
      <c r="D751" s="109" t="s">
        <v>9847</v>
      </c>
      <c r="E751" s="110" t="s">
        <v>9848</v>
      </c>
      <c r="F751" s="236" t="s">
        <v>9353</v>
      </c>
      <c r="G751" s="237" t="s">
        <v>9323</v>
      </c>
      <c r="H751" s="115" t="s">
        <v>9323</v>
      </c>
      <c r="I751" s="7" t="s">
        <v>9849</v>
      </c>
      <c r="J751" s="108" t="s">
        <v>9848</v>
      </c>
      <c r="K751" s="7"/>
      <c r="L751" s="7"/>
    </row>
    <row r="752" spans="1:12" ht="14.85" customHeight="1" x14ac:dyDescent="0.25">
      <c r="A752" s="108" t="s">
        <v>9308</v>
      </c>
      <c r="B752" s="115" t="s">
        <v>9337</v>
      </c>
      <c r="C752" s="115" t="s">
        <v>9832</v>
      </c>
      <c r="D752" s="109" t="s">
        <v>9850</v>
      </c>
      <c r="E752" s="110" t="s">
        <v>9851</v>
      </c>
      <c r="F752" s="236" t="s">
        <v>9353</v>
      </c>
      <c r="G752" s="237" t="s">
        <v>9323</v>
      </c>
      <c r="H752" s="115" t="s">
        <v>9323</v>
      </c>
      <c r="I752" s="7" t="s">
        <v>9852</v>
      </c>
      <c r="J752" s="108" t="s">
        <v>9851</v>
      </c>
      <c r="K752" s="7"/>
      <c r="L752" s="7"/>
    </row>
    <row r="753" spans="1:12" ht="14.85" customHeight="1" x14ac:dyDescent="0.25">
      <c r="A753" s="108" t="s">
        <v>9308</v>
      </c>
      <c r="B753" s="115" t="s">
        <v>9337</v>
      </c>
      <c r="C753" s="115" t="s">
        <v>9338</v>
      </c>
      <c r="D753" s="109" t="s">
        <v>9853</v>
      </c>
      <c r="E753" s="110" t="s">
        <v>9854</v>
      </c>
      <c r="F753" s="236" t="s">
        <v>9353</v>
      </c>
      <c r="G753" s="237" t="s">
        <v>9323</v>
      </c>
      <c r="H753" s="115" t="s">
        <v>9323</v>
      </c>
      <c r="I753" s="7" t="s">
        <v>9799</v>
      </c>
      <c r="J753" s="108" t="s">
        <v>9800</v>
      </c>
      <c r="K753" s="7" t="s">
        <v>9353</v>
      </c>
      <c r="L753" s="7"/>
    </row>
    <row r="754" spans="1:12" ht="14.85" customHeight="1" x14ac:dyDescent="0.25">
      <c r="A754" s="108" t="s">
        <v>9308</v>
      </c>
      <c r="B754" s="115" t="s">
        <v>9337</v>
      </c>
      <c r="C754" s="115" t="s">
        <v>9338</v>
      </c>
      <c r="D754" s="109" t="s">
        <v>9853</v>
      </c>
      <c r="E754" s="110" t="s">
        <v>9854</v>
      </c>
      <c r="F754" s="236" t="s">
        <v>9353</v>
      </c>
      <c r="G754" s="237" t="s">
        <v>9323</v>
      </c>
      <c r="H754" s="115" t="s">
        <v>9323</v>
      </c>
      <c r="I754" s="7" t="s">
        <v>9801</v>
      </c>
      <c r="J754" s="108" t="s">
        <v>9802</v>
      </c>
      <c r="K754" s="7" t="s">
        <v>9353</v>
      </c>
      <c r="L754" s="7"/>
    </row>
    <row r="755" spans="1:12" ht="14.85" customHeight="1" x14ac:dyDescent="0.25">
      <c r="A755" s="108" t="s">
        <v>9308</v>
      </c>
      <c r="B755" s="115" t="s">
        <v>9337</v>
      </c>
      <c r="C755" s="115" t="s">
        <v>9338</v>
      </c>
      <c r="D755" s="109" t="s">
        <v>9853</v>
      </c>
      <c r="E755" s="110" t="s">
        <v>9854</v>
      </c>
      <c r="F755" s="236" t="s">
        <v>9353</v>
      </c>
      <c r="G755" s="237" t="s">
        <v>9323</v>
      </c>
      <c r="H755" s="115" t="s">
        <v>9323</v>
      </c>
      <c r="I755" s="7" t="s">
        <v>9803</v>
      </c>
      <c r="J755" s="108" t="s">
        <v>9804</v>
      </c>
      <c r="K755" s="7"/>
      <c r="L755" s="7"/>
    </row>
    <row r="756" spans="1:12" ht="14.85" customHeight="1" x14ac:dyDescent="0.25">
      <c r="A756" s="108" t="s">
        <v>9308</v>
      </c>
      <c r="B756" s="115" t="s">
        <v>9337</v>
      </c>
      <c r="C756" s="115" t="s">
        <v>9338</v>
      </c>
      <c r="D756" s="109" t="s">
        <v>9855</v>
      </c>
      <c r="E756" s="110" t="s">
        <v>9856</v>
      </c>
      <c r="F756" s="236" t="s">
        <v>9353</v>
      </c>
      <c r="G756" s="237" t="s">
        <v>9323</v>
      </c>
      <c r="H756" s="115" t="s">
        <v>9323</v>
      </c>
      <c r="I756" s="7" t="s">
        <v>9342</v>
      </c>
      <c r="J756" s="108" t="s">
        <v>9343</v>
      </c>
      <c r="K756" s="7" t="s">
        <v>9341</v>
      </c>
      <c r="L756" s="7"/>
    </row>
    <row r="757" spans="1:12" ht="14.85" customHeight="1" x14ac:dyDescent="0.25">
      <c r="A757" s="108" t="s">
        <v>9308</v>
      </c>
      <c r="B757" s="115" t="s">
        <v>9337</v>
      </c>
      <c r="C757" s="115" t="s">
        <v>9338</v>
      </c>
      <c r="D757" s="109" t="s">
        <v>9855</v>
      </c>
      <c r="E757" s="110" t="s">
        <v>9856</v>
      </c>
      <c r="F757" s="236" t="s">
        <v>9353</v>
      </c>
      <c r="G757" s="237" t="s">
        <v>9323</v>
      </c>
      <c r="H757" s="115" t="s">
        <v>9323</v>
      </c>
      <c r="I757" s="7" t="s">
        <v>9857</v>
      </c>
      <c r="J757" s="108" t="s">
        <v>9856</v>
      </c>
      <c r="K757" s="7" t="s">
        <v>9353</v>
      </c>
      <c r="L757" s="7"/>
    </row>
    <row r="758" spans="1:12" ht="14.85" customHeight="1" x14ac:dyDescent="0.25">
      <c r="A758" s="108" t="s">
        <v>9308</v>
      </c>
      <c r="B758" s="115" t="s">
        <v>9337</v>
      </c>
      <c r="C758" s="115" t="s">
        <v>9338</v>
      </c>
      <c r="D758" s="109" t="s">
        <v>9855</v>
      </c>
      <c r="E758" s="110" t="s">
        <v>9856</v>
      </c>
      <c r="F758" s="236" t="s">
        <v>9353</v>
      </c>
      <c r="G758" s="237" t="s">
        <v>9323</v>
      </c>
      <c r="H758" s="115" t="s">
        <v>9323</v>
      </c>
      <c r="I758" s="7" t="s">
        <v>9351</v>
      </c>
      <c r="J758" s="108" t="s">
        <v>9352</v>
      </c>
      <c r="K758" s="7" t="s">
        <v>9353</v>
      </c>
      <c r="L758" s="7"/>
    </row>
    <row r="759" spans="1:12" ht="14.85" customHeight="1" x14ac:dyDescent="0.25">
      <c r="A759" s="108" t="s">
        <v>9308</v>
      </c>
      <c r="B759" s="115" t="s">
        <v>9337</v>
      </c>
      <c r="C759" s="115" t="s">
        <v>9858</v>
      </c>
      <c r="D759" s="109" t="s">
        <v>9859</v>
      </c>
      <c r="E759" s="110" t="s">
        <v>9033</v>
      </c>
      <c r="F759" s="236" t="s">
        <v>9353</v>
      </c>
      <c r="G759" s="237" t="s">
        <v>9323</v>
      </c>
      <c r="H759" s="115" t="s">
        <v>9323</v>
      </c>
      <c r="I759" s="7" t="s">
        <v>9860</v>
      </c>
      <c r="J759" s="108" t="s">
        <v>9861</v>
      </c>
      <c r="K759" s="7" t="s">
        <v>9862</v>
      </c>
      <c r="L759" s="7"/>
    </row>
    <row r="760" spans="1:12" ht="14.85" customHeight="1" x14ac:dyDescent="0.25">
      <c r="A760" s="108" t="s">
        <v>9308</v>
      </c>
      <c r="B760" s="115" t="s">
        <v>9337</v>
      </c>
      <c r="C760" s="115" t="s">
        <v>9858</v>
      </c>
      <c r="D760" s="109" t="s">
        <v>9863</v>
      </c>
      <c r="E760" s="110" t="s">
        <v>9864</v>
      </c>
      <c r="F760" s="236" t="s">
        <v>9353</v>
      </c>
      <c r="G760" s="237" t="s">
        <v>9323</v>
      </c>
      <c r="H760" s="115" t="s">
        <v>9323</v>
      </c>
      <c r="I760" s="7" t="s">
        <v>9860</v>
      </c>
      <c r="J760" s="108" t="s">
        <v>9861</v>
      </c>
      <c r="K760" s="7" t="s">
        <v>9862</v>
      </c>
      <c r="L760" s="7"/>
    </row>
    <row r="761" spans="1:12" ht="14.85" customHeight="1" x14ac:dyDescent="0.25">
      <c r="A761" s="108" t="s">
        <v>9308</v>
      </c>
      <c r="B761" s="115" t="s">
        <v>9337</v>
      </c>
      <c r="C761" s="115" t="s">
        <v>9858</v>
      </c>
      <c r="D761" s="109" t="s">
        <v>9865</v>
      </c>
      <c r="E761" s="110" t="s">
        <v>9866</v>
      </c>
      <c r="F761" s="236" t="s">
        <v>9353</v>
      </c>
      <c r="G761" s="237" t="s">
        <v>9323</v>
      </c>
      <c r="H761" s="115" t="s">
        <v>9323</v>
      </c>
      <c r="I761" s="7" t="s">
        <v>9860</v>
      </c>
      <c r="J761" s="108" t="s">
        <v>9861</v>
      </c>
      <c r="K761" s="7" t="s">
        <v>9862</v>
      </c>
      <c r="L761" s="7"/>
    </row>
    <row r="762" spans="1:12" ht="14.85" customHeight="1" x14ac:dyDescent="0.25">
      <c r="A762" s="108" t="s">
        <v>9308</v>
      </c>
      <c r="B762" s="115" t="s">
        <v>9337</v>
      </c>
      <c r="C762" s="115" t="s">
        <v>9858</v>
      </c>
      <c r="D762" s="109" t="s">
        <v>9865</v>
      </c>
      <c r="E762" s="110" t="s">
        <v>9866</v>
      </c>
      <c r="F762" s="236" t="s">
        <v>9353</v>
      </c>
      <c r="G762" s="237" t="s">
        <v>9323</v>
      </c>
      <c r="H762" s="115" t="s">
        <v>9323</v>
      </c>
      <c r="I762" s="7" t="s">
        <v>9867</v>
      </c>
      <c r="J762" s="110" t="s">
        <v>9868</v>
      </c>
      <c r="K762" s="7" t="s">
        <v>9862</v>
      </c>
    </row>
    <row r="763" spans="1:12" ht="14.85" customHeight="1" x14ac:dyDescent="0.25">
      <c r="A763" s="108" t="s">
        <v>9308</v>
      </c>
      <c r="B763" s="115" t="s">
        <v>9337</v>
      </c>
      <c r="C763" s="115" t="s">
        <v>9858</v>
      </c>
      <c r="D763" s="109" t="s">
        <v>9865</v>
      </c>
      <c r="E763" s="110" t="s">
        <v>9866</v>
      </c>
      <c r="F763" s="236" t="s">
        <v>9353</v>
      </c>
      <c r="G763" s="237" t="s">
        <v>9323</v>
      </c>
      <c r="H763" s="115" t="s">
        <v>9323</v>
      </c>
      <c r="I763" s="7" t="s">
        <v>9869</v>
      </c>
      <c r="J763" s="108" t="s">
        <v>9866</v>
      </c>
      <c r="K763" s="7" t="s">
        <v>9862</v>
      </c>
      <c r="L763" s="7"/>
    </row>
    <row r="764" spans="1:12" ht="14.85" customHeight="1" x14ac:dyDescent="0.25">
      <c r="A764" s="108" t="s">
        <v>9308</v>
      </c>
      <c r="B764" s="115" t="s">
        <v>9337</v>
      </c>
      <c r="C764" s="115" t="s">
        <v>9858</v>
      </c>
      <c r="D764" s="109" t="s">
        <v>9870</v>
      </c>
      <c r="E764" s="110" t="s">
        <v>9004</v>
      </c>
      <c r="F764" s="109" t="s">
        <v>9353</v>
      </c>
      <c r="G764" s="237" t="s">
        <v>9323</v>
      </c>
      <c r="H764" s="115" t="s">
        <v>9323</v>
      </c>
      <c r="I764" s="7" t="s">
        <v>9860</v>
      </c>
      <c r="J764" s="110" t="s">
        <v>9861</v>
      </c>
      <c r="K764" s="7" t="s">
        <v>9862</v>
      </c>
    </row>
    <row r="765" spans="1:12" ht="14.85" customHeight="1" x14ac:dyDescent="0.25">
      <c r="A765" s="108" t="s">
        <v>9308</v>
      </c>
      <c r="B765" s="115" t="s">
        <v>9337</v>
      </c>
      <c r="C765" s="115" t="s">
        <v>9858</v>
      </c>
      <c r="D765" s="109" t="s">
        <v>9870</v>
      </c>
      <c r="E765" s="110" t="s">
        <v>9004</v>
      </c>
      <c r="F765" s="109" t="s">
        <v>9353</v>
      </c>
      <c r="G765" s="237" t="s">
        <v>9323</v>
      </c>
      <c r="H765" s="115" t="s">
        <v>9323</v>
      </c>
      <c r="I765" s="7" t="s">
        <v>9867</v>
      </c>
      <c r="J765" s="110" t="s">
        <v>9868</v>
      </c>
      <c r="K765" s="7" t="s">
        <v>9862</v>
      </c>
    </row>
    <row r="766" spans="1:12" ht="14.85" customHeight="1" x14ac:dyDescent="0.25">
      <c r="A766" s="108" t="s">
        <v>9308</v>
      </c>
      <c r="B766" s="115" t="s">
        <v>9337</v>
      </c>
      <c r="C766" s="115" t="s">
        <v>9858</v>
      </c>
      <c r="D766" s="109" t="s">
        <v>9871</v>
      </c>
      <c r="E766" s="110" t="s">
        <v>8917</v>
      </c>
      <c r="F766" s="109" t="s">
        <v>9353</v>
      </c>
      <c r="G766" s="237" t="s">
        <v>9323</v>
      </c>
      <c r="H766" s="115" t="s">
        <v>9323</v>
      </c>
      <c r="I766" s="7" t="s">
        <v>9860</v>
      </c>
      <c r="J766" s="110" t="s">
        <v>9861</v>
      </c>
      <c r="K766" s="7" t="s">
        <v>9862</v>
      </c>
    </row>
    <row r="767" spans="1:12" ht="14.85" customHeight="1" x14ac:dyDescent="0.25">
      <c r="A767" s="108" t="s">
        <v>9308</v>
      </c>
      <c r="B767" s="115" t="s">
        <v>9337</v>
      </c>
      <c r="C767" s="115" t="s">
        <v>9858</v>
      </c>
      <c r="D767" s="109" t="s">
        <v>9871</v>
      </c>
      <c r="E767" s="110" t="s">
        <v>8917</v>
      </c>
      <c r="F767" s="109" t="s">
        <v>9353</v>
      </c>
      <c r="G767" s="237" t="s">
        <v>9323</v>
      </c>
      <c r="H767" s="115" t="s">
        <v>9323</v>
      </c>
      <c r="I767" s="7" t="s">
        <v>9867</v>
      </c>
      <c r="J767" s="110" t="s">
        <v>9868</v>
      </c>
      <c r="K767" s="7" t="s">
        <v>9862</v>
      </c>
    </row>
    <row r="768" spans="1:12" ht="14.85" customHeight="1" x14ac:dyDescent="0.25">
      <c r="A768" s="108" t="s">
        <v>9308</v>
      </c>
      <c r="B768" s="115" t="s">
        <v>9337</v>
      </c>
      <c r="C768" s="115" t="s">
        <v>9858</v>
      </c>
      <c r="D768" s="109" t="s">
        <v>9872</v>
      </c>
      <c r="E768" s="110" t="s">
        <v>9873</v>
      </c>
      <c r="F768" s="109" t="s">
        <v>9341</v>
      </c>
      <c r="G768" s="237" t="s">
        <v>9323</v>
      </c>
      <c r="H768" s="115" t="s">
        <v>9323</v>
      </c>
      <c r="I768" s="7" t="s">
        <v>9342</v>
      </c>
      <c r="J768" s="110" t="s">
        <v>9343</v>
      </c>
      <c r="K768" s="7" t="s">
        <v>9341</v>
      </c>
    </row>
    <row r="769" spans="1:12" ht="14.85" customHeight="1" x14ac:dyDescent="0.25">
      <c r="A769" s="108" t="s">
        <v>9308</v>
      </c>
      <c r="B769" s="115" t="s">
        <v>9337</v>
      </c>
      <c r="C769" s="115" t="s">
        <v>9858</v>
      </c>
      <c r="D769" s="109" t="s">
        <v>9874</v>
      </c>
      <c r="E769" s="110" t="s">
        <v>9875</v>
      </c>
      <c r="F769" s="109" t="s">
        <v>9353</v>
      </c>
      <c r="G769" s="237" t="s">
        <v>9323</v>
      </c>
      <c r="H769" s="115" t="s">
        <v>9323</v>
      </c>
      <c r="I769" s="7" t="s">
        <v>9876</v>
      </c>
      <c r="J769" s="110" t="s">
        <v>9877</v>
      </c>
      <c r="K769" s="7" t="s">
        <v>9862</v>
      </c>
    </row>
    <row r="770" spans="1:12" ht="14.85" customHeight="1" x14ac:dyDescent="0.25">
      <c r="A770" s="108" t="s">
        <v>9308</v>
      </c>
      <c r="B770" s="115" t="s">
        <v>9337</v>
      </c>
      <c r="C770" s="115" t="s">
        <v>9858</v>
      </c>
      <c r="D770" s="109" t="s">
        <v>9878</v>
      </c>
      <c r="E770" s="110" t="s">
        <v>9879</v>
      </c>
      <c r="F770" s="109" t="s">
        <v>9353</v>
      </c>
      <c r="G770" s="237" t="s">
        <v>9323</v>
      </c>
      <c r="H770" s="115" t="s">
        <v>9323</v>
      </c>
      <c r="I770" s="7" t="s">
        <v>9876</v>
      </c>
      <c r="J770" s="110" t="s">
        <v>9877</v>
      </c>
      <c r="K770" s="7" t="s">
        <v>9862</v>
      </c>
    </row>
    <row r="771" spans="1:12" ht="14.85" customHeight="1" x14ac:dyDescent="0.25">
      <c r="A771" s="108" t="s">
        <v>9308</v>
      </c>
      <c r="B771" s="115" t="s">
        <v>9337</v>
      </c>
      <c r="C771" s="115" t="s">
        <v>9858</v>
      </c>
      <c r="D771" s="109" t="s">
        <v>9878</v>
      </c>
      <c r="E771" s="110" t="s">
        <v>9879</v>
      </c>
      <c r="F771" s="109" t="s">
        <v>9353</v>
      </c>
      <c r="G771" s="237" t="s">
        <v>9323</v>
      </c>
      <c r="H771" s="115" t="s">
        <v>9323</v>
      </c>
      <c r="I771" s="7" t="s">
        <v>9860</v>
      </c>
      <c r="J771" s="110" t="s">
        <v>9861</v>
      </c>
      <c r="K771" s="7" t="s">
        <v>9862</v>
      </c>
    </row>
    <row r="772" spans="1:12" ht="14.85" customHeight="1" x14ac:dyDescent="0.25">
      <c r="A772" s="108" t="s">
        <v>9308</v>
      </c>
      <c r="B772" s="115" t="s">
        <v>9337</v>
      </c>
      <c r="C772" s="115" t="s">
        <v>9858</v>
      </c>
      <c r="D772" s="109" t="s">
        <v>9878</v>
      </c>
      <c r="E772" s="110" t="s">
        <v>9879</v>
      </c>
      <c r="F772" s="109" t="s">
        <v>9353</v>
      </c>
      <c r="G772" s="237" t="s">
        <v>9323</v>
      </c>
      <c r="H772" s="115" t="s">
        <v>9323</v>
      </c>
      <c r="I772" s="7" t="s">
        <v>9867</v>
      </c>
      <c r="J772" s="110" t="s">
        <v>9868</v>
      </c>
      <c r="K772" s="7" t="s">
        <v>9862</v>
      </c>
    </row>
    <row r="773" spans="1:12" ht="14.85" customHeight="1" x14ac:dyDescent="0.25">
      <c r="A773" s="108" t="s">
        <v>9308</v>
      </c>
      <c r="B773" s="115" t="s">
        <v>9337</v>
      </c>
      <c r="C773" s="115" t="s">
        <v>9338</v>
      </c>
      <c r="D773" s="109" t="s">
        <v>9880</v>
      </c>
      <c r="E773" s="110" t="s">
        <v>9881</v>
      </c>
      <c r="F773" s="236" t="s">
        <v>9484</v>
      </c>
      <c r="G773" s="115" t="s">
        <v>9324</v>
      </c>
      <c r="H773" s="115" t="s">
        <v>9323</v>
      </c>
      <c r="I773" s="7" t="s">
        <v>9342</v>
      </c>
      <c r="J773" s="110" t="s">
        <v>9343</v>
      </c>
      <c r="K773" s="7" t="s">
        <v>9341</v>
      </c>
      <c r="L773" s="109" t="s">
        <v>9484</v>
      </c>
    </row>
    <row r="774" spans="1:12" ht="14.85" customHeight="1" x14ac:dyDescent="0.25">
      <c r="A774" s="108" t="s">
        <v>9308</v>
      </c>
      <c r="B774" s="115" t="s">
        <v>9337</v>
      </c>
      <c r="C774" s="115" t="s">
        <v>9338</v>
      </c>
      <c r="D774" s="109" t="s">
        <v>9880</v>
      </c>
      <c r="E774" s="110" t="s">
        <v>9881</v>
      </c>
      <c r="F774" s="236" t="s">
        <v>9484</v>
      </c>
      <c r="G774" s="115" t="s">
        <v>9324</v>
      </c>
      <c r="H774" s="115" t="s">
        <v>9323</v>
      </c>
      <c r="I774" s="7" t="s">
        <v>9438</v>
      </c>
      <c r="J774" s="110" t="s">
        <v>9439</v>
      </c>
      <c r="K774" s="7" t="s">
        <v>9440</v>
      </c>
      <c r="L774" s="109" t="s">
        <v>9484</v>
      </c>
    </row>
    <row r="775" spans="1:12" ht="14.85" customHeight="1" x14ac:dyDescent="0.25">
      <c r="A775" s="108" t="s">
        <v>9308</v>
      </c>
      <c r="B775" s="115" t="s">
        <v>9337</v>
      </c>
      <c r="C775" s="115" t="s">
        <v>9338</v>
      </c>
      <c r="D775" s="109" t="s">
        <v>9880</v>
      </c>
      <c r="E775" s="110" t="s">
        <v>9881</v>
      </c>
      <c r="F775" s="236" t="s">
        <v>9484</v>
      </c>
      <c r="G775" s="115" t="s">
        <v>9324</v>
      </c>
      <c r="H775" s="115" t="s">
        <v>9323</v>
      </c>
      <c r="I775" s="7" t="s">
        <v>9351</v>
      </c>
      <c r="J775" s="108" t="s">
        <v>9352</v>
      </c>
      <c r="K775" s="7" t="s">
        <v>9353</v>
      </c>
      <c r="L775" s="7" t="s">
        <v>9484</v>
      </c>
    </row>
    <row r="776" spans="1:12" ht="14.85" customHeight="1" x14ac:dyDescent="0.25">
      <c r="A776" s="108" t="s">
        <v>9308</v>
      </c>
      <c r="B776" s="115" t="s">
        <v>9337</v>
      </c>
      <c r="C776" s="115" t="s">
        <v>9338</v>
      </c>
      <c r="D776" s="109" t="s">
        <v>9880</v>
      </c>
      <c r="E776" s="110" t="s">
        <v>9881</v>
      </c>
      <c r="F776" s="236" t="s">
        <v>9484</v>
      </c>
      <c r="G776" s="115" t="s">
        <v>9324</v>
      </c>
      <c r="H776" s="115" t="s">
        <v>9323</v>
      </c>
      <c r="I776" s="7" t="s">
        <v>9441</v>
      </c>
      <c r="J776" s="108" t="s">
        <v>9442</v>
      </c>
      <c r="K776" s="7" t="s">
        <v>9443</v>
      </c>
      <c r="L776" s="7" t="s">
        <v>9484</v>
      </c>
    </row>
    <row r="777" spans="1:12" ht="14.85" customHeight="1" x14ac:dyDescent="0.25">
      <c r="A777" s="108" t="s">
        <v>9308</v>
      </c>
      <c r="B777" s="115" t="s">
        <v>9337</v>
      </c>
      <c r="C777" s="115" t="s">
        <v>9338</v>
      </c>
      <c r="D777" s="109" t="s">
        <v>9882</v>
      </c>
      <c r="E777" s="110" t="s">
        <v>9883</v>
      </c>
      <c r="F777" s="236" t="s">
        <v>9484</v>
      </c>
      <c r="G777" s="115" t="s">
        <v>9324</v>
      </c>
      <c r="H777" s="115" t="s">
        <v>9323</v>
      </c>
      <c r="I777" s="7" t="s">
        <v>9342</v>
      </c>
      <c r="J777" s="108" t="s">
        <v>9343</v>
      </c>
      <c r="K777" s="7" t="s">
        <v>9341</v>
      </c>
      <c r="L777" s="7" t="s">
        <v>9484</v>
      </c>
    </row>
    <row r="778" spans="1:12" ht="14.85" customHeight="1" x14ac:dyDescent="0.25">
      <c r="A778" s="108" t="s">
        <v>9308</v>
      </c>
      <c r="B778" s="115" t="s">
        <v>9337</v>
      </c>
      <c r="C778" s="115" t="s">
        <v>9338</v>
      </c>
      <c r="D778" s="109" t="s">
        <v>9882</v>
      </c>
      <c r="E778" s="110" t="s">
        <v>9883</v>
      </c>
      <c r="F778" s="236" t="s">
        <v>9484</v>
      </c>
      <c r="G778" s="115" t="s">
        <v>9324</v>
      </c>
      <c r="H778" s="115" t="s">
        <v>9323</v>
      </c>
      <c r="I778" s="7" t="s">
        <v>9526</v>
      </c>
      <c r="J778" s="108" t="s">
        <v>9527</v>
      </c>
      <c r="K778" s="7" t="s">
        <v>9440</v>
      </c>
      <c r="L778" s="7" t="s">
        <v>9884</v>
      </c>
    </row>
    <row r="779" spans="1:12" ht="14.85" customHeight="1" x14ac:dyDescent="0.25">
      <c r="A779" s="108" t="s">
        <v>9308</v>
      </c>
      <c r="B779" s="115" t="s">
        <v>9337</v>
      </c>
      <c r="C779" s="115" t="s">
        <v>9338</v>
      </c>
      <c r="D779" s="109" t="s">
        <v>9882</v>
      </c>
      <c r="E779" s="110" t="s">
        <v>9883</v>
      </c>
      <c r="F779" s="236" t="s">
        <v>9484</v>
      </c>
      <c r="G779" s="115" t="s">
        <v>9324</v>
      </c>
      <c r="H779" s="115" t="s">
        <v>9323</v>
      </c>
      <c r="I779" s="7" t="s">
        <v>9556</v>
      </c>
      <c r="J779" s="108" t="s">
        <v>9557</v>
      </c>
      <c r="K779" s="7" t="s">
        <v>9440</v>
      </c>
      <c r="L779" s="7" t="s">
        <v>9884</v>
      </c>
    </row>
    <row r="780" spans="1:12" ht="14.85" customHeight="1" x14ac:dyDescent="0.25">
      <c r="A780" s="108" t="s">
        <v>9308</v>
      </c>
      <c r="B780" s="115" t="s">
        <v>9337</v>
      </c>
      <c r="C780" s="115" t="s">
        <v>9338</v>
      </c>
      <c r="D780" s="109" t="s">
        <v>9882</v>
      </c>
      <c r="E780" s="110" t="s">
        <v>9883</v>
      </c>
      <c r="F780" s="236" t="s">
        <v>9484</v>
      </c>
      <c r="G780" s="115" t="s">
        <v>9324</v>
      </c>
      <c r="H780" s="115" t="s">
        <v>9323</v>
      </c>
      <c r="I780" s="7" t="s">
        <v>9542</v>
      </c>
      <c r="J780" s="108" t="s">
        <v>9543</v>
      </c>
      <c r="K780" s="7" t="s">
        <v>9440</v>
      </c>
      <c r="L780" s="7" t="s">
        <v>9884</v>
      </c>
    </row>
    <row r="781" spans="1:12" ht="14.85" customHeight="1" x14ac:dyDescent="0.25">
      <c r="A781" s="108" t="s">
        <v>9308</v>
      </c>
      <c r="B781" s="115" t="s">
        <v>9337</v>
      </c>
      <c r="C781" s="115" t="s">
        <v>9338</v>
      </c>
      <c r="D781" s="109" t="s">
        <v>9882</v>
      </c>
      <c r="E781" s="110" t="s">
        <v>9883</v>
      </c>
      <c r="F781" s="236" t="s">
        <v>9484</v>
      </c>
      <c r="G781" s="115" t="s">
        <v>9324</v>
      </c>
      <c r="H781" s="115" t="s">
        <v>9323</v>
      </c>
      <c r="I781" s="7" t="s">
        <v>9544</v>
      </c>
      <c r="J781" s="108" t="s">
        <v>9545</v>
      </c>
      <c r="K781" s="7" t="s">
        <v>9440</v>
      </c>
      <c r="L781" s="7" t="s">
        <v>9884</v>
      </c>
    </row>
    <row r="782" spans="1:12" ht="14.85" customHeight="1" x14ac:dyDescent="0.25">
      <c r="A782" s="108" t="s">
        <v>9308</v>
      </c>
      <c r="B782" s="115" t="s">
        <v>9337</v>
      </c>
      <c r="C782" s="115" t="s">
        <v>9338</v>
      </c>
      <c r="D782" s="109" t="s">
        <v>9882</v>
      </c>
      <c r="E782" s="110" t="s">
        <v>9883</v>
      </c>
      <c r="F782" s="236" t="s">
        <v>9484</v>
      </c>
      <c r="G782" s="115" t="s">
        <v>9324</v>
      </c>
      <c r="H782" s="115" t="s">
        <v>9323</v>
      </c>
      <c r="I782" s="7" t="s">
        <v>9546</v>
      </c>
      <c r="J782" s="108" t="s">
        <v>9547</v>
      </c>
      <c r="K782" s="7" t="s">
        <v>9440</v>
      </c>
      <c r="L782" s="7" t="s">
        <v>9884</v>
      </c>
    </row>
    <row r="783" spans="1:12" ht="14.85" customHeight="1" x14ac:dyDescent="0.25">
      <c r="A783" s="108" t="s">
        <v>9308</v>
      </c>
      <c r="B783" s="115" t="s">
        <v>9337</v>
      </c>
      <c r="C783" s="115" t="s">
        <v>9338</v>
      </c>
      <c r="D783" s="109" t="s">
        <v>9882</v>
      </c>
      <c r="E783" s="110" t="s">
        <v>9883</v>
      </c>
      <c r="F783" s="236" t="s">
        <v>9484</v>
      </c>
      <c r="G783" s="115" t="s">
        <v>9324</v>
      </c>
      <c r="H783" s="115" t="s">
        <v>9323</v>
      </c>
      <c r="I783" s="7" t="s">
        <v>9528</v>
      </c>
      <c r="J783" s="108" t="s">
        <v>9529</v>
      </c>
      <c r="K783" s="7" t="s">
        <v>9440</v>
      </c>
      <c r="L783" s="7" t="s">
        <v>9884</v>
      </c>
    </row>
    <row r="784" spans="1:12" ht="14.85" customHeight="1" x14ac:dyDescent="0.25">
      <c r="A784" s="108" t="s">
        <v>9308</v>
      </c>
      <c r="B784" s="115" t="s">
        <v>9337</v>
      </c>
      <c r="C784" s="115" t="s">
        <v>9338</v>
      </c>
      <c r="D784" s="109" t="s">
        <v>9882</v>
      </c>
      <c r="E784" s="110" t="s">
        <v>9883</v>
      </c>
      <c r="F784" s="236" t="s">
        <v>9484</v>
      </c>
      <c r="G784" s="115" t="s">
        <v>9324</v>
      </c>
      <c r="H784" s="115" t="s">
        <v>9323</v>
      </c>
      <c r="I784" s="7" t="s">
        <v>9530</v>
      </c>
      <c r="J784" s="108" t="s">
        <v>9531</v>
      </c>
      <c r="K784" s="7" t="s">
        <v>9440</v>
      </c>
      <c r="L784" s="7" t="s">
        <v>9884</v>
      </c>
    </row>
    <row r="785" spans="1:12" ht="14.85" customHeight="1" x14ac:dyDescent="0.25">
      <c r="A785" s="108" t="s">
        <v>9308</v>
      </c>
      <c r="B785" s="115" t="s">
        <v>9337</v>
      </c>
      <c r="C785" s="115" t="s">
        <v>9338</v>
      </c>
      <c r="D785" s="109" t="s">
        <v>9882</v>
      </c>
      <c r="E785" s="110" t="s">
        <v>9883</v>
      </c>
      <c r="F785" s="236" t="s">
        <v>9484</v>
      </c>
      <c r="G785" s="115" t="s">
        <v>9324</v>
      </c>
      <c r="H785" s="115" t="s">
        <v>9323</v>
      </c>
      <c r="I785" s="7" t="s">
        <v>9351</v>
      </c>
      <c r="J785" s="108" t="s">
        <v>9352</v>
      </c>
      <c r="K785" s="7" t="s">
        <v>9353</v>
      </c>
      <c r="L785" s="7" t="s">
        <v>9484</v>
      </c>
    </row>
    <row r="786" spans="1:12" ht="14.85" customHeight="1" x14ac:dyDescent="0.25">
      <c r="A786" s="108" t="s">
        <v>9308</v>
      </c>
      <c r="B786" s="115" t="s">
        <v>9337</v>
      </c>
      <c r="C786" s="115" t="s">
        <v>9338</v>
      </c>
      <c r="D786" s="109" t="s">
        <v>9882</v>
      </c>
      <c r="E786" s="110" t="s">
        <v>9883</v>
      </c>
      <c r="F786" s="236" t="s">
        <v>9484</v>
      </c>
      <c r="G786" s="115" t="s">
        <v>9324</v>
      </c>
      <c r="H786" s="115" t="s">
        <v>9323</v>
      </c>
      <c r="I786" s="7" t="s">
        <v>9558</v>
      </c>
      <c r="J786" s="108" t="s">
        <v>9559</v>
      </c>
      <c r="K786" s="7" t="s">
        <v>9443</v>
      </c>
      <c r="L786" s="7" t="s">
        <v>9484</v>
      </c>
    </row>
    <row r="787" spans="1:12" ht="14.85" customHeight="1" x14ac:dyDescent="0.25">
      <c r="A787" s="108" t="s">
        <v>9308</v>
      </c>
      <c r="B787" s="115" t="s">
        <v>9337</v>
      </c>
      <c r="C787" s="115" t="s">
        <v>9338</v>
      </c>
      <c r="D787" s="109" t="s">
        <v>9882</v>
      </c>
      <c r="E787" s="110" t="s">
        <v>9883</v>
      </c>
      <c r="F787" s="236" t="s">
        <v>9484</v>
      </c>
      <c r="G787" s="115" t="s">
        <v>9324</v>
      </c>
      <c r="H787" s="115" t="s">
        <v>9323</v>
      </c>
      <c r="I787" s="7" t="s">
        <v>9548</v>
      </c>
      <c r="J787" s="108" t="s">
        <v>9549</v>
      </c>
      <c r="K787" s="7" t="s">
        <v>9443</v>
      </c>
      <c r="L787" s="7" t="s">
        <v>9484</v>
      </c>
    </row>
    <row r="788" spans="1:12" ht="14.85" customHeight="1" x14ac:dyDescent="0.25">
      <c r="A788" s="108" t="s">
        <v>9308</v>
      </c>
      <c r="B788" s="115" t="s">
        <v>9337</v>
      </c>
      <c r="C788" s="115" t="s">
        <v>9338</v>
      </c>
      <c r="D788" s="109" t="s">
        <v>9882</v>
      </c>
      <c r="E788" s="110" t="s">
        <v>9883</v>
      </c>
      <c r="F788" s="236" t="s">
        <v>9484</v>
      </c>
      <c r="G788" s="115" t="s">
        <v>9324</v>
      </c>
      <c r="H788" s="115" t="s">
        <v>9323</v>
      </c>
      <c r="I788" s="7" t="s">
        <v>9550</v>
      </c>
      <c r="J788" s="108" t="s">
        <v>9551</v>
      </c>
      <c r="K788" s="7" t="s">
        <v>9443</v>
      </c>
      <c r="L788" s="7" t="s">
        <v>9484</v>
      </c>
    </row>
    <row r="789" spans="1:12" ht="14.85" customHeight="1" x14ac:dyDescent="0.25">
      <c r="A789" s="108" t="s">
        <v>9308</v>
      </c>
      <c r="B789" s="115" t="s">
        <v>9337</v>
      </c>
      <c r="C789" s="115" t="s">
        <v>9338</v>
      </c>
      <c r="D789" s="109" t="s">
        <v>9882</v>
      </c>
      <c r="E789" s="110" t="s">
        <v>9883</v>
      </c>
      <c r="F789" s="236" t="s">
        <v>9484</v>
      </c>
      <c r="G789" s="115" t="s">
        <v>9324</v>
      </c>
      <c r="H789" s="115" t="s">
        <v>9323</v>
      </c>
      <c r="I789" s="7" t="s">
        <v>9552</v>
      </c>
      <c r="J789" s="108" t="s">
        <v>9553</v>
      </c>
      <c r="K789" s="7" t="s">
        <v>9443</v>
      </c>
      <c r="L789" s="7" t="s">
        <v>9484</v>
      </c>
    </row>
    <row r="790" spans="1:12" ht="14.85" customHeight="1" x14ac:dyDescent="0.25">
      <c r="A790" s="108" t="s">
        <v>9308</v>
      </c>
      <c r="B790" s="115" t="s">
        <v>9337</v>
      </c>
      <c r="C790" s="115" t="s">
        <v>9338</v>
      </c>
      <c r="D790" s="109" t="s">
        <v>9882</v>
      </c>
      <c r="E790" s="110" t="s">
        <v>9883</v>
      </c>
      <c r="F790" s="236" t="s">
        <v>9484</v>
      </c>
      <c r="G790" s="115" t="s">
        <v>9324</v>
      </c>
      <c r="H790" s="115" t="s">
        <v>9323</v>
      </c>
      <c r="I790" s="7" t="s">
        <v>9532</v>
      </c>
      <c r="J790" s="108" t="s">
        <v>9533</v>
      </c>
      <c r="K790" s="7" t="s">
        <v>9443</v>
      </c>
      <c r="L790" s="7" t="s">
        <v>9484</v>
      </c>
    </row>
    <row r="791" spans="1:12" ht="14.85" customHeight="1" x14ac:dyDescent="0.25">
      <c r="A791" s="108" t="s">
        <v>9308</v>
      </c>
      <c r="B791" s="115" t="s">
        <v>9337</v>
      </c>
      <c r="C791" s="115" t="s">
        <v>9338</v>
      </c>
      <c r="D791" s="109" t="s">
        <v>9882</v>
      </c>
      <c r="E791" s="110" t="s">
        <v>9883</v>
      </c>
      <c r="F791" s="236" t="s">
        <v>9484</v>
      </c>
      <c r="G791" s="115" t="s">
        <v>9324</v>
      </c>
      <c r="H791" s="115" t="s">
        <v>9323</v>
      </c>
      <c r="I791" s="7" t="s">
        <v>9534</v>
      </c>
      <c r="J791" s="108" t="s">
        <v>9535</v>
      </c>
      <c r="K791" s="7" t="s">
        <v>9443</v>
      </c>
      <c r="L791" s="7" t="s">
        <v>9484</v>
      </c>
    </row>
    <row r="792" spans="1:12" ht="14.85" customHeight="1" x14ac:dyDescent="0.25">
      <c r="A792" s="108" t="s">
        <v>9308</v>
      </c>
      <c r="B792" s="115" t="s">
        <v>9337</v>
      </c>
      <c r="C792" s="115" t="s">
        <v>9338</v>
      </c>
      <c r="D792" s="109" t="s">
        <v>9882</v>
      </c>
      <c r="E792" s="110" t="s">
        <v>9883</v>
      </c>
      <c r="F792" s="236" t="s">
        <v>9484</v>
      </c>
      <c r="G792" s="115" t="s">
        <v>9324</v>
      </c>
      <c r="H792" s="115" t="s">
        <v>9323</v>
      </c>
      <c r="I792" s="7" t="s">
        <v>9536</v>
      </c>
      <c r="J792" s="108" t="s">
        <v>9537</v>
      </c>
      <c r="K792" s="7" t="s">
        <v>9443</v>
      </c>
      <c r="L792" s="7" t="s">
        <v>9484</v>
      </c>
    </row>
    <row r="793" spans="1:12" ht="14.85" customHeight="1" x14ac:dyDescent="0.25">
      <c r="A793" s="108" t="s">
        <v>9308</v>
      </c>
      <c r="B793" s="115" t="s">
        <v>9337</v>
      </c>
      <c r="C793" s="115" t="s">
        <v>9338</v>
      </c>
      <c r="D793" s="109" t="s">
        <v>9885</v>
      </c>
      <c r="E793" s="110" t="s">
        <v>9886</v>
      </c>
      <c r="F793" s="236" t="s">
        <v>9484</v>
      </c>
      <c r="G793" s="115" t="s">
        <v>9324</v>
      </c>
      <c r="H793" s="115" t="s">
        <v>9323</v>
      </c>
      <c r="I793" s="7" t="s">
        <v>9342</v>
      </c>
      <c r="J793" s="108" t="s">
        <v>9343</v>
      </c>
      <c r="K793" s="7" t="s">
        <v>9341</v>
      </c>
      <c r="L793" s="7" t="s">
        <v>9484</v>
      </c>
    </row>
    <row r="794" spans="1:12" ht="14.85" customHeight="1" x14ac:dyDescent="0.25">
      <c r="A794" s="108" t="s">
        <v>9308</v>
      </c>
      <c r="B794" s="115" t="s">
        <v>9337</v>
      </c>
      <c r="C794" s="115" t="s">
        <v>9338</v>
      </c>
      <c r="D794" s="109" t="s">
        <v>9885</v>
      </c>
      <c r="E794" s="110" t="s">
        <v>9886</v>
      </c>
      <c r="F794" s="236" t="s">
        <v>9484</v>
      </c>
      <c r="G794" s="115" t="s">
        <v>9324</v>
      </c>
      <c r="H794" s="115" t="s">
        <v>9323</v>
      </c>
      <c r="I794" s="7" t="s">
        <v>9582</v>
      </c>
      <c r="J794" s="108" t="s">
        <v>9583</v>
      </c>
      <c r="K794" s="7" t="s">
        <v>9440</v>
      </c>
      <c r="L794" s="7" t="s">
        <v>9884</v>
      </c>
    </row>
    <row r="795" spans="1:12" ht="14.85" customHeight="1" x14ac:dyDescent="0.25">
      <c r="A795" s="108" t="s">
        <v>9308</v>
      </c>
      <c r="B795" s="115" t="s">
        <v>9337</v>
      </c>
      <c r="C795" s="115" t="s">
        <v>9338</v>
      </c>
      <c r="D795" s="109" t="s">
        <v>9885</v>
      </c>
      <c r="E795" s="110" t="s">
        <v>9886</v>
      </c>
      <c r="F795" s="236" t="s">
        <v>9484</v>
      </c>
      <c r="G795" s="115" t="s">
        <v>9324</v>
      </c>
      <c r="H795" s="115" t="s">
        <v>9323</v>
      </c>
      <c r="I795" s="7" t="s">
        <v>9594</v>
      </c>
      <c r="J795" s="108" t="s">
        <v>9595</v>
      </c>
      <c r="K795" s="7" t="s">
        <v>9440</v>
      </c>
      <c r="L795" s="7" t="s">
        <v>9884</v>
      </c>
    </row>
    <row r="796" spans="1:12" ht="14.85" customHeight="1" x14ac:dyDescent="0.25">
      <c r="A796" s="108" t="s">
        <v>9308</v>
      </c>
      <c r="B796" s="115" t="s">
        <v>9337</v>
      </c>
      <c r="C796" s="115" t="s">
        <v>9338</v>
      </c>
      <c r="D796" s="109" t="s">
        <v>9885</v>
      </c>
      <c r="E796" s="110" t="s">
        <v>9886</v>
      </c>
      <c r="F796" s="236" t="s">
        <v>9484</v>
      </c>
      <c r="G796" s="115" t="s">
        <v>9324</v>
      </c>
      <c r="H796" s="115" t="s">
        <v>9323</v>
      </c>
      <c r="I796" s="7" t="s">
        <v>9605</v>
      </c>
      <c r="J796" s="108" t="s">
        <v>9606</v>
      </c>
      <c r="K796" s="7" t="s">
        <v>9440</v>
      </c>
      <c r="L796" s="7" t="s">
        <v>9884</v>
      </c>
    </row>
    <row r="797" spans="1:12" ht="14.85" customHeight="1" x14ac:dyDescent="0.25">
      <c r="A797" s="108" t="s">
        <v>9308</v>
      </c>
      <c r="B797" s="115" t="s">
        <v>9337</v>
      </c>
      <c r="C797" s="115" t="s">
        <v>9338</v>
      </c>
      <c r="D797" s="109" t="s">
        <v>9885</v>
      </c>
      <c r="E797" s="110" t="s">
        <v>9886</v>
      </c>
      <c r="F797" s="236" t="s">
        <v>9484</v>
      </c>
      <c r="G797" s="115" t="s">
        <v>9324</v>
      </c>
      <c r="H797" s="115" t="s">
        <v>9323</v>
      </c>
      <c r="I797" s="7" t="s">
        <v>9584</v>
      </c>
      <c r="J797" s="108" t="s">
        <v>9585</v>
      </c>
      <c r="K797" s="7" t="s">
        <v>9440</v>
      </c>
      <c r="L797" s="7" t="s">
        <v>9884</v>
      </c>
    </row>
    <row r="798" spans="1:12" ht="14.85" customHeight="1" x14ac:dyDescent="0.25">
      <c r="A798" s="108" t="s">
        <v>9308</v>
      </c>
      <c r="B798" s="115" t="s">
        <v>9337</v>
      </c>
      <c r="C798" s="115" t="s">
        <v>9338</v>
      </c>
      <c r="D798" s="109" t="s">
        <v>9885</v>
      </c>
      <c r="E798" s="110" t="s">
        <v>9886</v>
      </c>
      <c r="F798" s="236" t="s">
        <v>9484</v>
      </c>
      <c r="G798" s="115" t="s">
        <v>9324</v>
      </c>
      <c r="H798" s="115" t="s">
        <v>9323</v>
      </c>
      <c r="I798" s="7" t="s">
        <v>9615</v>
      </c>
      <c r="J798" s="108" t="s">
        <v>9616</v>
      </c>
      <c r="K798" s="7" t="s">
        <v>9440</v>
      </c>
      <c r="L798" s="7" t="s">
        <v>9884</v>
      </c>
    </row>
    <row r="799" spans="1:12" ht="14.85" customHeight="1" x14ac:dyDescent="0.25">
      <c r="A799" s="108" t="s">
        <v>9308</v>
      </c>
      <c r="B799" s="115" t="s">
        <v>9337</v>
      </c>
      <c r="C799" s="115" t="s">
        <v>9338</v>
      </c>
      <c r="D799" s="109" t="s">
        <v>9885</v>
      </c>
      <c r="E799" s="110" t="s">
        <v>9886</v>
      </c>
      <c r="F799" s="236" t="s">
        <v>9484</v>
      </c>
      <c r="G799" s="115" t="s">
        <v>9324</v>
      </c>
      <c r="H799" s="115" t="s">
        <v>9323</v>
      </c>
      <c r="I799" s="7" t="s">
        <v>9351</v>
      </c>
      <c r="J799" s="108" t="s">
        <v>9352</v>
      </c>
      <c r="K799" s="7" t="s">
        <v>9353</v>
      </c>
      <c r="L799" s="7" t="s">
        <v>9484</v>
      </c>
    </row>
    <row r="800" spans="1:12" ht="14.85" customHeight="1" x14ac:dyDescent="0.25">
      <c r="A800" s="108" t="s">
        <v>9308</v>
      </c>
      <c r="B800" s="115" t="s">
        <v>9337</v>
      </c>
      <c r="C800" s="115" t="s">
        <v>9338</v>
      </c>
      <c r="D800" s="109" t="s">
        <v>9885</v>
      </c>
      <c r="E800" s="110" t="s">
        <v>9886</v>
      </c>
      <c r="F800" s="236" t="s">
        <v>9484</v>
      </c>
      <c r="G800" s="115" t="s">
        <v>9324</v>
      </c>
      <c r="H800" s="115" t="s">
        <v>9323</v>
      </c>
      <c r="I800" s="7" t="s">
        <v>9586</v>
      </c>
      <c r="J800" s="108" t="s">
        <v>9587</v>
      </c>
      <c r="K800" s="7" t="s">
        <v>9443</v>
      </c>
      <c r="L800" s="7" t="s">
        <v>9484</v>
      </c>
    </row>
    <row r="801" spans="1:12" ht="14.85" customHeight="1" x14ac:dyDescent="0.25">
      <c r="A801" s="108" t="s">
        <v>9308</v>
      </c>
      <c r="B801" s="115" t="s">
        <v>9337</v>
      </c>
      <c r="C801" s="115" t="s">
        <v>9338</v>
      </c>
      <c r="D801" s="109" t="s">
        <v>9885</v>
      </c>
      <c r="E801" s="110" t="s">
        <v>9886</v>
      </c>
      <c r="F801" s="236" t="s">
        <v>9484</v>
      </c>
      <c r="G801" s="115" t="s">
        <v>9324</v>
      </c>
      <c r="H801" s="115" t="s">
        <v>9323</v>
      </c>
      <c r="I801" s="7" t="s">
        <v>9596</v>
      </c>
      <c r="J801" s="108" t="s">
        <v>9597</v>
      </c>
      <c r="K801" s="7" t="s">
        <v>9443</v>
      </c>
      <c r="L801" s="7" t="s">
        <v>9484</v>
      </c>
    </row>
    <row r="802" spans="1:12" ht="14.85" customHeight="1" x14ac:dyDescent="0.25">
      <c r="A802" s="108" t="s">
        <v>9308</v>
      </c>
      <c r="B802" s="115" t="s">
        <v>9337</v>
      </c>
      <c r="C802" s="115" t="s">
        <v>9338</v>
      </c>
      <c r="D802" s="109" t="s">
        <v>9885</v>
      </c>
      <c r="E802" s="110" t="s">
        <v>9886</v>
      </c>
      <c r="F802" s="236" t="s">
        <v>9484</v>
      </c>
      <c r="G802" s="115" t="s">
        <v>9324</v>
      </c>
      <c r="H802" s="115" t="s">
        <v>9323</v>
      </c>
      <c r="I802" s="7" t="s">
        <v>9607</v>
      </c>
      <c r="J802" s="108" t="s">
        <v>9608</v>
      </c>
      <c r="K802" s="7" t="s">
        <v>9443</v>
      </c>
      <c r="L802" s="7" t="s">
        <v>9484</v>
      </c>
    </row>
    <row r="803" spans="1:12" ht="14.85" customHeight="1" x14ac:dyDescent="0.25">
      <c r="A803" s="108" t="s">
        <v>9308</v>
      </c>
      <c r="B803" s="115" t="s">
        <v>9337</v>
      </c>
      <c r="C803" s="115" t="s">
        <v>9338</v>
      </c>
      <c r="D803" s="109" t="s">
        <v>9885</v>
      </c>
      <c r="E803" s="110" t="s">
        <v>9886</v>
      </c>
      <c r="F803" s="236" t="s">
        <v>9484</v>
      </c>
      <c r="G803" s="115" t="s">
        <v>9324</v>
      </c>
      <c r="H803" s="115" t="s">
        <v>9323</v>
      </c>
      <c r="I803" s="7" t="s">
        <v>9588</v>
      </c>
      <c r="J803" s="108" t="s">
        <v>9589</v>
      </c>
      <c r="K803" s="7" t="s">
        <v>9443</v>
      </c>
      <c r="L803" s="7" t="s">
        <v>9484</v>
      </c>
    </row>
    <row r="804" spans="1:12" ht="14.85" customHeight="1" x14ac:dyDescent="0.25">
      <c r="A804" s="108" t="s">
        <v>9308</v>
      </c>
      <c r="B804" s="115" t="s">
        <v>9337</v>
      </c>
      <c r="C804" s="115" t="s">
        <v>9338</v>
      </c>
      <c r="D804" s="109" t="s">
        <v>9885</v>
      </c>
      <c r="E804" s="110" t="s">
        <v>9886</v>
      </c>
      <c r="F804" s="236" t="s">
        <v>9484</v>
      </c>
      <c r="G804" s="115" t="s">
        <v>9324</v>
      </c>
      <c r="H804" s="115" t="s">
        <v>9323</v>
      </c>
      <c r="I804" s="7" t="s">
        <v>9617</v>
      </c>
      <c r="J804" s="108" t="s">
        <v>9618</v>
      </c>
      <c r="K804" s="7" t="s">
        <v>9443</v>
      </c>
      <c r="L804" s="7" t="s">
        <v>9484</v>
      </c>
    </row>
    <row r="805" spans="1:12" ht="14.85" customHeight="1" x14ac:dyDescent="0.25">
      <c r="A805" s="108" t="s">
        <v>9308</v>
      </c>
      <c r="B805" s="115" t="s">
        <v>9337</v>
      </c>
      <c r="C805" s="115" t="s">
        <v>9338</v>
      </c>
      <c r="D805" s="109" t="s">
        <v>9887</v>
      </c>
      <c r="E805" s="110" t="s">
        <v>9888</v>
      </c>
      <c r="F805" s="236" t="s">
        <v>9467</v>
      </c>
      <c r="G805" s="115" t="s">
        <v>9324</v>
      </c>
      <c r="H805" s="115" t="s">
        <v>9323</v>
      </c>
      <c r="I805" s="7" t="s">
        <v>9422</v>
      </c>
      <c r="J805" s="110" t="s">
        <v>9423</v>
      </c>
      <c r="K805" s="7" t="s">
        <v>9353</v>
      </c>
      <c r="L805" s="236" t="s">
        <v>9467</v>
      </c>
    </row>
    <row r="806" spans="1:12" ht="14.85" customHeight="1" x14ac:dyDescent="0.25">
      <c r="A806" s="108" t="s">
        <v>9308</v>
      </c>
      <c r="B806" s="115" t="s">
        <v>9337</v>
      </c>
      <c r="C806" s="115" t="s">
        <v>9338</v>
      </c>
      <c r="D806" s="109" t="s">
        <v>9887</v>
      </c>
      <c r="E806" s="110" t="s">
        <v>9888</v>
      </c>
      <c r="F806" s="236" t="s">
        <v>9467</v>
      </c>
      <c r="G806" s="115" t="s">
        <v>9324</v>
      </c>
      <c r="H806" s="115" t="s">
        <v>9323</v>
      </c>
      <c r="I806" s="7" t="s">
        <v>9424</v>
      </c>
      <c r="J806" s="110" t="s">
        <v>9425</v>
      </c>
      <c r="K806" s="7" t="s">
        <v>9341</v>
      </c>
      <c r="L806" s="236" t="s">
        <v>9484</v>
      </c>
    </row>
    <row r="807" spans="1:12" ht="14.85" customHeight="1" x14ac:dyDescent="0.25">
      <c r="A807" s="108" t="s">
        <v>9308</v>
      </c>
      <c r="B807" s="115" t="s">
        <v>9337</v>
      </c>
      <c r="C807" s="115" t="s">
        <v>9338</v>
      </c>
      <c r="D807" s="109" t="s">
        <v>9887</v>
      </c>
      <c r="E807" s="110" t="s">
        <v>9888</v>
      </c>
      <c r="F807" s="236" t="s">
        <v>9467</v>
      </c>
      <c r="G807" s="115" t="s">
        <v>9324</v>
      </c>
      <c r="H807" s="115" t="s">
        <v>9323</v>
      </c>
      <c r="I807" s="7" t="s">
        <v>9889</v>
      </c>
      <c r="J807" s="110" t="s">
        <v>9890</v>
      </c>
      <c r="K807" s="7" t="s">
        <v>9440</v>
      </c>
      <c r="L807" s="236" t="s">
        <v>9440</v>
      </c>
    </row>
    <row r="808" spans="1:12" ht="14.85" customHeight="1" x14ac:dyDescent="0.25">
      <c r="A808" s="108" t="s">
        <v>9308</v>
      </c>
      <c r="B808" s="115" t="s">
        <v>9337</v>
      </c>
      <c r="C808" s="115" t="s">
        <v>9338</v>
      </c>
      <c r="D808" s="109" t="s">
        <v>9891</v>
      </c>
      <c r="E808" s="110" t="s">
        <v>9892</v>
      </c>
      <c r="F808" s="236" t="s">
        <v>9467</v>
      </c>
      <c r="G808" s="115" t="s">
        <v>9324</v>
      </c>
      <c r="H808" s="115" t="s">
        <v>9323</v>
      </c>
      <c r="I808" s="7" t="s">
        <v>9422</v>
      </c>
      <c r="J808" s="110" t="s">
        <v>9423</v>
      </c>
      <c r="K808" s="7" t="s">
        <v>9353</v>
      </c>
      <c r="L808" s="236" t="s">
        <v>9467</v>
      </c>
    </row>
    <row r="809" spans="1:12" ht="14.85" customHeight="1" x14ac:dyDescent="0.25">
      <c r="A809" s="108" t="s">
        <v>9308</v>
      </c>
      <c r="B809" s="115" t="s">
        <v>9337</v>
      </c>
      <c r="C809" s="115" t="s">
        <v>9338</v>
      </c>
      <c r="D809" s="109" t="s">
        <v>9891</v>
      </c>
      <c r="E809" s="110" t="s">
        <v>9892</v>
      </c>
      <c r="F809" s="236" t="s">
        <v>9467</v>
      </c>
      <c r="G809" s="115" t="s">
        <v>9324</v>
      </c>
      <c r="H809" s="115" t="s">
        <v>9323</v>
      </c>
      <c r="I809" s="7" t="s">
        <v>9889</v>
      </c>
      <c r="J809" s="110" t="s">
        <v>9890</v>
      </c>
      <c r="K809" s="7" t="s">
        <v>9440</v>
      </c>
      <c r="L809" s="236" t="s">
        <v>9467</v>
      </c>
    </row>
    <row r="810" spans="1:12" ht="14.85" customHeight="1" x14ac:dyDescent="0.25">
      <c r="A810" s="108" t="s">
        <v>9308</v>
      </c>
      <c r="B810" s="115" t="s">
        <v>9337</v>
      </c>
      <c r="C810" s="115" t="s">
        <v>9338</v>
      </c>
      <c r="D810" s="109" t="s">
        <v>9893</v>
      </c>
      <c r="E810" s="79" t="s">
        <v>13507</v>
      </c>
      <c r="F810" s="109" t="s">
        <v>9782</v>
      </c>
      <c r="G810" s="115" t="s">
        <v>9324</v>
      </c>
      <c r="H810" s="115" t="s">
        <v>9323</v>
      </c>
      <c r="I810" s="7" t="s">
        <v>9894</v>
      </c>
      <c r="J810" s="110" t="s">
        <v>9895</v>
      </c>
      <c r="K810" s="7" t="s">
        <v>9782</v>
      </c>
      <c r="L810" s="236" t="s">
        <v>9467</v>
      </c>
    </row>
    <row r="811" spans="1:12" s="113" customFormat="1" ht="14.85" customHeight="1" x14ac:dyDescent="0.25">
      <c r="A811" s="108" t="s">
        <v>9308</v>
      </c>
      <c r="B811" s="115" t="s">
        <v>9337</v>
      </c>
      <c r="C811" s="115" t="s">
        <v>9338</v>
      </c>
      <c r="D811" s="109" t="s">
        <v>9896</v>
      </c>
      <c r="E811" s="79" t="s">
        <v>13506</v>
      </c>
      <c r="F811" s="109" t="s">
        <v>9782</v>
      </c>
      <c r="G811" s="115" t="s">
        <v>9324</v>
      </c>
      <c r="H811" s="115" t="s">
        <v>9323</v>
      </c>
      <c r="I811" s="7" t="s">
        <v>9780</v>
      </c>
      <c r="J811" s="110" t="s">
        <v>9781</v>
      </c>
      <c r="K811" s="7" t="s">
        <v>9782</v>
      </c>
      <c r="L811" s="236" t="s">
        <v>9467</v>
      </c>
    </row>
    <row r="812" spans="1:12" ht="14.85" customHeight="1" x14ac:dyDescent="0.25">
      <c r="A812" s="108" t="s">
        <v>9308</v>
      </c>
      <c r="B812" s="115" t="s">
        <v>9337</v>
      </c>
      <c r="C812" s="115" t="s">
        <v>9338</v>
      </c>
      <c r="D812" s="109" t="s">
        <v>9897</v>
      </c>
      <c r="E812" s="110" t="s">
        <v>9898</v>
      </c>
      <c r="F812" s="236" t="s">
        <v>9496</v>
      </c>
      <c r="G812" s="115" t="s">
        <v>9324</v>
      </c>
      <c r="H812" s="115" t="s">
        <v>9323</v>
      </c>
      <c r="I812" s="7"/>
      <c r="J812" s="110" t="s">
        <v>9899</v>
      </c>
      <c r="K812" s="7"/>
      <c r="L812" s="114"/>
    </row>
    <row r="813" spans="1:12" s="113" customFormat="1" ht="14.85" customHeight="1" x14ac:dyDescent="0.25">
      <c r="A813" s="108" t="s">
        <v>9308</v>
      </c>
      <c r="B813" s="117" t="s">
        <v>9337</v>
      </c>
      <c r="C813" s="117" t="s">
        <v>9900</v>
      </c>
      <c r="D813" s="111" t="s">
        <v>9901</v>
      </c>
      <c r="E813" s="112" t="s">
        <v>9902</v>
      </c>
      <c r="F813" s="114" t="s">
        <v>9903</v>
      </c>
      <c r="G813" s="237" t="s">
        <v>9323</v>
      </c>
      <c r="H813" s="117" t="s">
        <v>9323</v>
      </c>
      <c r="I813" s="114"/>
      <c r="J813" s="238" t="s">
        <v>9903</v>
      </c>
      <c r="K813" s="114" t="s">
        <v>9903</v>
      </c>
      <c r="L813" s="114"/>
    </row>
    <row r="814" spans="1:12" s="113" customFormat="1" ht="14.85" customHeight="1" x14ac:dyDescent="0.25">
      <c r="A814" s="108" t="s">
        <v>9308</v>
      </c>
      <c r="B814" s="117" t="s">
        <v>9337</v>
      </c>
      <c r="C814" s="117" t="s">
        <v>9900</v>
      </c>
      <c r="D814" s="111" t="s">
        <v>9904</v>
      </c>
      <c r="E814" s="112" t="s">
        <v>9905</v>
      </c>
      <c r="F814" s="114" t="s">
        <v>9903</v>
      </c>
      <c r="G814" s="237" t="s">
        <v>9323</v>
      </c>
      <c r="H814" s="117" t="s">
        <v>9323</v>
      </c>
      <c r="I814" s="114"/>
      <c r="J814" s="238" t="s">
        <v>9903</v>
      </c>
      <c r="K814" s="114" t="s">
        <v>9903</v>
      </c>
      <c r="L814" s="114"/>
    </row>
    <row r="815" spans="1:12" s="113" customFormat="1" ht="14.85" customHeight="1" x14ac:dyDescent="0.25">
      <c r="A815" s="108" t="s">
        <v>9308</v>
      </c>
      <c r="B815" s="117" t="s">
        <v>9337</v>
      </c>
      <c r="C815" s="117" t="s">
        <v>9900</v>
      </c>
      <c r="D815" s="111" t="s">
        <v>9906</v>
      </c>
      <c r="E815" s="112" t="s">
        <v>9907</v>
      </c>
      <c r="F815" s="114" t="s">
        <v>9903</v>
      </c>
      <c r="G815" s="237" t="s">
        <v>9323</v>
      </c>
      <c r="H815" s="117" t="s">
        <v>9323</v>
      </c>
      <c r="I815" s="114"/>
      <c r="J815" s="238" t="s">
        <v>9903</v>
      </c>
      <c r="K815" s="114" t="s">
        <v>9903</v>
      </c>
      <c r="L815" s="114"/>
    </row>
    <row r="816" spans="1:12" s="113" customFormat="1" ht="14.85" customHeight="1" x14ac:dyDescent="0.25">
      <c r="A816" s="108" t="s">
        <v>9308</v>
      </c>
      <c r="B816" s="117" t="s">
        <v>9337</v>
      </c>
      <c r="C816" s="117" t="s">
        <v>9900</v>
      </c>
      <c r="D816" s="111" t="s">
        <v>9908</v>
      </c>
      <c r="E816" s="112" t="s">
        <v>9909</v>
      </c>
      <c r="F816" s="114" t="s">
        <v>9903</v>
      </c>
      <c r="G816" s="237" t="s">
        <v>9323</v>
      </c>
      <c r="H816" s="117" t="s">
        <v>9323</v>
      </c>
      <c r="I816" s="114"/>
      <c r="J816" s="238" t="s">
        <v>9903</v>
      </c>
      <c r="K816" s="114" t="s">
        <v>9903</v>
      </c>
      <c r="L816" s="114"/>
    </row>
    <row r="817" spans="1:12" s="113" customFormat="1" ht="14.85" customHeight="1" x14ac:dyDescent="0.25">
      <c r="A817" s="108" t="s">
        <v>9308</v>
      </c>
      <c r="B817" s="117" t="s">
        <v>9337</v>
      </c>
      <c r="C817" s="117" t="s">
        <v>9900</v>
      </c>
      <c r="D817" s="111" t="s">
        <v>9910</v>
      </c>
      <c r="E817" s="112" t="s">
        <v>9911</v>
      </c>
      <c r="F817" s="114" t="s">
        <v>9903</v>
      </c>
      <c r="G817" s="237" t="s">
        <v>9323</v>
      </c>
      <c r="H817" s="117" t="s">
        <v>9323</v>
      </c>
      <c r="I817" s="114"/>
      <c r="J817" s="238" t="s">
        <v>9903</v>
      </c>
      <c r="K817" s="114" t="s">
        <v>9903</v>
      </c>
      <c r="L817" s="114"/>
    </row>
    <row r="818" spans="1:12" s="113" customFormat="1" ht="14.85" customHeight="1" x14ac:dyDescent="0.25">
      <c r="A818" s="108" t="s">
        <v>9308</v>
      </c>
      <c r="B818" s="117" t="s">
        <v>9337</v>
      </c>
      <c r="C818" s="117" t="s">
        <v>9900</v>
      </c>
      <c r="D818" s="111" t="s">
        <v>9912</v>
      </c>
      <c r="E818" s="112" t="s">
        <v>9913</v>
      </c>
      <c r="F818" s="114" t="s">
        <v>9903</v>
      </c>
      <c r="G818" s="237" t="s">
        <v>9323</v>
      </c>
      <c r="H818" s="117" t="s">
        <v>9323</v>
      </c>
      <c r="I818" s="114"/>
      <c r="J818" s="238" t="s">
        <v>9903</v>
      </c>
      <c r="K818" s="114" t="s">
        <v>9903</v>
      </c>
      <c r="L818" s="114"/>
    </row>
    <row r="819" spans="1:12" s="113" customFormat="1" ht="14.85" customHeight="1" x14ac:dyDescent="0.25">
      <c r="A819" s="108" t="s">
        <v>9308</v>
      </c>
      <c r="B819" s="117" t="s">
        <v>9337</v>
      </c>
      <c r="C819" s="117" t="s">
        <v>9900</v>
      </c>
      <c r="D819" s="111" t="s">
        <v>9914</v>
      </c>
      <c r="E819" s="112" t="s">
        <v>9915</v>
      </c>
      <c r="F819" s="114" t="s">
        <v>9903</v>
      </c>
      <c r="G819" s="237" t="s">
        <v>9323</v>
      </c>
      <c r="H819" s="117" t="s">
        <v>9323</v>
      </c>
      <c r="I819" s="114"/>
      <c r="J819" s="238" t="s">
        <v>9903</v>
      </c>
      <c r="K819" s="114" t="s">
        <v>9903</v>
      </c>
      <c r="L819" s="114"/>
    </row>
    <row r="820" spans="1:12" s="113" customFormat="1" ht="14.85" customHeight="1" x14ac:dyDescent="0.25">
      <c r="A820" s="108" t="s">
        <v>9308</v>
      </c>
      <c r="B820" s="117" t="s">
        <v>9337</v>
      </c>
      <c r="C820" s="117" t="s">
        <v>9900</v>
      </c>
      <c r="D820" s="111" t="s">
        <v>9916</v>
      </c>
      <c r="E820" s="112" t="s">
        <v>9917</v>
      </c>
      <c r="F820" s="114" t="s">
        <v>9903</v>
      </c>
      <c r="G820" s="237" t="s">
        <v>9323</v>
      </c>
      <c r="H820" s="117" t="s">
        <v>9323</v>
      </c>
      <c r="I820" s="114"/>
      <c r="J820" s="238" t="s">
        <v>9903</v>
      </c>
      <c r="K820" s="114" t="s">
        <v>9903</v>
      </c>
      <c r="L820" s="114"/>
    </row>
    <row r="821" spans="1:12" s="113" customFormat="1" ht="14.85" customHeight="1" x14ac:dyDescent="0.25">
      <c r="A821" s="108" t="s">
        <v>9308</v>
      </c>
      <c r="B821" s="117" t="s">
        <v>9337</v>
      </c>
      <c r="C821" s="117" t="s">
        <v>9900</v>
      </c>
      <c r="D821" s="111" t="s">
        <v>9918</v>
      </c>
      <c r="E821" s="112" t="s">
        <v>9919</v>
      </c>
      <c r="F821" s="114" t="s">
        <v>9903</v>
      </c>
      <c r="G821" s="237" t="s">
        <v>9323</v>
      </c>
      <c r="H821" s="117" t="s">
        <v>9323</v>
      </c>
      <c r="I821" s="114"/>
      <c r="J821" s="238" t="s">
        <v>9903</v>
      </c>
      <c r="K821" s="114" t="s">
        <v>9903</v>
      </c>
      <c r="L821" s="114"/>
    </row>
    <row r="822" spans="1:12" s="113" customFormat="1" ht="14.85" customHeight="1" x14ac:dyDescent="0.25">
      <c r="A822" s="108" t="s">
        <v>9308</v>
      </c>
      <c r="B822" s="117" t="s">
        <v>9337</v>
      </c>
      <c r="C822" s="117" t="s">
        <v>9900</v>
      </c>
      <c r="D822" s="111" t="s">
        <v>9920</v>
      </c>
      <c r="E822" s="112" t="s">
        <v>9921</v>
      </c>
      <c r="F822" s="114" t="s">
        <v>9903</v>
      </c>
      <c r="G822" s="237" t="s">
        <v>9323</v>
      </c>
      <c r="H822" s="117" t="s">
        <v>9323</v>
      </c>
      <c r="I822" s="114"/>
      <c r="J822" s="238" t="s">
        <v>9903</v>
      </c>
      <c r="K822" s="114" t="s">
        <v>9903</v>
      </c>
      <c r="L822" s="114"/>
    </row>
    <row r="823" spans="1:12" s="113" customFormat="1" ht="14.85" customHeight="1" x14ac:dyDescent="0.25">
      <c r="A823" s="108" t="s">
        <v>9308</v>
      </c>
      <c r="B823" s="117" t="s">
        <v>9337</v>
      </c>
      <c r="C823" s="117" t="s">
        <v>9900</v>
      </c>
      <c r="D823" s="111" t="s">
        <v>9922</v>
      </c>
      <c r="E823" s="112" t="s">
        <v>9923</v>
      </c>
      <c r="F823" s="114" t="s">
        <v>9903</v>
      </c>
      <c r="G823" s="237" t="s">
        <v>9323</v>
      </c>
      <c r="H823" s="117" t="s">
        <v>9323</v>
      </c>
      <c r="I823" s="114"/>
      <c r="J823" s="238" t="s">
        <v>9903</v>
      </c>
      <c r="K823" s="114" t="s">
        <v>9903</v>
      </c>
      <c r="L823" s="114"/>
    </row>
    <row r="824" spans="1:12" s="113" customFormat="1" ht="14.85" customHeight="1" x14ac:dyDescent="0.25">
      <c r="A824" s="108" t="s">
        <v>9308</v>
      </c>
      <c r="B824" s="117" t="s">
        <v>9337</v>
      </c>
      <c r="C824" s="117" t="s">
        <v>9900</v>
      </c>
      <c r="D824" s="111" t="s">
        <v>9924</v>
      </c>
      <c r="E824" s="112" t="s">
        <v>9925</v>
      </c>
      <c r="F824" s="114" t="s">
        <v>9903</v>
      </c>
      <c r="G824" s="237" t="s">
        <v>9323</v>
      </c>
      <c r="H824" s="117" t="s">
        <v>9323</v>
      </c>
      <c r="I824" s="114"/>
      <c r="J824" s="238" t="s">
        <v>9903</v>
      </c>
      <c r="K824" s="114" t="s">
        <v>9903</v>
      </c>
      <c r="L824" s="114"/>
    </row>
    <row r="825" spans="1:12" s="113" customFormat="1" ht="14.85" customHeight="1" x14ac:dyDescent="0.25">
      <c r="A825" s="108" t="s">
        <v>9308</v>
      </c>
      <c r="B825" s="117" t="s">
        <v>9337</v>
      </c>
      <c r="C825" s="117" t="s">
        <v>9900</v>
      </c>
      <c r="D825" s="111" t="s">
        <v>9926</v>
      </c>
      <c r="E825" s="112" t="s">
        <v>9927</v>
      </c>
      <c r="F825" s="114" t="s">
        <v>9903</v>
      </c>
      <c r="G825" s="237" t="s">
        <v>9323</v>
      </c>
      <c r="H825" s="117" t="s">
        <v>9323</v>
      </c>
      <c r="I825" s="114"/>
      <c r="J825" s="238" t="s">
        <v>9903</v>
      </c>
      <c r="K825" s="114" t="s">
        <v>9903</v>
      </c>
      <c r="L825" s="114"/>
    </row>
    <row r="826" spans="1:12" s="113" customFormat="1" ht="14.85" customHeight="1" x14ac:dyDescent="0.25">
      <c r="A826" s="108" t="s">
        <v>9308</v>
      </c>
      <c r="B826" s="117" t="s">
        <v>9337</v>
      </c>
      <c r="C826" s="117" t="s">
        <v>9900</v>
      </c>
      <c r="D826" s="111" t="s">
        <v>9928</v>
      </c>
      <c r="E826" s="112" t="s">
        <v>9929</v>
      </c>
      <c r="F826" s="114" t="s">
        <v>9903</v>
      </c>
      <c r="G826" s="237" t="s">
        <v>9323</v>
      </c>
      <c r="H826" s="117" t="s">
        <v>9323</v>
      </c>
      <c r="I826" s="114"/>
      <c r="J826" s="238" t="s">
        <v>9903</v>
      </c>
      <c r="K826" s="114" t="s">
        <v>9903</v>
      </c>
      <c r="L826" s="114"/>
    </row>
    <row r="827" spans="1:12" s="113" customFormat="1" ht="14.85" customHeight="1" x14ac:dyDescent="0.25">
      <c r="A827" s="108" t="s">
        <v>9308</v>
      </c>
      <c r="B827" s="117" t="s">
        <v>9337</v>
      </c>
      <c r="C827" s="117" t="s">
        <v>9900</v>
      </c>
      <c r="D827" s="111" t="s">
        <v>9930</v>
      </c>
      <c r="E827" s="112" t="s">
        <v>9931</v>
      </c>
      <c r="F827" s="114" t="s">
        <v>9903</v>
      </c>
      <c r="G827" s="237" t="s">
        <v>9323</v>
      </c>
      <c r="H827" s="117" t="s">
        <v>9323</v>
      </c>
      <c r="I827" s="114"/>
      <c r="J827" s="238" t="s">
        <v>9903</v>
      </c>
      <c r="K827" s="114" t="s">
        <v>9903</v>
      </c>
      <c r="L827" s="114"/>
    </row>
    <row r="828" spans="1:12" s="113" customFormat="1" ht="14.85" customHeight="1" x14ac:dyDescent="0.25">
      <c r="A828" s="108" t="s">
        <v>9308</v>
      </c>
      <c r="B828" s="117" t="s">
        <v>9337</v>
      </c>
      <c r="C828" s="117" t="s">
        <v>9900</v>
      </c>
      <c r="D828" s="111" t="s">
        <v>9932</v>
      </c>
      <c r="E828" s="112" t="s">
        <v>9933</v>
      </c>
      <c r="F828" s="114" t="s">
        <v>9903</v>
      </c>
      <c r="G828" s="237" t="s">
        <v>9323</v>
      </c>
      <c r="H828" s="117" t="s">
        <v>9323</v>
      </c>
      <c r="I828" s="114"/>
      <c r="J828" s="238" t="s">
        <v>9903</v>
      </c>
      <c r="K828" s="114" t="s">
        <v>9903</v>
      </c>
      <c r="L828" s="114"/>
    </row>
    <row r="829" spans="1:12" s="113" customFormat="1" ht="14.85" customHeight="1" x14ac:dyDescent="0.25">
      <c r="A829" s="108" t="s">
        <v>9308</v>
      </c>
      <c r="B829" s="117" t="s">
        <v>9337</v>
      </c>
      <c r="C829" s="117" t="s">
        <v>9900</v>
      </c>
      <c r="D829" s="111" t="s">
        <v>9934</v>
      </c>
      <c r="E829" s="112" t="s">
        <v>9935</v>
      </c>
      <c r="F829" s="114" t="s">
        <v>9903</v>
      </c>
      <c r="G829" s="237" t="s">
        <v>9323</v>
      </c>
      <c r="H829" s="117" t="s">
        <v>9323</v>
      </c>
      <c r="I829" s="114"/>
      <c r="J829" s="238" t="s">
        <v>9936</v>
      </c>
      <c r="K829" s="114" t="s">
        <v>9903</v>
      </c>
      <c r="L829" s="114"/>
    </row>
    <row r="830" spans="1:12" s="113" customFormat="1" ht="14.85" customHeight="1" x14ac:dyDescent="0.25">
      <c r="A830" s="108" t="s">
        <v>9308</v>
      </c>
      <c r="B830" s="117" t="s">
        <v>9337</v>
      </c>
      <c r="C830" s="117" t="s">
        <v>9900</v>
      </c>
      <c r="D830" s="111" t="s">
        <v>9937</v>
      </c>
      <c r="E830" s="112" t="s">
        <v>9938</v>
      </c>
      <c r="F830" s="114" t="s">
        <v>9903</v>
      </c>
      <c r="G830" s="237" t="s">
        <v>9323</v>
      </c>
      <c r="H830" s="117" t="s">
        <v>9323</v>
      </c>
      <c r="I830" s="114"/>
      <c r="J830" s="238" t="s">
        <v>9936</v>
      </c>
      <c r="K830" s="114" t="s">
        <v>9903</v>
      </c>
      <c r="L830" s="114"/>
    </row>
    <row r="831" spans="1:12" s="113" customFormat="1" ht="14.85" customHeight="1" x14ac:dyDescent="0.25">
      <c r="A831" s="108" t="s">
        <v>9308</v>
      </c>
      <c r="B831" s="117" t="s">
        <v>9337</v>
      </c>
      <c r="C831" s="117" t="s">
        <v>9900</v>
      </c>
      <c r="D831" s="111" t="s">
        <v>9939</v>
      </c>
      <c r="E831" s="112" t="s">
        <v>9940</v>
      </c>
      <c r="F831" s="114" t="s">
        <v>9903</v>
      </c>
      <c r="G831" s="237" t="s">
        <v>9323</v>
      </c>
      <c r="H831" s="117" t="s">
        <v>9323</v>
      </c>
      <c r="I831" s="114"/>
      <c r="J831" s="238" t="s">
        <v>9936</v>
      </c>
      <c r="K831" s="114" t="s">
        <v>9903</v>
      </c>
      <c r="L831" s="114"/>
    </row>
    <row r="832" spans="1:12" s="113" customFormat="1" ht="14.85" customHeight="1" x14ac:dyDescent="0.25">
      <c r="A832" s="108" t="s">
        <v>9308</v>
      </c>
      <c r="B832" s="117" t="s">
        <v>9337</v>
      </c>
      <c r="C832" s="117" t="s">
        <v>9900</v>
      </c>
      <c r="D832" s="111" t="s">
        <v>9941</v>
      </c>
      <c r="E832" s="112" t="s">
        <v>9942</v>
      </c>
      <c r="F832" s="114" t="s">
        <v>9903</v>
      </c>
      <c r="G832" s="237" t="s">
        <v>9323</v>
      </c>
      <c r="H832" s="117" t="s">
        <v>9323</v>
      </c>
      <c r="I832" s="114"/>
      <c r="J832" s="238" t="s">
        <v>9936</v>
      </c>
      <c r="K832" s="114" t="s">
        <v>9903</v>
      </c>
      <c r="L832" s="114"/>
    </row>
    <row r="833" spans="1:12" s="319" customFormat="1" ht="14.85" customHeight="1" x14ac:dyDescent="0.25">
      <c r="A833" s="108" t="s">
        <v>13514</v>
      </c>
      <c r="B833" s="164" t="s">
        <v>9337</v>
      </c>
      <c r="C833" s="166" t="s">
        <v>9900</v>
      </c>
      <c r="D833" s="322" t="s">
        <v>13504</v>
      </c>
      <c r="E833" s="320" t="s">
        <v>13505</v>
      </c>
      <c r="F833" s="167" t="s">
        <v>9903</v>
      </c>
      <c r="G833" s="325" t="s">
        <v>9323</v>
      </c>
      <c r="H833" s="166" t="s">
        <v>9323</v>
      </c>
      <c r="I833" s="167"/>
      <c r="J833" s="243" t="s">
        <v>9936</v>
      </c>
      <c r="K833" s="167" t="s">
        <v>9903</v>
      </c>
      <c r="L833" s="167"/>
    </row>
    <row r="834" spans="1:12" s="113" customFormat="1" ht="14.85" customHeight="1" x14ac:dyDescent="0.25">
      <c r="A834" s="108" t="s">
        <v>9308</v>
      </c>
      <c r="B834" s="117" t="s">
        <v>9337</v>
      </c>
      <c r="C834" s="117" t="s">
        <v>9900</v>
      </c>
      <c r="D834" s="111" t="s">
        <v>9943</v>
      </c>
      <c r="E834" s="112" t="s">
        <v>9944</v>
      </c>
      <c r="F834" s="114" t="s">
        <v>9903</v>
      </c>
      <c r="G834" s="237" t="s">
        <v>9323</v>
      </c>
      <c r="H834" s="117" t="s">
        <v>9323</v>
      </c>
      <c r="I834" s="114"/>
      <c r="J834" s="238" t="s">
        <v>9936</v>
      </c>
      <c r="K834" s="114" t="s">
        <v>9903</v>
      </c>
      <c r="L834" s="114"/>
    </row>
    <row r="835" spans="1:12" s="113" customFormat="1" ht="14.85" customHeight="1" x14ac:dyDescent="0.25">
      <c r="A835" s="108" t="s">
        <v>9308</v>
      </c>
      <c r="B835" s="117" t="s">
        <v>9337</v>
      </c>
      <c r="C835" s="117" t="s">
        <v>9900</v>
      </c>
      <c r="D835" s="111" t="s">
        <v>9945</v>
      </c>
      <c r="E835" s="112" t="s">
        <v>9946</v>
      </c>
      <c r="F835" s="114" t="s">
        <v>9903</v>
      </c>
      <c r="G835" s="237" t="s">
        <v>9323</v>
      </c>
      <c r="H835" s="117" t="s">
        <v>9323</v>
      </c>
      <c r="I835" s="114"/>
      <c r="J835" s="238" t="s">
        <v>9936</v>
      </c>
      <c r="K835" s="114" t="s">
        <v>9903</v>
      </c>
      <c r="L835" s="114"/>
    </row>
    <row r="836" spans="1:12" s="113" customFormat="1" ht="14.85" customHeight="1" x14ac:dyDescent="0.25">
      <c r="A836" s="108" t="s">
        <v>9308</v>
      </c>
      <c r="B836" s="117" t="s">
        <v>9337</v>
      </c>
      <c r="C836" s="117" t="s">
        <v>9900</v>
      </c>
      <c r="D836" s="111" t="s">
        <v>9947</v>
      </c>
      <c r="E836" s="112" t="s">
        <v>9948</v>
      </c>
      <c r="F836" s="114" t="s">
        <v>9903</v>
      </c>
      <c r="G836" s="237" t="s">
        <v>9323</v>
      </c>
      <c r="H836" s="117" t="s">
        <v>9323</v>
      </c>
      <c r="I836" s="114"/>
      <c r="J836" s="238" t="s">
        <v>9936</v>
      </c>
      <c r="K836" s="114" t="s">
        <v>9903</v>
      </c>
      <c r="L836" s="114"/>
    </row>
    <row r="837" spans="1:12" s="113" customFormat="1" ht="14.85" customHeight="1" x14ac:dyDescent="0.25">
      <c r="A837" s="108" t="s">
        <v>9308</v>
      </c>
      <c r="B837" s="117" t="s">
        <v>9337</v>
      </c>
      <c r="C837" s="117" t="s">
        <v>9900</v>
      </c>
      <c r="D837" s="111" t="s">
        <v>9949</v>
      </c>
      <c r="E837" s="112" t="s">
        <v>9950</v>
      </c>
      <c r="F837" s="114" t="s">
        <v>9903</v>
      </c>
      <c r="G837" s="237" t="s">
        <v>9323</v>
      </c>
      <c r="H837" s="117" t="s">
        <v>9323</v>
      </c>
      <c r="I837" s="114"/>
      <c r="J837" s="238" t="s">
        <v>9936</v>
      </c>
      <c r="K837" s="114" t="s">
        <v>9903</v>
      </c>
      <c r="L837" s="114"/>
    </row>
    <row r="838" spans="1:12" s="113" customFormat="1" ht="14.85" customHeight="1" x14ac:dyDescent="0.25">
      <c r="A838" s="108" t="s">
        <v>9308</v>
      </c>
      <c r="B838" s="117" t="s">
        <v>9337</v>
      </c>
      <c r="C838" s="117" t="s">
        <v>9900</v>
      </c>
      <c r="D838" s="111" t="s">
        <v>9951</v>
      </c>
      <c r="E838" s="112" t="s">
        <v>9952</v>
      </c>
      <c r="F838" s="114" t="s">
        <v>9903</v>
      </c>
      <c r="G838" s="237" t="s">
        <v>9323</v>
      </c>
      <c r="H838" s="117" t="s">
        <v>9323</v>
      </c>
      <c r="I838" s="114"/>
      <c r="J838" s="238" t="s">
        <v>9903</v>
      </c>
      <c r="K838" s="114" t="s">
        <v>9903</v>
      </c>
      <c r="L838" s="114"/>
    </row>
    <row r="839" spans="1:12" s="113" customFormat="1" ht="14.85" customHeight="1" x14ac:dyDescent="0.25">
      <c r="A839" s="108" t="s">
        <v>9308</v>
      </c>
      <c r="B839" s="117" t="s">
        <v>9337</v>
      </c>
      <c r="C839" s="117" t="s">
        <v>9900</v>
      </c>
      <c r="D839" s="111" t="s">
        <v>9953</v>
      </c>
      <c r="E839" s="112" t="s">
        <v>9954</v>
      </c>
      <c r="F839" s="114" t="s">
        <v>9903</v>
      </c>
      <c r="G839" s="237" t="s">
        <v>9323</v>
      </c>
      <c r="H839" s="117" t="s">
        <v>9323</v>
      </c>
      <c r="I839" s="114"/>
      <c r="J839" s="238" t="s">
        <v>9903</v>
      </c>
      <c r="K839" s="114" t="s">
        <v>9903</v>
      </c>
      <c r="L839" s="114"/>
    </row>
    <row r="840" spans="1:12" s="113" customFormat="1" ht="14.55" customHeight="1" x14ac:dyDescent="0.25">
      <c r="A840" s="108" t="s">
        <v>9308</v>
      </c>
      <c r="B840" s="117" t="s">
        <v>9337</v>
      </c>
      <c r="C840" s="117" t="s">
        <v>9900</v>
      </c>
      <c r="D840" s="111" t="s">
        <v>9955</v>
      </c>
      <c r="E840" s="112" t="s">
        <v>9956</v>
      </c>
      <c r="F840" s="114" t="s">
        <v>9903</v>
      </c>
      <c r="G840" s="237" t="s">
        <v>9323</v>
      </c>
      <c r="H840" s="117" t="s">
        <v>9323</v>
      </c>
      <c r="I840" s="114"/>
      <c r="J840" s="238" t="s">
        <v>9903</v>
      </c>
      <c r="K840" s="114" t="s">
        <v>9903</v>
      </c>
      <c r="L840" s="114"/>
    </row>
    <row r="841" spans="1:12" s="113" customFormat="1" ht="14.55" customHeight="1" x14ac:dyDescent="0.25">
      <c r="A841" s="108" t="s">
        <v>9308</v>
      </c>
      <c r="B841" s="117" t="s">
        <v>9337</v>
      </c>
      <c r="C841" s="117" t="s">
        <v>9900</v>
      </c>
      <c r="D841" s="111" t="s">
        <v>9957</v>
      </c>
      <c r="E841" s="112" t="s">
        <v>9958</v>
      </c>
      <c r="F841" s="114" t="s">
        <v>9903</v>
      </c>
      <c r="G841" s="237" t="s">
        <v>9323</v>
      </c>
      <c r="H841" s="117" t="s">
        <v>9323</v>
      </c>
      <c r="I841" s="114"/>
      <c r="J841" s="238" t="s">
        <v>9903</v>
      </c>
      <c r="K841" s="114" t="s">
        <v>9903</v>
      </c>
      <c r="L841" s="114"/>
    </row>
    <row r="842" spans="1:12" s="113" customFormat="1" ht="14.85" customHeight="1" x14ac:dyDescent="0.25">
      <c r="A842" s="108" t="s">
        <v>9308</v>
      </c>
      <c r="B842" s="117" t="s">
        <v>9337</v>
      </c>
      <c r="C842" s="117" t="s">
        <v>9900</v>
      </c>
      <c r="D842" s="111" t="s">
        <v>9959</v>
      </c>
      <c r="E842" s="112" t="s">
        <v>9960</v>
      </c>
      <c r="F842" s="114" t="s">
        <v>9903</v>
      </c>
      <c r="G842" s="237" t="s">
        <v>9323</v>
      </c>
      <c r="H842" s="117" t="s">
        <v>9323</v>
      </c>
      <c r="I842" s="114"/>
      <c r="J842" s="238" t="s">
        <v>9903</v>
      </c>
      <c r="K842" s="114" t="s">
        <v>9903</v>
      </c>
      <c r="L842" s="114"/>
    </row>
    <row r="843" spans="1:12" s="113" customFormat="1" ht="14.85" customHeight="1" x14ac:dyDescent="0.25">
      <c r="A843" s="108" t="s">
        <v>9308</v>
      </c>
      <c r="B843" s="117" t="s">
        <v>9337</v>
      </c>
      <c r="C843" s="117" t="s">
        <v>9900</v>
      </c>
      <c r="D843" s="111" t="s">
        <v>9961</v>
      </c>
      <c r="E843" s="112" t="s">
        <v>9962</v>
      </c>
      <c r="F843" s="114" t="s">
        <v>9903</v>
      </c>
      <c r="G843" s="237" t="s">
        <v>9323</v>
      </c>
      <c r="H843" s="117" t="s">
        <v>9323</v>
      </c>
      <c r="I843" s="114"/>
      <c r="J843" s="238" t="s">
        <v>9903</v>
      </c>
      <c r="K843" s="114" t="s">
        <v>9903</v>
      </c>
      <c r="L843" s="114"/>
    </row>
    <row r="844" spans="1:12" s="113" customFormat="1" ht="14.85" customHeight="1" x14ac:dyDescent="0.25">
      <c r="A844" s="108" t="s">
        <v>9308</v>
      </c>
      <c r="B844" s="117" t="s">
        <v>9337</v>
      </c>
      <c r="C844" s="117" t="s">
        <v>9900</v>
      </c>
      <c r="D844" s="111" t="s">
        <v>9963</v>
      </c>
      <c r="E844" s="112" t="s">
        <v>9964</v>
      </c>
      <c r="F844" s="114" t="s">
        <v>9903</v>
      </c>
      <c r="G844" s="237" t="s">
        <v>9323</v>
      </c>
      <c r="H844" s="117" t="s">
        <v>9323</v>
      </c>
      <c r="I844" s="114"/>
      <c r="J844" s="238" t="s">
        <v>9903</v>
      </c>
      <c r="K844" s="114" t="s">
        <v>9903</v>
      </c>
      <c r="L844" s="114"/>
    </row>
    <row r="845" spans="1:12" s="113" customFormat="1" ht="14.85" customHeight="1" x14ac:dyDescent="0.25">
      <c r="A845" s="108" t="s">
        <v>9308</v>
      </c>
      <c r="B845" s="117" t="s">
        <v>9337</v>
      </c>
      <c r="C845" s="117" t="s">
        <v>9900</v>
      </c>
      <c r="D845" s="111" t="s">
        <v>9965</v>
      </c>
      <c r="E845" s="112" t="s">
        <v>9966</v>
      </c>
      <c r="F845" s="114" t="s">
        <v>9903</v>
      </c>
      <c r="G845" s="237" t="s">
        <v>9323</v>
      </c>
      <c r="H845" s="117" t="s">
        <v>9323</v>
      </c>
      <c r="I845" s="114"/>
      <c r="J845" s="238" t="s">
        <v>9903</v>
      </c>
      <c r="K845" s="114" t="s">
        <v>9903</v>
      </c>
      <c r="L845" s="114"/>
    </row>
    <row r="846" spans="1:12" s="113" customFormat="1" ht="14.85" customHeight="1" x14ac:dyDescent="0.25">
      <c r="A846" s="108" t="s">
        <v>9308</v>
      </c>
      <c r="B846" s="117" t="s">
        <v>9337</v>
      </c>
      <c r="C846" s="117" t="s">
        <v>9900</v>
      </c>
      <c r="D846" s="111" t="s">
        <v>9967</v>
      </c>
      <c r="E846" s="112" t="s">
        <v>9968</v>
      </c>
      <c r="F846" s="114" t="s">
        <v>9903</v>
      </c>
      <c r="G846" s="237" t="s">
        <v>9323</v>
      </c>
      <c r="H846" s="117" t="s">
        <v>9323</v>
      </c>
      <c r="I846" s="114"/>
      <c r="J846" s="238" t="s">
        <v>9903</v>
      </c>
      <c r="K846" s="114" t="s">
        <v>9903</v>
      </c>
      <c r="L846" s="114"/>
    </row>
    <row r="847" spans="1:12" s="113" customFormat="1" ht="14.85" customHeight="1" x14ac:dyDescent="0.25">
      <c r="A847" s="108" t="s">
        <v>9308</v>
      </c>
      <c r="B847" s="117" t="s">
        <v>9337</v>
      </c>
      <c r="C847" s="117" t="s">
        <v>9900</v>
      </c>
      <c r="D847" s="111" t="s">
        <v>9969</v>
      </c>
      <c r="E847" s="112" t="s">
        <v>9970</v>
      </c>
      <c r="F847" s="114" t="s">
        <v>9903</v>
      </c>
      <c r="G847" s="237" t="s">
        <v>9323</v>
      </c>
      <c r="H847" s="117" t="s">
        <v>9323</v>
      </c>
      <c r="I847" s="114"/>
      <c r="J847" s="238" t="s">
        <v>9903</v>
      </c>
      <c r="K847" s="114" t="s">
        <v>9903</v>
      </c>
      <c r="L847" s="114"/>
    </row>
    <row r="848" spans="1:12" s="113" customFormat="1" ht="14.85" customHeight="1" x14ac:dyDescent="0.25">
      <c r="A848" s="108" t="s">
        <v>9308</v>
      </c>
      <c r="B848" s="117" t="s">
        <v>9337</v>
      </c>
      <c r="C848" s="117" t="s">
        <v>9900</v>
      </c>
      <c r="D848" s="111" t="s">
        <v>9971</v>
      </c>
      <c r="E848" s="112" t="s">
        <v>9972</v>
      </c>
      <c r="F848" s="114" t="s">
        <v>9903</v>
      </c>
      <c r="G848" s="237" t="s">
        <v>9323</v>
      </c>
      <c r="H848" s="117" t="s">
        <v>9323</v>
      </c>
      <c r="I848" s="114"/>
      <c r="J848" s="238" t="s">
        <v>9903</v>
      </c>
      <c r="K848" s="114" t="s">
        <v>9903</v>
      </c>
      <c r="L848" s="114"/>
    </row>
    <row r="849" spans="1:12" s="113" customFormat="1" ht="14.85" customHeight="1" x14ac:dyDescent="0.25">
      <c r="A849" s="108" t="s">
        <v>9308</v>
      </c>
      <c r="B849" s="117" t="s">
        <v>9337</v>
      </c>
      <c r="C849" s="117" t="s">
        <v>9900</v>
      </c>
      <c r="D849" s="111" t="s">
        <v>9973</v>
      </c>
      <c r="E849" s="112" t="s">
        <v>9974</v>
      </c>
      <c r="F849" s="114" t="s">
        <v>9903</v>
      </c>
      <c r="G849" s="237" t="s">
        <v>9323</v>
      </c>
      <c r="H849" s="117" t="s">
        <v>9323</v>
      </c>
      <c r="I849" s="114"/>
      <c r="J849" s="238" t="s">
        <v>9903</v>
      </c>
      <c r="K849" s="114" t="s">
        <v>9903</v>
      </c>
      <c r="L849" s="114"/>
    </row>
    <row r="850" spans="1:12" s="113" customFormat="1" ht="14.85" customHeight="1" x14ac:dyDescent="0.25">
      <c r="A850" s="108" t="s">
        <v>9308</v>
      </c>
      <c r="B850" s="117" t="s">
        <v>9337</v>
      </c>
      <c r="C850" s="117" t="s">
        <v>9900</v>
      </c>
      <c r="D850" s="111" t="s">
        <v>9975</v>
      </c>
      <c r="E850" s="112" t="s">
        <v>9976</v>
      </c>
      <c r="F850" s="114" t="s">
        <v>9903</v>
      </c>
      <c r="G850" s="237" t="s">
        <v>9323</v>
      </c>
      <c r="H850" s="117" t="s">
        <v>9323</v>
      </c>
      <c r="I850" s="114"/>
      <c r="J850" s="238" t="s">
        <v>9903</v>
      </c>
      <c r="K850" s="114" t="s">
        <v>9903</v>
      </c>
      <c r="L850" s="114"/>
    </row>
    <row r="851" spans="1:12" s="113" customFormat="1" ht="14.85" customHeight="1" x14ac:dyDescent="0.25">
      <c r="A851" s="108" t="s">
        <v>9308</v>
      </c>
      <c r="B851" s="117" t="s">
        <v>9337</v>
      </c>
      <c r="C851" s="117" t="s">
        <v>9900</v>
      </c>
      <c r="D851" s="111" t="s">
        <v>9977</v>
      </c>
      <c r="E851" s="112" t="s">
        <v>9978</v>
      </c>
      <c r="F851" s="114" t="s">
        <v>9903</v>
      </c>
      <c r="G851" s="237" t="s">
        <v>9323</v>
      </c>
      <c r="H851" s="117" t="s">
        <v>9323</v>
      </c>
      <c r="I851" s="114"/>
      <c r="J851" s="238" t="s">
        <v>9903</v>
      </c>
      <c r="K851" s="114" t="s">
        <v>9903</v>
      </c>
      <c r="L851" s="114"/>
    </row>
    <row r="852" spans="1:12" s="113" customFormat="1" ht="14.85" customHeight="1" x14ac:dyDescent="0.25">
      <c r="A852" s="108" t="s">
        <v>9308</v>
      </c>
      <c r="B852" s="117" t="s">
        <v>9337</v>
      </c>
      <c r="C852" s="117" t="s">
        <v>9900</v>
      </c>
      <c r="D852" s="111" t="s">
        <v>9979</v>
      </c>
      <c r="E852" s="112" t="s">
        <v>9980</v>
      </c>
      <c r="F852" s="114" t="s">
        <v>9903</v>
      </c>
      <c r="G852" s="237" t="s">
        <v>9323</v>
      </c>
      <c r="H852" s="117" t="s">
        <v>9323</v>
      </c>
      <c r="I852" s="114"/>
      <c r="J852" s="238" t="s">
        <v>9903</v>
      </c>
      <c r="K852" s="114" t="s">
        <v>9903</v>
      </c>
      <c r="L852" s="114"/>
    </row>
    <row r="853" spans="1:12" s="113" customFormat="1" ht="14.85" customHeight="1" x14ac:dyDescent="0.25">
      <c r="A853" s="108" t="s">
        <v>9308</v>
      </c>
      <c r="B853" s="117" t="s">
        <v>9337</v>
      </c>
      <c r="C853" s="117" t="s">
        <v>9900</v>
      </c>
      <c r="D853" s="111" t="s">
        <v>9981</v>
      </c>
      <c r="E853" s="112" t="s">
        <v>9982</v>
      </c>
      <c r="F853" s="114" t="s">
        <v>9903</v>
      </c>
      <c r="G853" s="237" t="s">
        <v>9323</v>
      </c>
      <c r="H853" s="117" t="s">
        <v>9323</v>
      </c>
      <c r="I853" s="114"/>
      <c r="J853" s="238" t="s">
        <v>9903</v>
      </c>
      <c r="K853" s="114" t="s">
        <v>9903</v>
      </c>
      <c r="L853" s="114"/>
    </row>
    <row r="854" spans="1:12" s="113" customFormat="1" ht="14.85" customHeight="1" x14ac:dyDescent="0.25">
      <c r="A854" s="108" t="s">
        <v>9308</v>
      </c>
      <c r="B854" s="117" t="s">
        <v>9337</v>
      </c>
      <c r="C854" s="117" t="s">
        <v>9900</v>
      </c>
      <c r="D854" s="111" t="s">
        <v>9983</v>
      </c>
      <c r="E854" s="112" t="s">
        <v>9984</v>
      </c>
      <c r="F854" s="114" t="s">
        <v>9903</v>
      </c>
      <c r="G854" s="237" t="s">
        <v>9323</v>
      </c>
      <c r="H854" s="117" t="s">
        <v>9323</v>
      </c>
      <c r="I854" s="114"/>
      <c r="J854" s="238" t="s">
        <v>9903</v>
      </c>
      <c r="K854" s="114" t="s">
        <v>9903</v>
      </c>
      <c r="L854" s="114"/>
    </row>
    <row r="855" spans="1:12" s="113" customFormat="1" ht="14.85" customHeight="1" x14ac:dyDescent="0.25">
      <c r="A855" s="108" t="s">
        <v>9308</v>
      </c>
      <c r="B855" s="117" t="s">
        <v>9337</v>
      </c>
      <c r="C855" s="117" t="s">
        <v>9900</v>
      </c>
      <c r="D855" s="111" t="s">
        <v>9985</v>
      </c>
      <c r="E855" s="112" t="s">
        <v>9986</v>
      </c>
      <c r="F855" s="114" t="s">
        <v>9903</v>
      </c>
      <c r="G855" s="237" t="s">
        <v>9323</v>
      </c>
      <c r="H855" s="117" t="s">
        <v>9323</v>
      </c>
      <c r="I855" s="114"/>
      <c r="J855" s="238" t="s">
        <v>9903</v>
      </c>
      <c r="K855" s="114" t="s">
        <v>9903</v>
      </c>
      <c r="L855" s="114"/>
    </row>
    <row r="856" spans="1:12" s="113" customFormat="1" ht="14.85" customHeight="1" x14ac:dyDescent="0.25">
      <c r="A856" s="108" t="s">
        <v>9308</v>
      </c>
      <c r="B856" s="117" t="s">
        <v>9337</v>
      </c>
      <c r="C856" s="117" t="s">
        <v>9900</v>
      </c>
      <c r="D856" s="111" t="s">
        <v>9987</v>
      </c>
      <c r="E856" s="112" t="s">
        <v>9988</v>
      </c>
      <c r="F856" s="114" t="s">
        <v>9903</v>
      </c>
      <c r="G856" s="237" t="s">
        <v>9323</v>
      </c>
      <c r="H856" s="117" t="s">
        <v>9323</v>
      </c>
      <c r="I856" s="114"/>
      <c r="J856" s="238" t="s">
        <v>9903</v>
      </c>
      <c r="K856" s="114" t="s">
        <v>9903</v>
      </c>
      <c r="L856" s="114"/>
    </row>
    <row r="857" spans="1:12" s="113" customFormat="1" ht="14.85" customHeight="1" x14ac:dyDescent="0.25">
      <c r="A857" s="108" t="s">
        <v>9308</v>
      </c>
      <c r="B857" s="117" t="s">
        <v>9337</v>
      </c>
      <c r="C857" s="117" t="s">
        <v>9900</v>
      </c>
      <c r="D857" s="111" t="s">
        <v>9989</v>
      </c>
      <c r="E857" s="112" t="s">
        <v>9990</v>
      </c>
      <c r="F857" s="114" t="s">
        <v>9903</v>
      </c>
      <c r="G857" s="237" t="s">
        <v>9323</v>
      </c>
      <c r="H857" s="117" t="s">
        <v>9323</v>
      </c>
      <c r="I857" s="114"/>
      <c r="J857" s="238" t="s">
        <v>9903</v>
      </c>
      <c r="K857" s="114" t="s">
        <v>9903</v>
      </c>
      <c r="L857" s="114"/>
    </row>
    <row r="858" spans="1:12" s="113" customFormat="1" ht="14.85" customHeight="1" x14ac:dyDescent="0.25">
      <c r="A858" s="108" t="s">
        <v>9308</v>
      </c>
      <c r="B858" s="117" t="s">
        <v>9337</v>
      </c>
      <c r="C858" s="117" t="s">
        <v>9900</v>
      </c>
      <c r="D858" s="111" t="s">
        <v>9991</v>
      </c>
      <c r="E858" s="112" t="s">
        <v>9848</v>
      </c>
      <c r="F858" s="114" t="s">
        <v>9903</v>
      </c>
      <c r="G858" s="237" t="s">
        <v>9323</v>
      </c>
      <c r="H858" s="117" t="s">
        <v>9323</v>
      </c>
      <c r="I858" s="114"/>
      <c r="J858" s="238" t="s">
        <v>9992</v>
      </c>
      <c r="K858" s="114" t="s">
        <v>9903</v>
      </c>
      <c r="L858" s="114"/>
    </row>
    <row r="859" spans="1:12" s="113" customFormat="1" ht="14.85" customHeight="1" x14ac:dyDescent="0.25">
      <c r="A859" s="108" t="s">
        <v>9308</v>
      </c>
      <c r="B859" s="117" t="s">
        <v>9337</v>
      </c>
      <c r="C859" s="117" t="s">
        <v>9900</v>
      </c>
      <c r="D859" s="111" t="s">
        <v>9993</v>
      </c>
      <c r="E859" s="112" t="s">
        <v>9851</v>
      </c>
      <c r="F859" s="114" t="s">
        <v>9903</v>
      </c>
      <c r="G859" s="237" t="s">
        <v>9323</v>
      </c>
      <c r="H859" s="117" t="s">
        <v>9323</v>
      </c>
      <c r="I859" s="114"/>
      <c r="J859" s="238" t="s">
        <v>9994</v>
      </c>
      <c r="K859" s="114" t="s">
        <v>9903</v>
      </c>
      <c r="L859" s="114"/>
    </row>
    <row r="860" spans="1:12" s="113" customFormat="1" ht="14.85" customHeight="1" x14ac:dyDescent="0.25">
      <c r="A860" s="108" t="s">
        <v>9308</v>
      </c>
      <c r="B860" s="117" t="s">
        <v>9337</v>
      </c>
      <c r="C860" s="117" t="s">
        <v>9900</v>
      </c>
      <c r="D860" s="111" t="s">
        <v>9995</v>
      </c>
      <c r="E860" s="112" t="s">
        <v>9996</v>
      </c>
      <c r="F860" s="114" t="s">
        <v>9903</v>
      </c>
      <c r="G860" s="237" t="s">
        <v>9323</v>
      </c>
      <c r="H860" s="117" t="s">
        <v>9323</v>
      </c>
      <c r="I860" s="114"/>
      <c r="J860" s="238" t="s">
        <v>9903</v>
      </c>
      <c r="K860" s="114" t="s">
        <v>9903</v>
      </c>
      <c r="L860" s="114"/>
    </row>
    <row r="861" spans="1:12" s="113" customFormat="1" ht="14.85" customHeight="1" x14ac:dyDescent="0.25">
      <c r="A861" s="108" t="s">
        <v>9308</v>
      </c>
      <c r="B861" s="117" t="s">
        <v>9337</v>
      </c>
      <c r="C861" s="117" t="s">
        <v>9900</v>
      </c>
      <c r="D861" s="111" t="s">
        <v>9997</v>
      </c>
      <c r="E861" s="112" t="s">
        <v>9998</v>
      </c>
      <c r="F861" s="114" t="s">
        <v>9903</v>
      </c>
      <c r="G861" s="237" t="s">
        <v>9323</v>
      </c>
      <c r="H861" s="117" t="s">
        <v>9323</v>
      </c>
      <c r="I861" s="114"/>
      <c r="J861" s="238" t="s">
        <v>9903</v>
      </c>
      <c r="K861" s="114" t="s">
        <v>9903</v>
      </c>
      <c r="L861" s="114"/>
    </row>
    <row r="862" spans="1:12" s="113" customFormat="1" ht="14.85" customHeight="1" x14ac:dyDescent="0.25">
      <c r="A862" s="108" t="s">
        <v>9308</v>
      </c>
      <c r="B862" s="117" t="s">
        <v>9337</v>
      </c>
      <c r="C862" s="117" t="s">
        <v>9900</v>
      </c>
      <c r="D862" s="111" t="s">
        <v>9999</v>
      </c>
      <c r="E862" s="112" t="s">
        <v>10000</v>
      </c>
      <c r="F862" s="114" t="s">
        <v>9903</v>
      </c>
      <c r="G862" s="237" t="s">
        <v>9323</v>
      </c>
      <c r="H862" s="117" t="s">
        <v>9323</v>
      </c>
      <c r="I862" s="114"/>
      <c r="J862" s="238" t="s">
        <v>9903</v>
      </c>
      <c r="K862" s="114" t="s">
        <v>9903</v>
      </c>
      <c r="L862" s="114"/>
    </row>
    <row r="863" spans="1:12" s="113" customFormat="1" ht="14.85" customHeight="1" x14ac:dyDescent="0.25">
      <c r="A863" s="108" t="s">
        <v>9308</v>
      </c>
      <c r="B863" s="117" t="s">
        <v>9337</v>
      </c>
      <c r="C863" s="117" t="s">
        <v>9900</v>
      </c>
      <c r="D863" s="111" t="s">
        <v>10001</v>
      </c>
      <c r="E863" s="112" t="s">
        <v>10002</v>
      </c>
      <c r="F863" s="114" t="s">
        <v>9903</v>
      </c>
      <c r="G863" s="237" t="s">
        <v>9323</v>
      </c>
      <c r="H863" s="117" t="s">
        <v>9323</v>
      </c>
      <c r="I863" s="114"/>
      <c r="J863" s="238" t="s">
        <v>10003</v>
      </c>
      <c r="K863" s="114" t="s">
        <v>9903</v>
      </c>
      <c r="L863" s="114"/>
    </row>
    <row r="864" spans="1:12" s="113" customFormat="1" ht="14.85" customHeight="1" x14ac:dyDescent="0.25">
      <c r="A864" s="108" t="s">
        <v>9308</v>
      </c>
      <c r="B864" s="117" t="s">
        <v>9337</v>
      </c>
      <c r="C864" s="117" t="s">
        <v>9900</v>
      </c>
      <c r="D864" s="111" t="s">
        <v>10004</v>
      </c>
      <c r="E864" s="112" t="s">
        <v>10005</v>
      </c>
      <c r="F864" s="114" t="s">
        <v>9903</v>
      </c>
      <c r="G864" s="237" t="s">
        <v>9323</v>
      </c>
      <c r="H864" s="117" t="s">
        <v>9323</v>
      </c>
      <c r="I864" s="114"/>
      <c r="J864" s="238" t="s">
        <v>9903</v>
      </c>
      <c r="K864" s="114" t="s">
        <v>9903</v>
      </c>
      <c r="L864" s="114"/>
    </row>
    <row r="865" spans="1:12" s="113" customFormat="1" ht="14.85" customHeight="1" x14ac:dyDescent="0.25">
      <c r="A865" s="108" t="s">
        <v>9308</v>
      </c>
      <c r="B865" s="117" t="s">
        <v>9337</v>
      </c>
      <c r="C865" s="117" t="s">
        <v>9900</v>
      </c>
      <c r="D865" s="111" t="s">
        <v>10006</v>
      </c>
      <c r="E865" s="112" t="s">
        <v>10007</v>
      </c>
      <c r="F865" s="114" t="s">
        <v>9903</v>
      </c>
      <c r="G865" s="237" t="s">
        <v>9323</v>
      </c>
      <c r="H865" s="117" t="s">
        <v>9323</v>
      </c>
      <c r="I865" s="114"/>
      <c r="J865" s="238" t="s">
        <v>9903</v>
      </c>
      <c r="K865" s="114" t="s">
        <v>9903</v>
      </c>
      <c r="L865" s="114"/>
    </row>
    <row r="866" spans="1:12" s="113" customFormat="1" ht="14.85" customHeight="1" x14ac:dyDescent="0.25">
      <c r="A866" s="108" t="s">
        <v>9308</v>
      </c>
      <c r="B866" s="117" t="s">
        <v>9337</v>
      </c>
      <c r="C866" s="117" t="s">
        <v>9900</v>
      </c>
      <c r="D866" s="111" t="s">
        <v>10008</v>
      </c>
      <c r="E866" s="112" t="s">
        <v>10009</v>
      </c>
      <c r="F866" s="114" t="s">
        <v>9903</v>
      </c>
      <c r="G866" s="237" t="s">
        <v>9323</v>
      </c>
      <c r="H866" s="117" t="s">
        <v>9323</v>
      </c>
      <c r="I866" s="114"/>
      <c r="J866" s="238" t="s">
        <v>9903</v>
      </c>
      <c r="K866" s="114" t="s">
        <v>9903</v>
      </c>
      <c r="L866" s="114"/>
    </row>
    <row r="867" spans="1:12" s="113" customFormat="1" ht="14.85" customHeight="1" x14ac:dyDescent="0.25">
      <c r="A867" s="108" t="s">
        <v>9308</v>
      </c>
      <c r="B867" s="117" t="s">
        <v>9337</v>
      </c>
      <c r="C867" s="117" t="s">
        <v>9900</v>
      </c>
      <c r="D867" s="111" t="s">
        <v>10010</v>
      </c>
      <c r="E867" s="112" t="s">
        <v>9798</v>
      </c>
      <c r="F867" s="114" t="s">
        <v>9903</v>
      </c>
      <c r="G867" s="237" t="s">
        <v>9323</v>
      </c>
      <c r="H867" s="117" t="s">
        <v>9323</v>
      </c>
      <c r="I867" s="114"/>
      <c r="J867" s="238" t="s">
        <v>9903</v>
      </c>
      <c r="K867" s="114" t="s">
        <v>9903</v>
      </c>
      <c r="L867" s="114"/>
    </row>
    <row r="868" spans="1:12" s="113" customFormat="1" ht="14.85" customHeight="1" x14ac:dyDescent="0.25">
      <c r="A868" s="108" t="s">
        <v>9308</v>
      </c>
      <c r="B868" s="117" t="s">
        <v>9337</v>
      </c>
      <c r="C868" s="117" t="s">
        <v>9900</v>
      </c>
      <c r="D868" s="111" t="s">
        <v>10011</v>
      </c>
      <c r="E868" s="112" t="s">
        <v>10012</v>
      </c>
      <c r="F868" s="114" t="s">
        <v>9903</v>
      </c>
      <c r="G868" s="237" t="s">
        <v>9323</v>
      </c>
      <c r="H868" s="117" t="s">
        <v>9323</v>
      </c>
      <c r="I868" s="114"/>
      <c r="J868" s="238" t="s">
        <v>10013</v>
      </c>
      <c r="K868" s="114" t="s">
        <v>9903</v>
      </c>
      <c r="L868" s="114"/>
    </row>
    <row r="869" spans="1:12" s="113" customFormat="1" ht="14.85" customHeight="1" x14ac:dyDescent="0.25">
      <c r="A869" s="108" t="s">
        <v>9308</v>
      </c>
      <c r="B869" s="117" t="s">
        <v>9337</v>
      </c>
      <c r="C869" s="117" t="s">
        <v>9900</v>
      </c>
      <c r="D869" s="111" t="s">
        <v>10014</v>
      </c>
      <c r="E869" s="112" t="s">
        <v>10015</v>
      </c>
      <c r="F869" s="114" t="s">
        <v>9903</v>
      </c>
      <c r="G869" s="237" t="s">
        <v>9323</v>
      </c>
      <c r="H869" s="117" t="s">
        <v>9323</v>
      </c>
      <c r="I869" s="114"/>
      <c r="J869" s="238" t="s">
        <v>10013</v>
      </c>
      <c r="K869" s="114" t="s">
        <v>9903</v>
      </c>
      <c r="L869" s="114"/>
    </row>
    <row r="870" spans="1:12" s="113" customFormat="1" ht="14.85" customHeight="1" x14ac:dyDescent="0.25">
      <c r="A870" s="108" t="s">
        <v>9308</v>
      </c>
      <c r="B870" s="117" t="s">
        <v>9337</v>
      </c>
      <c r="C870" s="117" t="s">
        <v>9900</v>
      </c>
      <c r="D870" s="111" t="s">
        <v>10016</v>
      </c>
      <c r="E870" s="112" t="s">
        <v>9834</v>
      </c>
      <c r="F870" s="114" t="s">
        <v>9903</v>
      </c>
      <c r="G870" s="237" t="s">
        <v>9323</v>
      </c>
      <c r="H870" s="117" t="s">
        <v>9323</v>
      </c>
      <c r="I870" s="114"/>
      <c r="J870" s="238" t="s">
        <v>10017</v>
      </c>
      <c r="K870" s="114" t="s">
        <v>9903</v>
      </c>
      <c r="L870" s="114"/>
    </row>
    <row r="871" spans="1:12" s="113" customFormat="1" ht="14.85" customHeight="1" x14ac:dyDescent="0.25">
      <c r="A871" s="108" t="s">
        <v>9308</v>
      </c>
      <c r="B871" s="117" t="s">
        <v>9337</v>
      </c>
      <c r="C871" s="117" t="s">
        <v>9900</v>
      </c>
      <c r="D871" s="111" t="s">
        <v>10018</v>
      </c>
      <c r="E871" s="112" t="s">
        <v>10019</v>
      </c>
      <c r="F871" s="114" t="s">
        <v>9903</v>
      </c>
      <c r="G871" s="237" t="s">
        <v>9323</v>
      </c>
      <c r="H871" s="117" t="s">
        <v>9323</v>
      </c>
      <c r="I871" s="114"/>
      <c r="J871" s="238" t="s">
        <v>10020</v>
      </c>
      <c r="K871" s="114" t="s">
        <v>9903</v>
      </c>
      <c r="L871" s="114"/>
    </row>
    <row r="872" spans="1:12" s="58" customFormat="1" ht="14.85" customHeight="1" x14ac:dyDescent="0.25">
      <c r="A872" s="108" t="s">
        <v>9308</v>
      </c>
      <c r="B872" s="115" t="s">
        <v>8939</v>
      </c>
      <c r="C872" s="115" t="s">
        <v>9338</v>
      </c>
      <c r="D872" s="109" t="s">
        <v>10021</v>
      </c>
      <c r="E872" s="106" t="s">
        <v>10022</v>
      </c>
      <c r="F872" s="109" t="s">
        <v>9496</v>
      </c>
      <c r="G872" s="115" t="s">
        <v>9324</v>
      </c>
      <c r="H872" s="115" t="s">
        <v>9323</v>
      </c>
      <c r="I872" s="109" t="s">
        <v>10023</v>
      </c>
      <c r="J872" s="239" t="s">
        <v>10024</v>
      </c>
      <c r="K872" s="109" t="s">
        <v>9440</v>
      </c>
      <c r="L872" s="109" t="s">
        <v>9496</v>
      </c>
    </row>
    <row r="873" spans="1:12" s="58" customFormat="1" ht="14.85" customHeight="1" x14ac:dyDescent="0.25">
      <c r="A873" s="108" t="s">
        <v>9308</v>
      </c>
      <c r="B873" s="115" t="s">
        <v>8939</v>
      </c>
      <c r="C873" s="115" t="s">
        <v>9338</v>
      </c>
      <c r="D873" s="109" t="s">
        <v>10021</v>
      </c>
      <c r="E873" s="106" t="s">
        <v>10022</v>
      </c>
      <c r="F873" s="109" t="s">
        <v>9496</v>
      </c>
      <c r="G873" s="115" t="s">
        <v>9324</v>
      </c>
      <c r="H873" s="115" t="s">
        <v>9323</v>
      </c>
      <c r="I873" s="109" t="s">
        <v>10025</v>
      </c>
      <c r="J873" s="239" t="s">
        <v>10026</v>
      </c>
      <c r="K873" s="109" t="s">
        <v>9440</v>
      </c>
      <c r="L873" s="109" t="s">
        <v>9496</v>
      </c>
    </row>
    <row r="874" spans="1:12" s="58" customFormat="1" ht="14.85" customHeight="1" x14ac:dyDescent="0.25">
      <c r="A874" s="108" t="s">
        <v>9308</v>
      </c>
      <c r="B874" s="115" t="s">
        <v>8939</v>
      </c>
      <c r="C874" s="115" t="s">
        <v>9338</v>
      </c>
      <c r="D874" s="109" t="s">
        <v>10021</v>
      </c>
      <c r="E874" s="106" t="s">
        <v>10022</v>
      </c>
      <c r="F874" s="109" t="s">
        <v>9496</v>
      </c>
      <c r="G874" s="115" t="s">
        <v>9324</v>
      </c>
      <c r="H874" s="115" t="s">
        <v>9323</v>
      </c>
      <c r="I874" s="109" t="s">
        <v>10027</v>
      </c>
      <c r="J874" s="239" t="s">
        <v>10028</v>
      </c>
      <c r="K874" s="109" t="s">
        <v>9440</v>
      </c>
      <c r="L874" s="109" t="s">
        <v>9496</v>
      </c>
    </row>
    <row r="875" spans="1:12" s="58" customFormat="1" ht="14.85" customHeight="1" x14ac:dyDescent="0.25">
      <c r="A875" s="108" t="s">
        <v>9308</v>
      </c>
      <c r="B875" s="115" t="s">
        <v>8939</v>
      </c>
      <c r="C875" s="115" t="s">
        <v>9338</v>
      </c>
      <c r="D875" s="109" t="s">
        <v>10029</v>
      </c>
      <c r="E875" s="106" t="s">
        <v>10030</v>
      </c>
      <c r="F875" s="109" t="s">
        <v>9496</v>
      </c>
      <c r="G875" s="115" t="s">
        <v>9324</v>
      </c>
      <c r="H875" s="115" t="s">
        <v>9323</v>
      </c>
      <c r="I875" s="109" t="s">
        <v>10025</v>
      </c>
      <c r="J875" s="239" t="s">
        <v>10026</v>
      </c>
      <c r="K875" s="109" t="s">
        <v>9440</v>
      </c>
      <c r="L875" s="109" t="s">
        <v>9496</v>
      </c>
    </row>
    <row r="876" spans="1:12" s="58" customFormat="1" ht="14.85" customHeight="1" x14ac:dyDescent="0.25">
      <c r="A876" s="108" t="s">
        <v>9308</v>
      </c>
      <c r="B876" s="115" t="s">
        <v>8939</v>
      </c>
      <c r="C876" s="115" t="s">
        <v>9338</v>
      </c>
      <c r="D876" s="109" t="s">
        <v>10029</v>
      </c>
      <c r="E876" s="106" t="s">
        <v>10030</v>
      </c>
      <c r="F876" s="109" t="s">
        <v>9496</v>
      </c>
      <c r="G876" s="115" t="s">
        <v>9324</v>
      </c>
      <c r="H876" s="115" t="s">
        <v>9323</v>
      </c>
      <c r="I876" s="109" t="s">
        <v>10027</v>
      </c>
      <c r="J876" s="239" t="s">
        <v>10028</v>
      </c>
      <c r="K876" s="109" t="s">
        <v>9440</v>
      </c>
      <c r="L876" s="109" t="s">
        <v>9496</v>
      </c>
    </row>
    <row r="877" spans="1:12" s="58" customFormat="1" ht="14.85" customHeight="1" x14ac:dyDescent="0.25">
      <c r="A877" s="108" t="s">
        <v>9308</v>
      </c>
      <c r="B877" s="115" t="s">
        <v>8939</v>
      </c>
      <c r="C877" s="115" t="s">
        <v>9338</v>
      </c>
      <c r="D877" s="109" t="s">
        <v>10031</v>
      </c>
      <c r="E877" s="106" t="s">
        <v>10032</v>
      </c>
      <c r="F877" s="109" t="s">
        <v>9496</v>
      </c>
      <c r="G877" s="115" t="s">
        <v>9324</v>
      </c>
      <c r="H877" s="115" t="s">
        <v>9323</v>
      </c>
      <c r="I877" s="109" t="s">
        <v>10025</v>
      </c>
      <c r="J877" s="239" t="s">
        <v>10026</v>
      </c>
      <c r="K877" s="109" t="s">
        <v>9440</v>
      </c>
      <c r="L877" s="109" t="s">
        <v>9496</v>
      </c>
    </row>
    <row r="878" spans="1:12" s="58" customFormat="1" ht="14.85" customHeight="1" x14ac:dyDescent="0.25">
      <c r="A878" s="108" t="s">
        <v>9308</v>
      </c>
      <c r="B878" s="115" t="s">
        <v>8939</v>
      </c>
      <c r="C878" s="115" t="s">
        <v>9338</v>
      </c>
      <c r="D878" s="109" t="s">
        <v>10031</v>
      </c>
      <c r="E878" s="106" t="s">
        <v>10032</v>
      </c>
      <c r="F878" s="109" t="s">
        <v>9496</v>
      </c>
      <c r="G878" s="115" t="s">
        <v>9324</v>
      </c>
      <c r="H878" s="115" t="s">
        <v>9323</v>
      </c>
      <c r="I878" s="109" t="s">
        <v>10033</v>
      </c>
      <c r="J878" s="239" t="s">
        <v>10034</v>
      </c>
      <c r="K878" s="109" t="s">
        <v>9440</v>
      </c>
      <c r="L878" s="109" t="s">
        <v>9496</v>
      </c>
    </row>
    <row r="879" spans="1:12" s="58" customFormat="1" ht="14.85" customHeight="1" x14ac:dyDescent="0.25">
      <c r="A879" s="108" t="s">
        <v>9308</v>
      </c>
      <c r="B879" s="115" t="s">
        <v>8939</v>
      </c>
      <c r="C879" s="115" t="s">
        <v>9338</v>
      </c>
      <c r="D879" s="109" t="s">
        <v>10031</v>
      </c>
      <c r="E879" s="106" t="s">
        <v>10032</v>
      </c>
      <c r="F879" s="109" t="s">
        <v>9496</v>
      </c>
      <c r="G879" s="115" t="s">
        <v>9324</v>
      </c>
      <c r="H879" s="115" t="s">
        <v>9323</v>
      </c>
      <c r="I879" s="109" t="s">
        <v>10035</v>
      </c>
      <c r="J879" s="239" t="s">
        <v>10036</v>
      </c>
      <c r="K879" s="109" t="s">
        <v>9440</v>
      </c>
      <c r="L879" s="109" t="s">
        <v>9496</v>
      </c>
    </row>
    <row r="880" spans="1:12" s="58" customFormat="1" ht="14.85" customHeight="1" x14ac:dyDescent="0.25">
      <c r="A880" s="108" t="s">
        <v>9308</v>
      </c>
      <c r="B880" s="115" t="s">
        <v>8939</v>
      </c>
      <c r="C880" s="115" t="s">
        <v>9338</v>
      </c>
      <c r="D880" s="109" t="s">
        <v>10031</v>
      </c>
      <c r="E880" s="106" t="s">
        <v>10032</v>
      </c>
      <c r="F880" s="109" t="s">
        <v>9496</v>
      </c>
      <c r="G880" s="115" t="s">
        <v>9324</v>
      </c>
      <c r="H880" s="115" t="s">
        <v>9323</v>
      </c>
      <c r="I880" s="109" t="s">
        <v>10037</v>
      </c>
      <c r="J880" s="106" t="s">
        <v>10038</v>
      </c>
      <c r="K880" s="109" t="s">
        <v>9440</v>
      </c>
      <c r="L880" s="109" t="s">
        <v>9496</v>
      </c>
    </row>
    <row r="881" spans="1:12" s="58" customFormat="1" ht="14.85" customHeight="1" x14ac:dyDescent="0.25">
      <c r="A881" s="108" t="s">
        <v>9308</v>
      </c>
      <c r="B881" s="115" t="s">
        <v>8939</v>
      </c>
      <c r="C881" s="115" t="s">
        <v>9338</v>
      </c>
      <c r="D881" s="109" t="s">
        <v>10031</v>
      </c>
      <c r="E881" s="106" t="s">
        <v>10032</v>
      </c>
      <c r="F881" s="109" t="s">
        <v>9496</v>
      </c>
      <c r="G881" s="115" t="s">
        <v>9324</v>
      </c>
      <c r="H881" s="115" t="s">
        <v>9323</v>
      </c>
      <c r="I881" s="109" t="s">
        <v>10039</v>
      </c>
      <c r="J881" s="239" t="s">
        <v>10040</v>
      </c>
      <c r="K881" s="109" t="s">
        <v>9440</v>
      </c>
      <c r="L881" s="109" t="s">
        <v>9496</v>
      </c>
    </row>
    <row r="882" spans="1:12" s="58" customFormat="1" ht="14.85" customHeight="1" x14ac:dyDescent="0.25">
      <c r="A882" s="108" t="s">
        <v>9308</v>
      </c>
      <c r="B882" s="115" t="s">
        <v>8939</v>
      </c>
      <c r="C882" s="115" t="s">
        <v>9338</v>
      </c>
      <c r="D882" s="109" t="s">
        <v>10031</v>
      </c>
      <c r="E882" s="106" t="s">
        <v>10032</v>
      </c>
      <c r="F882" s="109" t="s">
        <v>9496</v>
      </c>
      <c r="G882" s="115" t="s">
        <v>9324</v>
      </c>
      <c r="H882" s="115" t="s">
        <v>9323</v>
      </c>
      <c r="I882" s="109" t="s">
        <v>10041</v>
      </c>
      <c r="J882" s="239" t="s">
        <v>10042</v>
      </c>
      <c r="K882" s="109" t="s">
        <v>9440</v>
      </c>
      <c r="L882" s="109" t="s">
        <v>9496</v>
      </c>
    </row>
    <row r="883" spans="1:12" s="58" customFormat="1" ht="14.85" customHeight="1" x14ac:dyDescent="0.25">
      <c r="A883" s="108" t="s">
        <v>9308</v>
      </c>
      <c r="B883" s="115" t="s">
        <v>8939</v>
      </c>
      <c r="C883" s="115" t="s">
        <v>9338</v>
      </c>
      <c r="D883" s="109" t="s">
        <v>10031</v>
      </c>
      <c r="E883" s="106" t="s">
        <v>10032</v>
      </c>
      <c r="F883" s="109" t="s">
        <v>9496</v>
      </c>
      <c r="G883" s="115" t="s">
        <v>9324</v>
      </c>
      <c r="H883" s="115" t="s">
        <v>9323</v>
      </c>
      <c r="I883" s="109" t="s">
        <v>10043</v>
      </c>
      <c r="J883" s="239" t="s">
        <v>10044</v>
      </c>
      <c r="K883" s="109" t="s">
        <v>9440</v>
      </c>
      <c r="L883" s="109" t="s">
        <v>9496</v>
      </c>
    </row>
    <row r="884" spans="1:12" s="58" customFormat="1" ht="14.85" customHeight="1" x14ac:dyDescent="0.25">
      <c r="A884" s="108" t="s">
        <v>9308</v>
      </c>
      <c r="B884" s="115" t="s">
        <v>8939</v>
      </c>
      <c r="C884" s="115" t="s">
        <v>9338</v>
      </c>
      <c r="D884" s="109" t="s">
        <v>10031</v>
      </c>
      <c r="E884" s="106" t="s">
        <v>10032</v>
      </c>
      <c r="F884" s="109" t="s">
        <v>9496</v>
      </c>
      <c r="G884" s="115" t="s">
        <v>9324</v>
      </c>
      <c r="H884" s="115" t="s">
        <v>9323</v>
      </c>
      <c r="I884" s="109" t="s">
        <v>10027</v>
      </c>
      <c r="J884" s="239" t="s">
        <v>10028</v>
      </c>
      <c r="K884" s="109" t="s">
        <v>9440</v>
      </c>
      <c r="L884" s="109" t="s">
        <v>9496</v>
      </c>
    </row>
    <row r="885" spans="1:12" s="58" customFormat="1" ht="14.85" customHeight="1" x14ac:dyDescent="0.25">
      <c r="A885" s="108" t="s">
        <v>9308</v>
      </c>
      <c r="B885" s="115" t="s">
        <v>8939</v>
      </c>
      <c r="C885" s="115" t="s">
        <v>9338</v>
      </c>
      <c r="D885" s="109" t="s">
        <v>10031</v>
      </c>
      <c r="E885" s="106" t="s">
        <v>10032</v>
      </c>
      <c r="F885" s="109" t="s">
        <v>9496</v>
      </c>
      <c r="G885" s="115" t="s">
        <v>9324</v>
      </c>
      <c r="H885" s="115" t="s">
        <v>9323</v>
      </c>
      <c r="I885" s="109" t="s">
        <v>10045</v>
      </c>
      <c r="J885" s="239" t="s">
        <v>10046</v>
      </c>
      <c r="K885" s="109" t="s">
        <v>9440</v>
      </c>
      <c r="L885" s="109" t="s">
        <v>9496</v>
      </c>
    </row>
    <row r="886" spans="1:12" s="58" customFormat="1" ht="14.85" customHeight="1" x14ac:dyDescent="0.25">
      <c r="A886" s="108" t="s">
        <v>9308</v>
      </c>
      <c r="B886" s="115" t="s">
        <v>8939</v>
      </c>
      <c r="C886" s="115" t="s">
        <v>9338</v>
      </c>
      <c r="D886" s="109" t="s">
        <v>10047</v>
      </c>
      <c r="E886" s="106" t="s">
        <v>10048</v>
      </c>
      <c r="F886" s="109" t="s">
        <v>9496</v>
      </c>
      <c r="G886" s="115" t="s">
        <v>9324</v>
      </c>
      <c r="H886" s="115" t="s">
        <v>9323</v>
      </c>
      <c r="I886" s="109" t="s">
        <v>10049</v>
      </c>
      <c r="J886" s="239" t="s">
        <v>10050</v>
      </c>
      <c r="K886" s="109" t="s">
        <v>9440</v>
      </c>
      <c r="L886" s="109" t="s">
        <v>9496</v>
      </c>
    </row>
    <row r="887" spans="1:12" s="58" customFormat="1" ht="14.85" customHeight="1" x14ac:dyDescent="0.25">
      <c r="A887" s="108" t="s">
        <v>9308</v>
      </c>
      <c r="B887" s="115" t="s">
        <v>8939</v>
      </c>
      <c r="C887" s="115" t="s">
        <v>9338</v>
      </c>
      <c r="D887" s="109" t="s">
        <v>10047</v>
      </c>
      <c r="E887" s="106" t="s">
        <v>10048</v>
      </c>
      <c r="F887" s="109" t="s">
        <v>9496</v>
      </c>
      <c r="G887" s="115" t="s">
        <v>9324</v>
      </c>
      <c r="H887" s="115" t="s">
        <v>9323</v>
      </c>
      <c r="I887" s="109" t="s">
        <v>10051</v>
      </c>
      <c r="J887" s="239" t="s">
        <v>10052</v>
      </c>
      <c r="K887" s="109" t="s">
        <v>9440</v>
      </c>
      <c r="L887" s="109" t="s">
        <v>9496</v>
      </c>
    </row>
    <row r="888" spans="1:12" s="58" customFormat="1" ht="14.85" customHeight="1" x14ac:dyDescent="0.25">
      <c r="A888" s="108" t="s">
        <v>9308</v>
      </c>
      <c r="B888" s="115" t="s">
        <v>8939</v>
      </c>
      <c r="C888" s="115" t="s">
        <v>9338</v>
      </c>
      <c r="D888" s="109" t="s">
        <v>10047</v>
      </c>
      <c r="E888" s="106" t="s">
        <v>10048</v>
      </c>
      <c r="F888" s="109" t="s">
        <v>9496</v>
      </c>
      <c r="G888" s="115" t="s">
        <v>9324</v>
      </c>
      <c r="H888" s="115" t="s">
        <v>9323</v>
      </c>
      <c r="I888" s="109" t="s">
        <v>10023</v>
      </c>
      <c r="J888" s="239" t="s">
        <v>10024</v>
      </c>
      <c r="K888" s="109" t="s">
        <v>9440</v>
      </c>
      <c r="L888" s="109" t="s">
        <v>9496</v>
      </c>
    </row>
    <row r="889" spans="1:12" s="58" customFormat="1" ht="14.85" customHeight="1" x14ac:dyDescent="0.25">
      <c r="A889" s="108" t="s">
        <v>9308</v>
      </c>
      <c r="B889" s="115" t="s">
        <v>8939</v>
      </c>
      <c r="C889" s="115" t="s">
        <v>9338</v>
      </c>
      <c r="D889" s="109" t="s">
        <v>10047</v>
      </c>
      <c r="E889" s="106" t="s">
        <v>10048</v>
      </c>
      <c r="F889" s="109" t="s">
        <v>9496</v>
      </c>
      <c r="G889" s="115" t="s">
        <v>9324</v>
      </c>
      <c r="H889" s="115" t="s">
        <v>9323</v>
      </c>
      <c r="I889" s="109" t="s">
        <v>10053</v>
      </c>
      <c r="J889" s="239" t="s">
        <v>10054</v>
      </c>
      <c r="K889" s="109" t="s">
        <v>9440</v>
      </c>
      <c r="L889" s="109" t="s">
        <v>9496</v>
      </c>
    </row>
    <row r="890" spans="1:12" s="58" customFormat="1" ht="14.85" customHeight="1" x14ac:dyDescent="0.25">
      <c r="A890" s="108" t="s">
        <v>9308</v>
      </c>
      <c r="B890" s="115" t="s">
        <v>8939</v>
      </c>
      <c r="C890" s="115" t="s">
        <v>9338</v>
      </c>
      <c r="D890" s="109" t="s">
        <v>10047</v>
      </c>
      <c r="E890" s="106" t="s">
        <v>10048</v>
      </c>
      <c r="F890" s="109" t="s">
        <v>9496</v>
      </c>
      <c r="G890" s="115" t="s">
        <v>9324</v>
      </c>
      <c r="H890" s="115" t="s">
        <v>9323</v>
      </c>
      <c r="I890" s="109" t="s">
        <v>10055</v>
      </c>
      <c r="J890" s="239" t="s">
        <v>10056</v>
      </c>
      <c r="K890" s="109" t="s">
        <v>9440</v>
      </c>
      <c r="L890" s="109" t="s">
        <v>9496</v>
      </c>
    </row>
    <row r="891" spans="1:12" s="58" customFormat="1" ht="14.85" customHeight="1" x14ac:dyDescent="0.25">
      <c r="A891" s="108" t="s">
        <v>9308</v>
      </c>
      <c r="B891" s="115" t="s">
        <v>8939</v>
      </c>
      <c r="C891" s="115" t="s">
        <v>9338</v>
      </c>
      <c r="D891" s="109" t="s">
        <v>10047</v>
      </c>
      <c r="E891" s="106" t="s">
        <v>10048</v>
      </c>
      <c r="F891" s="109" t="s">
        <v>9496</v>
      </c>
      <c r="G891" s="115" t="s">
        <v>9324</v>
      </c>
      <c r="H891" s="115" t="s">
        <v>9323</v>
      </c>
      <c r="I891" s="109" t="s">
        <v>10057</v>
      </c>
      <c r="J891" s="239" t="s">
        <v>10058</v>
      </c>
      <c r="K891" s="109" t="s">
        <v>9440</v>
      </c>
      <c r="L891" s="109" t="s">
        <v>9496</v>
      </c>
    </row>
    <row r="892" spans="1:12" s="58" customFormat="1" ht="14.85" customHeight="1" x14ac:dyDescent="0.25">
      <c r="A892" s="108" t="s">
        <v>9308</v>
      </c>
      <c r="B892" s="115" t="s">
        <v>8939</v>
      </c>
      <c r="C892" s="115" t="s">
        <v>9338</v>
      </c>
      <c r="D892" s="109" t="s">
        <v>10047</v>
      </c>
      <c r="E892" s="106" t="s">
        <v>10048</v>
      </c>
      <c r="F892" s="109" t="s">
        <v>9496</v>
      </c>
      <c r="G892" s="115" t="s">
        <v>9324</v>
      </c>
      <c r="H892" s="115" t="s">
        <v>9323</v>
      </c>
      <c r="I892" s="109" t="s">
        <v>10025</v>
      </c>
      <c r="J892" s="239" t="s">
        <v>10026</v>
      </c>
      <c r="K892" s="109" t="s">
        <v>9440</v>
      </c>
      <c r="L892" s="109" t="s">
        <v>9496</v>
      </c>
    </row>
    <row r="893" spans="1:12" s="58" customFormat="1" ht="14.85" customHeight="1" x14ac:dyDescent="0.25">
      <c r="A893" s="108" t="s">
        <v>9308</v>
      </c>
      <c r="B893" s="115" t="s">
        <v>8939</v>
      </c>
      <c r="C893" s="115" t="s">
        <v>9338</v>
      </c>
      <c r="D893" s="109" t="s">
        <v>10047</v>
      </c>
      <c r="E893" s="106" t="s">
        <v>10048</v>
      </c>
      <c r="F893" s="109" t="s">
        <v>9496</v>
      </c>
      <c r="G893" s="115" t="s">
        <v>9324</v>
      </c>
      <c r="H893" s="115" t="s">
        <v>9323</v>
      </c>
      <c r="I893" s="109" t="s">
        <v>10059</v>
      </c>
      <c r="J893" s="239" t="s">
        <v>10060</v>
      </c>
      <c r="K893" s="109" t="s">
        <v>9440</v>
      </c>
      <c r="L893" s="109" t="s">
        <v>9496</v>
      </c>
    </row>
    <row r="894" spans="1:12" s="58" customFormat="1" ht="14.85" customHeight="1" x14ac:dyDescent="0.25">
      <c r="A894" s="108" t="s">
        <v>9308</v>
      </c>
      <c r="B894" s="115" t="s">
        <v>8939</v>
      </c>
      <c r="C894" s="115" t="s">
        <v>9338</v>
      </c>
      <c r="D894" s="109" t="s">
        <v>10047</v>
      </c>
      <c r="E894" s="106" t="s">
        <v>10048</v>
      </c>
      <c r="F894" s="109" t="s">
        <v>9496</v>
      </c>
      <c r="G894" s="115" t="s">
        <v>9324</v>
      </c>
      <c r="H894" s="115" t="s">
        <v>9323</v>
      </c>
      <c r="I894" s="109" t="s">
        <v>10037</v>
      </c>
      <c r="J894" s="239" t="s">
        <v>10038</v>
      </c>
      <c r="K894" s="109" t="s">
        <v>9440</v>
      </c>
      <c r="L894" s="109" t="s">
        <v>9496</v>
      </c>
    </row>
    <row r="895" spans="1:12" s="58" customFormat="1" ht="14.85" customHeight="1" x14ac:dyDescent="0.25">
      <c r="A895" s="108" t="s">
        <v>9308</v>
      </c>
      <c r="B895" s="115" t="s">
        <v>8939</v>
      </c>
      <c r="C895" s="115" t="s">
        <v>9338</v>
      </c>
      <c r="D895" s="109" t="s">
        <v>10047</v>
      </c>
      <c r="E895" s="106" t="s">
        <v>10048</v>
      </c>
      <c r="F895" s="109" t="s">
        <v>9496</v>
      </c>
      <c r="G895" s="115" t="s">
        <v>9324</v>
      </c>
      <c r="H895" s="115" t="s">
        <v>9323</v>
      </c>
      <c r="I895" s="109" t="s">
        <v>10061</v>
      </c>
      <c r="J895" s="239" t="s">
        <v>10062</v>
      </c>
      <c r="K895" s="109" t="s">
        <v>9440</v>
      </c>
      <c r="L895" s="109" t="s">
        <v>9496</v>
      </c>
    </row>
    <row r="896" spans="1:12" s="58" customFormat="1" ht="14.85" customHeight="1" x14ac:dyDescent="0.25">
      <c r="A896" s="108" t="s">
        <v>9308</v>
      </c>
      <c r="B896" s="115" t="s">
        <v>8939</v>
      </c>
      <c r="C896" s="115" t="s">
        <v>9338</v>
      </c>
      <c r="D896" s="109" t="s">
        <v>10047</v>
      </c>
      <c r="E896" s="106" t="s">
        <v>10048</v>
      </c>
      <c r="F896" s="109" t="s">
        <v>9496</v>
      </c>
      <c r="G896" s="115" t="s">
        <v>9324</v>
      </c>
      <c r="H896" s="115" t="s">
        <v>9323</v>
      </c>
      <c r="I896" s="109" t="s">
        <v>10027</v>
      </c>
      <c r="J896" s="239" t="s">
        <v>10028</v>
      </c>
      <c r="K896" s="109" t="s">
        <v>9440</v>
      </c>
      <c r="L896" s="109" t="s">
        <v>9496</v>
      </c>
    </row>
    <row r="897" spans="1:12" s="58" customFormat="1" ht="14.85" customHeight="1" x14ac:dyDescent="0.25">
      <c r="A897" s="108" t="s">
        <v>9308</v>
      </c>
      <c r="B897" s="115" t="s">
        <v>8939</v>
      </c>
      <c r="C897" s="115" t="s">
        <v>9338</v>
      </c>
      <c r="D897" s="109" t="s">
        <v>10063</v>
      </c>
      <c r="E897" s="106" t="s">
        <v>10064</v>
      </c>
      <c r="F897" s="109" t="s">
        <v>9496</v>
      </c>
      <c r="G897" s="115" t="s">
        <v>9324</v>
      </c>
      <c r="H897" s="115" t="s">
        <v>9323</v>
      </c>
      <c r="I897" s="109" t="s">
        <v>10051</v>
      </c>
      <c r="J897" s="239" t="s">
        <v>10052</v>
      </c>
      <c r="K897" s="109" t="s">
        <v>9440</v>
      </c>
      <c r="L897" s="109" t="s">
        <v>9496</v>
      </c>
    </row>
    <row r="898" spans="1:12" s="58" customFormat="1" ht="14.85" customHeight="1" x14ac:dyDescent="0.25">
      <c r="A898" s="108" t="s">
        <v>9308</v>
      </c>
      <c r="B898" s="115" t="s">
        <v>8939</v>
      </c>
      <c r="C898" s="115" t="s">
        <v>9338</v>
      </c>
      <c r="D898" s="109" t="s">
        <v>10063</v>
      </c>
      <c r="E898" s="106" t="s">
        <v>10064</v>
      </c>
      <c r="F898" s="109" t="s">
        <v>9496</v>
      </c>
      <c r="G898" s="115" t="s">
        <v>9324</v>
      </c>
      <c r="H898" s="115" t="s">
        <v>9323</v>
      </c>
      <c r="I898" s="109" t="s">
        <v>10023</v>
      </c>
      <c r="J898" s="239" t="s">
        <v>10024</v>
      </c>
      <c r="K898" s="109" t="s">
        <v>9440</v>
      </c>
      <c r="L898" s="109" t="s">
        <v>9496</v>
      </c>
    </row>
    <row r="899" spans="1:12" s="58" customFormat="1" ht="14.85" customHeight="1" x14ac:dyDescent="0.25">
      <c r="A899" s="108" t="s">
        <v>9308</v>
      </c>
      <c r="B899" s="115" t="s">
        <v>8939</v>
      </c>
      <c r="C899" s="115" t="s">
        <v>9338</v>
      </c>
      <c r="D899" s="109" t="s">
        <v>10063</v>
      </c>
      <c r="E899" s="106" t="s">
        <v>10064</v>
      </c>
      <c r="F899" s="109" t="s">
        <v>9496</v>
      </c>
      <c r="G899" s="115" t="s">
        <v>9324</v>
      </c>
      <c r="H899" s="115" t="s">
        <v>9323</v>
      </c>
      <c r="I899" s="109" t="s">
        <v>10053</v>
      </c>
      <c r="J899" s="239" t="s">
        <v>10054</v>
      </c>
      <c r="K899" s="109" t="s">
        <v>9440</v>
      </c>
      <c r="L899" s="109" t="s">
        <v>9496</v>
      </c>
    </row>
    <row r="900" spans="1:12" s="58" customFormat="1" ht="14.85" customHeight="1" x14ac:dyDescent="0.25">
      <c r="A900" s="108" t="s">
        <v>9308</v>
      </c>
      <c r="B900" s="115" t="s">
        <v>8939</v>
      </c>
      <c r="C900" s="115" t="s">
        <v>9338</v>
      </c>
      <c r="D900" s="109" t="s">
        <v>10063</v>
      </c>
      <c r="E900" s="106" t="s">
        <v>10064</v>
      </c>
      <c r="F900" s="109" t="s">
        <v>9496</v>
      </c>
      <c r="G900" s="115" t="s">
        <v>9324</v>
      </c>
      <c r="H900" s="115" t="s">
        <v>9323</v>
      </c>
      <c r="I900" s="109" t="s">
        <v>10055</v>
      </c>
      <c r="J900" s="239" t="s">
        <v>10056</v>
      </c>
      <c r="K900" s="109" t="s">
        <v>9440</v>
      </c>
      <c r="L900" s="109" t="s">
        <v>9496</v>
      </c>
    </row>
    <row r="901" spans="1:12" s="58" customFormat="1" ht="14.85" customHeight="1" x14ac:dyDescent="0.25">
      <c r="A901" s="108" t="s">
        <v>9308</v>
      </c>
      <c r="B901" s="115" t="s">
        <v>8939</v>
      </c>
      <c r="C901" s="115" t="s">
        <v>9338</v>
      </c>
      <c r="D901" s="109" t="s">
        <v>10063</v>
      </c>
      <c r="E901" s="106" t="s">
        <v>10064</v>
      </c>
      <c r="F901" s="109" t="s">
        <v>9496</v>
      </c>
      <c r="G901" s="115" t="s">
        <v>9324</v>
      </c>
      <c r="H901" s="115" t="s">
        <v>9323</v>
      </c>
      <c r="I901" s="109" t="s">
        <v>10025</v>
      </c>
      <c r="J901" s="239" t="s">
        <v>10026</v>
      </c>
      <c r="K901" s="109" t="s">
        <v>9440</v>
      </c>
      <c r="L901" s="109" t="s">
        <v>9496</v>
      </c>
    </row>
    <row r="902" spans="1:12" s="58" customFormat="1" ht="14.85" customHeight="1" x14ac:dyDescent="0.25">
      <c r="A902" s="108" t="s">
        <v>9308</v>
      </c>
      <c r="B902" s="115" t="s">
        <v>8939</v>
      </c>
      <c r="C902" s="115" t="s">
        <v>9338</v>
      </c>
      <c r="D902" s="109" t="s">
        <v>10063</v>
      </c>
      <c r="E902" s="106" t="s">
        <v>10064</v>
      </c>
      <c r="F902" s="109" t="s">
        <v>9496</v>
      </c>
      <c r="G902" s="115" t="s">
        <v>9324</v>
      </c>
      <c r="H902" s="115" t="s">
        <v>9323</v>
      </c>
      <c r="I902" s="109" t="s">
        <v>10059</v>
      </c>
      <c r="J902" s="239" t="s">
        <v>10060</v>
      </c>
      <c r="K902" s="109" t="s">
        <v>9440</v>
      </c>
      <c r="L902" s="109" t="s">
        <v>9496</v>
      </c>
    </row>
    <row r="903" spans="1:12" s="58" customFormat="1" ht="14.85" customHeight="1" x14ac:dyDescent="0.25">
      <c r="A903" s="108" t="s">
        <v>9308</v>
      </c>
      <c r="B903" s="115" t="s">
        <v>8939</v>
      </c>
      <c r="C903" s="115" t="s">
        <v>9338</v>
      </c>
      <c r="D903" s="109" t="s">
        <v>10063</v>
      </c>
      <c r="E903" s="106" t="s">
        <v>10064</v>
      </c>
      <c r="F903" s="109" t="s">
        <v>9496</v>
      </c>
      <c r="G903" s="115" t="s">
        <v>9324</v>
      </c>
      <c r="H903" s="115" t="s">
        <v>9323</v>
      </c>
      <c r="I903" s="109" t="s">
        <v>10027</v>
      </c>
      <c r="J903" s="239" t="s">
        <v>10028</v>
      </c>
      <c r="K903" s="109" t="s">
        <v>9440</v>
      </c>
      <c r="L903" s="109" t="s">
        <v>9496</v>
      </c>
    </row>
    <row r="904" spans="1:12" s="58" customFormat="1" ht="14.85" customHeight="1" x14ac:dyDescent="0.25">
      <c r="A904" s="108" t="s">
        <v>9308</v>
      </c>
      <c r="B904" s="115" t="s">
        <v>8939</v>
      </c>
      <c r="C904" s="115" t="s">
        <v>9338</v>
      </c>
      <c r="D904" s="109" t="s">
        <v>10065</v>
      </c>
      <c r="E904" s="106" t="s">
        <v>10066</v>
      </c>
      <c r="F904" s="109" t="s">
        <v>9496</v>
      </c>
      <c r="G904" s="115" t="s">
        <v>9324</v>
      </c>
      <c r="H904" s="115" t="s">
        <v>9323</v>
      </c>
      <c r="I904" s="109" t="s">
        <v>10025</v>
      </c>
      <c r="J904" s="239" t="s">
        <v>10026</v>
      </c>
      <c r="K904" s="109" t="s">
        <v>9440</v>
      </c>
      <c r="L904" s="109" t="s">
        <v>9496</v>
      </c>
    </row>
    <row r="905" spans="1:12" s="58" customFormat="1" ht="14.85" customHeight="1" x14ac:dyDescent="0.25">
      <c r="A905" s="108" t="s">
        <v>9308</v>
      </c>
      <c r="B905" s="115" t="s">
        <v>8939</v>
      </c>
      <c r="C905" s="115" t="s">
        <v>9338</v>
      </c>
      <c r="D905" s="109" t="s">
        <v>10065</v>
      </c>
      <c r="E905" s="106" t="s">
        <v>10066</v>
      </c>
      <c r="F905" s="109" t="s">
        <v>9496</v>
      </c>
      <c r="G905" s="115" t="s">
        <v>9324</v>
      </c>
      <c r="H905" s="115" t="s">
        <v>9323</v>
      </c>
      <c r="I905" s="109" t="s">
        <v>10027</v>
      </c>
      <c r="J905" s="239" t="s">
        <v>10028</v>
      </c>
      <c r="K905" s="109" t="s">
        <v>9440</v>
      </c>
      <c r="L905" s="109" t="s">
        <v>9496</v>
      </c>
    </row>
    <row r="906" spans="1:12" s="162" customFormat="1" ht="14.85" customHeight="1" x14ac:dyDescent="0.25">
      <c r="A906" s="108" t="s">
        <v>9308</v>
      </c>
      <c r="B906" s="115" t="s">
        <v>8939</v>
      </c>
      <c r="C906" s="115" t="s">
        <v>9338</v>
      </c>
      <c r="D906" s="109" t="s">
        <v>10067</v>
      </c>
      <c r="E906" s="106" t="s">
        <v>10068</v>
      </c>
      <c r="F906" s="109" t="s">
        <v>9496</v>
      </c>
      <c r="G906" s="115" t="s">
        <v>9324</v>
      </c>
      <c r="H906" s="115" t="s">
        <v>9323</v>
      </c>
      <c r="I906" s="109" t="s">
        <v>10045</v>
      </c>
      <c r="J906" s="239" t="s">
        <v>10046</v>
      </c>
      <c r="K906" s="109" t="s">
        <v>9440</v>
      </c>
      <c r="L906" s="109" t="s">
        <v>9496</v>
      </c>
    </row>
    <row r="907" spans="1:12" s="162" customFormat="1" ht="14.85" customHeight="1" x14ac:dyDescent="0.25">
      <c r="A907" s="108" t="s">
        <v>9308</v>
      </c>
      <c r="B907" s="115" t="s">
        <v>8939</v>
      </c>
      <c r="C907" s="115" t="s">
        <v>9338</v>
      </c>
      <c r="D907" s="109" t="s">
        <v>10069</v>
      </c>
      <c r="E907" s="106" t="s">
        <v>10070</v>
      </c>
      <c r="F907" s="109" t="s">
        <v>9496</v>
      </c>
      <c r="G907" s="115" t="s">
        <v>9324</v>
      </c>
      <c r="H907" s="115" t="s">
        <v>9323</v>
      </c>
      <c r="I907" s="109" t="s">
        <v>10045</v>
      </c>
      <c r="J907" s="239" t="s">
        <v>10046</v>
      </c>
      <c r="K907" s="109" t="s">
        <v>9440</v>
      </c>
      <c r="L907" s="109" t="s">
        <v>9496</v>
      </c>
    </row>
    <row r="908" spans="1:12" s="162" customFormat="1" ht="14.85" customHeight="1" x14ac:dyDescent="0.25">
      <c r="A908" s="108" t="s">
        <v>9308</v>
      </c>
      <c r="B908" s="115" t="s">
        <v>8939</v>
      </c>
      <c r="C908" s="115" t="s">
        <v>9338</v>
      </c>
      <c r="D908" s="109" t="s">
        <v>10071</v>
      </c>
      <c r="E908" s="106" t="s">
        <v>10072</v>
      </c>
      <c r="F908" s="109" t="s">
        <v>9496</v>
      </c>
      <c r="G908" s="115" t="s">
        <v>9324</v>
      </c>
      <c r="H908" s="115" t="s">
        <v>9323</v>
      </c>
      <c r="I908" s="109" t="s">
        <v>10045</v>
      </c>
      <c r="J908" s="239" t="s">
        <v>10046</v>
      </c>
      <c r="K908" s="109" t="s">
        <v>9440</v>
      </c>
      <c r="L908" s="109" t="s">
        <v>9496</v>
      </c>
    </row>
    <row r="909" spans="1:12" s="162" customFormat="1" ht="14.85" customHeight="1" x14ac:dyDescent="0.25">
      <c r="A909" s="108" t="s">
        <v>9308</v>
      </c>
      <c r="B909" s="115" t="s">
        <v>8939</v>
      </c>
      <c r="C909" s="115" t="s">
        <v>9338</v>
      </c>
      <c r="D909" s="109" t="s">
        <v>10073</v>
      </c>
      <c r="E909" s="106" t="s">
        <v>10074</v>
      </c>
      <c r="F909" s="109" t="s">
        <v>9496</v>
      </c>
      <c r="G909" s="115" t="s">
        <v>9324</v>
      </c>
      <c r="H909" s="115" t="s">
        <v>9323</v>
      </c>
      <c r="I909" s="109" t="s">
        <v>10045</v>
      </c>
      <c r="J909" s="239" t="s">
        <v>10046</v>
      </c>
      <c r="K909" s="109" t="s">
        <v>9440</v>
      </c>
      <c r="L909" s="109" t="s">
        <v>9496</v>
      </c>
    </row>
    <row r="910" spans="1:12" s="58" customFormat="1" ht="14.85" customHeight="1" x14ac:dyDescent="0.25">
      <c r="A910" s="108" t="s">
        <v>13512</v>
      </c>
      <c r="B910" s="161" t="s">
        <v>8939</v>
      </c>
      <c r="C910" s="115" t="s">
        <v>9338</v>
      </c>
      <c r="D910" s="109" t="s">
        <v>10075</v>
      </c>
      <c r="E910" s="241" t="s">
        <v>13395</v>
      </c>
      <c r="F910" s="109" t="s">
        <v>9496</v>
      </c>
      <c r="G910" s="115" t="s">
        <v>9324</v>
      </c>
      <c r="H910" s="115" t="s">
        <v>9323</v>
      </c>
      <c r="I910" s="109" t="s">
        <v>10025</v>
      </c>
      <c r="J910" s="239" t="s">
        <v>10026</v>
      </c>
      <c r="K910" s="109" t="s">
        <v>9440</v>
      </c>
      <c r="L910" s="109" t="s">
        <v>9496</v>
      </c>
    </row>
    <row r="911" spans="1:12" s="58" customFormat="1" ht="14.85" customHeight="1" x14ac:dyDescent="0.25">
      <c r="A911" s="108" t="s">
        <v>13512</v>
      </c>
      <c r="B911" s="161" t="s">
        <v>8939</v>
      </c>
      <c r="C911" s="115" t="s">
        <v>9338</v>
      </c>
      <c r="D911" s="109" t="s">
        <v>10075</v>
      </c>
      <c r="E911" s="241" t="s">
        <v>13395</v>
      </c>
      <c r="F911" s="109" t="s">
        <v>9496</v>
      </c>
      <c r="G911" s="115" t="s">
        <v>9324</v>
      </c>
      <c r="H911" s="115" t="s">
        <v>9323</v>
      </c>
      <c r="I911" s="109" t="s">
        <v>10033</v>
      </c>
      <c r="J911" s="239" t="s">
        <v>10034</v>
      </c>
      <c r="K911" s="109" t="s">
        <v>9440</v>
      </c>
      <c r="L911" s="109" t="s">
        <v>9496</v>
      </c>
    </row>
    <row r="912" spans="1:12" s="58" customFormat="1" ht="14.85" customHeight="1" x14ac:dyDescent="0.25">
      <c r="A912" s="108" t="s">
        <v>13512</v>
      </c>
      <c r="B912" s="161" t="s">
        <v>8939</v>
      </c>
      <c r="C912" s="115" t="s">
        <v>9338</v>
      </c>
      <c r="D912" s="109" t="s">
        <v>10075</v>
      </c>
      <c r="E912" s="241" t="s">
        <v>13395</v>
      </c>
      <c r="F912" s="109" t="s">
        <v>9496</v>
      </c>
      <c r="G912" s="115" t="s">
        <v>9324</v>
      </c>
      <c r="H912" s="115" t="s">
        <v>9323</v>
      </c>
      <c r="I912" s="109" t="s">
        <v>10035</v>
      </c>
      <c r="J912" s="239" t="s">
        <v>10036</v>
      </c>
      <c r="K912" s="109" t="s">
        <v>9440</v>
      </c>
      <c r="L912" s="109" t="s">
        <v>9496</v>
      </c>
    </row>
    <row r="913" spans="1:12" s="58" customFormat="1" ht="14.85" customHeight="1" x14ac:dyDescent="0.25">
      <c r="A913" s="108" t="s">
        <v>13512</v>
      </c>
      <c r="B913" s="161" t="s">
        <v>8939</v>
      </c>
      <c r="C913" s="115" t="s">
        <v>9338</v>
      </c>
      <c r="D913" s="109" t="s">
        <v>10075</v>
      </c>
      <c r="E913" s="241" t="s">
        <v>13395</v>
      </c>
      <c r="F913" s="109" t="s">
        <v>9496</v>
      </c>
      <c r="G913" s="115" t="s">
        <v>9324</v>
      </c>
      <c r="H913" s="115" t="s">
        <v>9323</v>
      </c>
      <c r="I913" s="109" t="s">
        <v>10076</v>
      </c>
      <c r="J913" s="239" t="s">
        <v>10077</v>
      </c>
      <c r="K913" s="109" t="s">
        <v>9440</v>
      </c>
      <c r="L913" s="109" t="s">
        <v>9496</v>
      </c>
    </row>
    <row r="914" spans="1:12" s="58" customFormat="1" ht="14.85" customHeight="1" x14ac:dyDescent="0.25">
      <c r="A914" s="108" t="s">
        <v>13512</v>
      </c>
      <c r="B914" s="161" t="s">
        <v>8939</v>
      </c>
      <c r="C914" s="115" t="s">
        <v>9338</v>
      </c>
      <c r="D914" s="109" t="s">
        <v>10075</v>
      </c>
      <c r="E914" s="241" t="s">
        <v>13395</v>
      </c>
      <c r="F914" s="109" t="s">
        <v>9496</v>
      </c>
      <c r="G914" s="115" t="s">
        <v>9324</v>
      </c>
      <c r="H914" s="115" t="s">
        <v>9323</v>
      </c>
      <c r="I914" s="109" t="s">
        <v>10045</v>
      </c>
      <c r="J914" s="239" t="s">
        <v>10046</v>
      </c>
      <c r="K914" s="109" t="s">
        <v>9440</v>
      </c>
      <c r="L914" s="109" t="s">
        <v>9496</v>
      </c>
    </row>
    <row r="915" spans="1:12" s="58" customFormat="1" ht="14.85" customHeight="1" x14ac:dyDescent="0.25">
      <c r="A915" s="108" t="s">
        <v>13511</v>
      </c>
      <c r="B915" s="300" t="s">
        <v>8939</v>
      </c>
      <c r="C915" s="169" t="s">
        <v>9338</v>
      </c>
      <c r="D915" s="163" t="s">
        <v>10078</v>
      </c>
      <c r="E915" s="301" t="s">
        <v>10079</v>
      </c>
      <c r="F915" s="163" t="s">
        <v>9496</v>
      </c>
      <c r="G915" s="169" t="s">
        <v>9324</v>
      </c>
      <c r="H915" s="169" t="s">
        <v>9323</v>
      </c>
      <c r="I915" s="163" t="s">
        <v>10025</v>
      </c>
      <c r="J915" s="242" t="s">
        <v>10026</v>
      </c>
      <c r="K915" s="163" t="s">
        <v>9440</v>
      </c>
      <c r="L915" s="163" t="s">
        <v>9496</v>
      </c>
    </row>
    <row r="916" spans="1:12" s="58" customFormat="1" ht="14.85" customHeight="1" x14ac:dyDescent="0.25">
      <c r="A916" s="108" t="s">
        <v>13511</v>
      </c>
      <c r="B916" s="300" t="s">
        <v>8939</v>
      </c>
      <c r="C916" s="169" t="s">
        <v>9338</v>
      </c>
      <c r="D916" s="163" t="s">
        <v>10078</v>
      </c>
      <c r="E916" s="301" t="s">
        <v>10079</v>
      </c>
      <c r="F916" s="163" t="s">
        <v>9496</v>
      </c>
      <c r="G916" s="169" t="s">
        <v>9324</v>
      </c>
      <c r="H916" s="169" t="s">
        <v>9323</v>
      </c>
      <c r="I916" s="163" t="s">
        <v>10033</v>
      </c>
      <c r="J916" s="242" t="s">
        <v>10034</v>
      </c>
      <c r="K916" s="163" t="s">
        <v>9440</v>
      </c>
      <c r="L916" s="163" t="s">
        <v>9496</v>
      </c>
    </row>
    <row r="917" spans="1:12" s="58" customFormat="1" ht="14.85" customHeight="1" x14ac:dyDescent="0.25">
      <c r="A917" s="108" t="s">
        <v>13511</v>
      </c>
      <c r="B917" s="300" t="s">
        <v>8939</v>
      </c>
      <c r="C917" s="169" t="s">
        <v>9338</v>
      </c>
      <c r="D917" s="163" t="s">
        <v>10078</v>
      </c>
      <c r="E917" s="301" t="s">
        <v>10079</v>
      </c>
      <c r="F917" s="163" t="s">
        <v>9496</v>
      </c>
      <c r="G917" s="169" t="s">
        <v>9324</v>
      </c>
      <c r="H917" s="169" t="s">
        <v>9323</v>
      </c>
      <c r="I917" s="163" t="s">
        <v>10035</v>
      </c>
      <c r="J917" s="242" t="s">
        <v>10036</v>
      </c>
      <c r="K917" s="163" t="s">
        <v>9440</v>
      </c>
      <c r="L917" s="163" t="s">
        <v>9496</v>
      </c>
    </row>
    <row r="918" spans="1:12" s="58" customFormat="1" ht="14.85" customHeight="1" x14ac:dyDescent="0.25">
      <c r="A918" s="108" t="s">
        <v>13511</v>
      </c>
      <c r="B918" s="300" t="s">
        <v>8939</v>
      </c>
      <c r="C918" s="169" t="s">
        <v>9338</v>
      </c>
      <c r="D918" s="163" t="s">
        <v>10078</v>
      </c>
      <c r="E918" s="301" t="s">
        <v>10079</v>
      </c>
      <c r="F918" s="163" t="s">
        <v>9496</v>
      </c>
      <c r="G918" s="169" t="s">
        <v>9324</v>
      </c>
      <c r="H918" s="169" t="s">
        <v>9323</v>
      </c>
      <c r="I918" s="163" t="s">
        <v>10076</v>
      </c>
      <c r="J918" s="242" t="s">
        <v>10077</v>
      </c>
      <c r="K918" s="163" t="s">
        <v>9440</v>
      </c>
      <c r="L918" s="163" t="s">
        <v>9496</v>
      </c>
    </row>
    <row r="919" spans="1:12" s="58" customFormat="1" ht="14.85" customHeight="1" x14ac:dyDescent="0.25">
      <c r="A919" s="108" t="s">
        <v>13511</v>
      </c>
      <c r="B919" s="300" t="s">
        <v>8939</v>
      </c>
      <c r="C919" s="169" t="s">
        <v>9338</v>
      </c>
      <c r="D919" s="163" t="s">
        <v>10078</v>
      </c>
      <c r="E919" s="301" t="s">
        <v>10079</v>
      </c>
      <c r="F919" s="163" t="s">
        <v>9496</v>
      </c>
      <c r="G919" s="169" t="s">
        <v>9324</v>
      </c>
      <c r="H919" s="169" t="s">
        <v>9323</v>
      </c>
      <c r="I919" s="163" t="s">
        <v>10045</v>
      </c>
      <c r="J919" s="242" t="s">
        <v>10046</v>
      </c>
      <c r="K919" s="163" t="s">
        <v>9440</v>
      </c>
      <c r="L919" s="163" t="s">
        <v>9496</v>
      </c>
    </row>
    <row r="920" spans="1:12" s="58" customFormat="1" ht="14.85" customHeight="1" x14ac:dyDescent="0.25">
      <c r="A920" s="108" t="s">
        <v>13511</v>
      </c>
      <c r="B920" s="300" t="s">
        <v>8939</v>
      </c>
      <c r="C920" s="169" t="s">
        <v>9338</v>
      </c>
      <c r="D920" s="163" t="s">
        <v>10080</v>
      </c>
      <c r="E920" s="301" t="s">
        <v>10081</v>
      </c>
      <c r="F920" s="163" t="s">
        <v>9496</v>
      </c>
      <c r="G920" s="169" t="s">
        <v>9324</v>
      </c>
      <c r="H920" s="169" t="s">
        <v>9323</v>
      </c>
      <c r="I920" s="163" t="s">
        <v>10025</v>
      </c>
      <c r="J920" s="242" t="s">
        <v>10026</v>
      </c>
      <c r="K920" s="163" t="s">
        <v>9440</v>
      </c>
      <c r="L920" s="163" t="s">
        <v>9496</v>
      </c>
    </row>
    <row r="921" spans="1:12" s="58" customFormat="1" ht="14.85" customHeight="1" x14ac:dyDescent="0.25">
      <c r="A921" s="108" t="s">
        <v>13511</v>
      </c>
      <c r="B921" s="300" t="s">
        <v>8939</v>
      </c>
      <c r="C921" s="169" t="s">
        <v>9338</v>
      </c>
      <c r="D921" s="163" t="s">
        <v>10080</v>
      </c>
      <c r="E921" s="301" t="s">
        <v>10081</v>
      </c>
      <c r="F921" s="163" t="s">
        <v>9496</v>
      </c>
      <c r="G921" s="169" t="s">
        <v>9324</v>
      </c>
      <c r="H921" s="169" t="s">
        <v>9323</v>
      </c>
      <c r="I921" s="163" t="s">
        <v>10033</v>
      </c>
      <c r="J921" s="242" t="s">
        <v>10034</v>
      </c>
      <c r="K921" s="163" t="s">
        <v>9440</v>
      </c>
      <c r="L921" s="163" t="s">
        <v>9496</v>
      </c>
    </row>
    <row r="922" spans="1:12" s="58" customFormat="1" ht="14.85" customHeight="1" x14ac:dyDescent="0.25">
      <c r="A922" s="108" t="s">
        <v>13511</v>
      </c>
      <c r="B922" s="300" t="s">
        <v>8939</v>
      </c>
      <c r="C922" s="169" t="s">
        <v>9338</v>
      </c>
      <c r="D922" s="163" t="s">
        <v>10080</v>
      </c>
      <c r="E922" s="301" t="s">
        <v>10081</v>
      </c>
      <c r="F922" s="163" t="s">
        <v>9496</v>
      </c>
      <c r="G922" s="169" t="s">
        <v>9324</v>
      </c>
      <c r="H922" s="169" t="s">
        <v>9323</v>
      </c>
      <c r="I922" s="163" t="s">
        <v>10035</v>
      </c>
      <c r="J922" s="242" t="s">
        <v>10036</v>
      </c>
      <c r="K922" s="163" t="s">
        <v>9440</v>
      </c>
      <c r="L922" s="163" t="s">
        <v>9496</v>
      </c>
    </row>
    <row r="923" spans="1:12" s="58" customFormat="1" ht="14.85" customHeight="1" x14ac:dyDescent="0.25">
      <c r="A923" s="108" t="s">
        <v>13511</v>
      </c>
      <c r="B923" s="300" t="s">
        <v>8939</v>
      </c>
      <c r="C923" s="169" t="s">
        <v>9338</v>
      </c>
      <c r="D923" s="163" t="s">
        <v>10080</v>
      </c>
      <c r="E923" s="301" t="s">
        <v>10081</v>
      </c>
      <c r="F923" s="163" t="s">
        <v>9496</v>
      </c>
      <c r="G923" s="169" t="s">
        <v>9324</v>
      </c>
      <c r="H923" s="169" t="s">
        <v>9323</v>
      </c>
      <c r="I923" s="163" t="s">
        <v>10076</v>
      </c>
      <c r="J923" s="242" t="s">
        <v>10077</v>
      </c>
      <c r="K923" s="163" t="s">
        <v>9440</v>
      </c>
      <c r="L923" s="163" t="s">
        <v>9496</v>
      </c>
    </row>
    <row r="924" spans="1:12" s="58" customFormat="1" ht="14.85" customHeight="1" x14ac:dyDescent="0.25">
      <c r="A924" s="108" t="s">
        <v>13511</v>
      </c>
      <c r="B924" s="300" t="s">
        <v>8939</v>
      </c>
      <c r="C924" s="169" t="s">
        <v>9338</v>
      </c>
      <c r="D924" s="163" t="s">
        <v>10080</v>
      </c>
      <c r="E924" s="301" t="s">
        <v>10081</v>
      </c>
      <c r="F924" s="163" t="s">
        <v>9496</v>
      </c>
      <c r="G924" s="169" t="s">
        <v>9324</v>
      </c>
      <c r="H924" s="169" t="s">
        <v>9323</v>
      </c>
      <c r="I924" s="163" t="s">
        <v>10045</v>
      </c>
      <c r="J924" s="242" t="s">
        <v>10046</v>
      </c>
      <c r="K924" s="163" t="s">
        <v>9440</v>
      </c>
      <c r="L924" s="163" t="s">
        <v>9496</v>
      </c>
    </row>
    <row r="925" spans="1:12" s="58" customFormat="1" ht="14.85" customHeight="1" x14ac:dyDescent="0.25">
      <c r="A925" s="108" t="s">
        <v>9308</v>
      </c>
      <c r="B925" s="115" t="s">
        <v>8939</v>
      </c>
      <c r="C925" s="115" t="s">
        <v>9338</v>
      </c>
      <c r="D925" s="109" t="s">
        <v>10082</v>
      </c>
      <c r="E925" s="106" t="s">
        <v>10083</v>
      </c>
      <c r="F925" s="109" t="s">
        <v>9496</v>
      </c>
      <c r="G925" s="115" t="s">
        <v>9324</v>
      </c>
      <c r="H925" s="115" t="s">
        <v>9323</v>
      </c>
      <c r="I925" s="109" t="s">
        <v>10033</v>
      </c>
      <c r="J925" s="239" t="s">
        <v>10034</v>
      </c>
      <c r="K925" s="109" t="s">
        <v>9440</v>
      </c>
      <c r="L925" s="109" t="s">
        <v>9496</v>
      </c>
    </row>
    <row r="926" spans="1:12" s="58" customFormat="1" ht="14.85" customHeight="1" x14ac:dyDescent="0.25">
      <c r="A926" s="108" t="s">
        <v>9308</v>
      </c>
      <c r="B926" s="115" t="s">
        <v>8939</v>
      </c>
      <c r="C926" s="115" t="s">
        <v>9338</v>
      </c>
      <c r="D926" s="109" t="s">
        <v>10082</v>
      </c>
      <c r="E926" s="106" t="s">
        <v>10083</v>
      </c>
      <c r="F926" s="109" t="s">
        <v>9496</v>
      </c>
      <c r="G926" s="115" t="s">
        <v>9324</v>
      </c>
      <c r="H926" s="115" t="s">
        <v>9323</v>
      </c>
      <c r="I926" s="109" t="s">
        <v>10041</v>
      </c>
      <c r="J926" s="239" t="s">
        <v>10042</v>
      </c>
      <c r="K926" s="109" t="s">
        <v>9440</v>
      </c>
      <c r="L926" s="109" t="s">
        <v>9496</v>
      </c>
    </row>
    <row r="927" spans="1:12" s="58" customFormat="1" ht="14.85" customHeight="1" x14ac:dyDescent="0.25">
      <c r="A927" s="108" t="s">
        <v>9308</v>
      </c>
      <c r="B927" s="115" t="s">
        <v>8939</v>
      </c>
      <c r="C927" s="115" t="s">
        <v>9338</v>
      </c>
      <c r="D927" s="109" t="s">
        <v>10082</v>
      </c>
      <c r="E927" s="106" t="s">
        <v>10083</v>
      </c>
      <c r="F927" s="109" t="s">
        <v>9496</v>
      </c>
      <c r="G927" s="115" t="s">
        <v>9324</v>
      </c>
      <c r="H927" s="115" t="s">
        <v>9323</v>
      </c>
      <c r="I927" s="109" t="s">
        <v>10043</v>
      </c>
      <c r="J927" s="239" t="s">
        <v>10044</v>
      </c>
      <c r="K927" s="109" t="s">
        <v>9440</v>
      </c>
      <c r="L927" s="109" t="s">
        <v>9496</v>
      </c>
    </row>
    <row r="928" spans="1:12" s="58" customFormat="1" ht="14.85" customHeight="1" x14ac:dyDescent="0.25">
      <c r="A928" s="108" t="s">
        <v>9308</v>
      </c>
      <c r="B928" s="115" t="s">
        <v>8939</v>
      </c>
      <c r="C928" s="115" t="s">
        <v>9338</v>
      </c>
      <c r="D928" s="109" t="s">
        <v>10082</v>
      </c>
      <c r="E928" s="106" t="s">
        <v>10083</v>
      </c>
      <c r="F928" s="109" t="s">
        <v>9496</v>
      </c>
      <c r="G928" s="115" t="s">
        <v>9324</v>
      </c>
      <c r="H928" s="115" t="s">
        <v>9323</v>
      </c>
      <c r="I928" s="109" t="s">
        <v>10045</v>
      </c>
      <c r="J928" s="239" t="s">
        <v>10046</v>
      </c>
      <c r="K928" s="109" t="s">
        <v>9440</v>
      </c>
      <c r="L928" s="109" t="s">
        <v>9496</v>
      </c>
    </row>
    <row r="929" spans="1:12" s="58" customFormat="1" ht="14.85" customHeight="1" x14ac:dyDescent="0.25">
      <c r="A929" s="108" t="s">
        <v>9308</v>
      </c>
      <c r="B929" s="115" t="s">
        <v>8939</v>
      </c>
      <c r="C929" s="115" t="s">
        <v>9338</v>
      </c>
      <c r="D929" s="109" t="s">
        <v>10084</v>
      </c>
      <c r="E929" s="106" t="s">
        <v>10085</v>
      </c>
      <c r="F929" s="109" t="s">
        <v>9496</v>
      </c>
      <c r="G929" s="115" t="s">
        <v>9324</v>
      </c>
      <c r="H929" s="115" t="s">
        <v>9323</v>
      </c>
      <c r="I929" s="109" t="s">
        <v>10033</v>
      </c>
      <c r="J929" s="239" t="s">
        <v>10034</v>
      </c>
      <c r="K929" s="109" t="s">
        <v>9440</v>
      </c>
      <c r="L929" s="109" t="s">
        <v>9496</v>
      </c>
    </row>
    <row r="930" spans="1:12" s="58" customFormat="1" ht="14.85" customHeight="1" x14ac:dyDescent="0.25">
      <c r="A930" s="108" t="s">
        <v>9308</v>
      </c>
      <c r="B930" s="115" t="s">
        <v>8939</v>
      </c>
      <c r="C930" s="115" t="s">
        <v>9338</v>
      </c>
      <c r="D930" s="109" t="s">
        <v>10084</v>
      </c>
      <c r="E930" s="106" t="s">
        <v>10085</v>
      </c>
      <c r="F930" s="109" t="s">
        <v>9496</v>
      </c>
      <c r="G930" s="115" t="s">
        <v>9324</v>
      </c>
      <c r="H930" s="115" t="s">
        <v>9323</v>
      </c>
      <c r="I930" s="109" t="s">
        <v>10041</v>
      </c>
      <c r="J930" s="239" t="s">
        <v>10042</v>
      </c>
      <c r="K930" s="109" t="s">
        <v>9440</v>
      </c>
      <c r="L930" s="109" t="s">
        <v>9496</v>
      </c>
    </row>
    <row r="931" spans="1:12" s="58" customFormat="1" ht="14.85" customHeight="1" x14ac:dyDescent="0.25">
      <c r="A931" s="108" t="s">
        <v>9308</v>
      </c>
      <c r="B931" s="115" t="s">
        <v>8939</v>
      </c>
      <c r="C931" s="115" t="s">
        <v>9338</v>
      </c>
      <c r="D931" s="109" t="s">
        <v>10084</v>
      </c>
      <c r="E931" s="106" t="s">
        <v>10085</v>
      </c>
      <c r="F931" s="109" t="s">
        <v>9496</v>
      </c>
      <c r="G931" s="115" t="s">
        <v>9324</v>
      </c>
      <c r="H931" s="115" t="s">
        <v>9323</v>
      </c>
      <c r="I931" s="109" t="s">
        <v>10043</v>
      </c>
      <c r="J931" s="239" t="s">
        <v>10044</v>
      </c>
      <c r="K931" s="109" t="s">
        <v>9440</v>
      </c>
      <c r="L931" s="109" t="s">
        <v>9496</v>
      </c>
    </row>
    <row r="932" spans="1:12" s="58" customFormat="1" ht="14.85" customHeight="1" x14ac:dyDescent="0.25">
      <c r="A932" s="108" t="s">
        <v>9308</v>
      </c>
      <c r="B932" s="115" t="s">
        <v>8939</v>
      </c>
      <c r="C932" s="115" t="s">
        <v>9338</v>
      </c>
      <c r="D932" s="109" t="s">
        <v>10084</v>
      </c>
      <c r="E932" s="106" t="s">
        <v>10085</v>
      </c>
      <c r="F932" s="109" t="s">
        <v>9496</v>
      </c>
      <c r="G932" s="115" t="s">
        <v>9324</v>
      </c>
      <c r="H932" s="115" t="s">
        <v>9323</v>
      </c>
      <c r="I932" s="109" t="s">
        <v>10045</v>
      </c>
      <c r="J932" s="239" t="s">
        <v>10046</v>
      </c>
      <c r="K932" s="109" t="s">
        <v>9440</v>
      </c>
      <c r="L932" s="109" t="s">
        <v>9496</v>
      </c>
    </row>
    <row r="933" spans="1:12" s="58" customFormat="1" ht="14.85" customHeight="1" x14ac:dyDescent="0.25">
      <c r="A933" s="108" t="s">
        <v>9308</v>
      </c>
      <c r="B933" s="115" t="s">
        <v>8939</v>
      </c>
      <c r="C933" s="115" t="s">
        <v>9338</v>
      </c>
      <c r="D933" s="109" t="s">
        <v>10086</v>
      </c>
      <c r="E933" s="106" t="s">
        <v>10087</v>
      </c>
      <c r="F933" s="109" t="s">
        <v>9496</v>
      </c>
      <c r="G933" s="115" t="s">
        <v>9324</v>
      </c>
      <c r="H933" s="115" t="s">
        <v>9323</v>
      </c>
      <c r="I933" s="109" t="s">
        <v>10025</v>
      </c>
      <c r="J933" s="239" t="s">
        <v>10026</v>
      </c>
      <c r="K933" s="109" t="s">
        <v>9440</v>
      </c>
      <c r="L933" s="109" t="s">
        <v>9496</v>
      </c>
    </row>
    <row r="934" spans="1:12" s="58" customFormat="1" ht="14.85" customHeight="1" x14ac:dyDescent="0.25">
      <c r="A934" s="108" t="s">
        <v>9308</v>
      </c>
      <c r="B934" s="115" t="s">
        <v>8939</v>
      </c>
      <c r="C934" s="115" t="s">
        <v>9338</v>
      </c>
      <c r="D934" s="109" t="s">
        <v>10086</v>
      </c>
      <c r="E934" s="106" t="s">
        <v>10087</v>
      </c>
      <c r="F934" s="109" t="s">
        <v>9496</v>
      </c>
      <c r="G934" s="115" t="s">
        <v>9324</v>
      </c>
      <c r="H934" s="115" t="s">
        <v>9323</v>
      </c>
      <c r="I934" s="109" t="s">
        <v>10035</v>
      </c>
      <c r="J934" s="239" t="s">
        <v>10036</v>
      </c>
      <c r="K934" s="109" t="s">
        <v>9440</v>
      </c>
      <c r="L934" s="109" t="s">
        <v>9496</v>
      </c>
    </row>
    <row r="935" spans="1:12" s="58" customFormat="1" ht="14.85" customHeight="1" x14ac:dyDescent="0.25">
      <c r="A935" s="108" t="s">
        <v>9308</v>
      </c>
      <c r="B935" s="115" t="s">
        <v>8939</v>
      </c>
      <c r="C935" s="115" t="s">
        <v>9338</v>
      </c>
      <c r="D935" s="109" t="s">
        <v>10086</v>
      </c>
      <c r="E935" s="106" t="s">
        <v>10087</v>
      </c>
      <c r="F935" s="109" t="s">
        <v>9496</v>
      </c>
      <c r="G935" s="115" t="s">
        <v>9324</v>
      </c>
      <c r="H935" s="115" t="s">
        <v>9323</v>
      </c>
      <c r="I935" s="109" t="s">
        <v>10037</v>
      </c>
      <c r="J935" s="239" t="s">
        <v>10038</v>
      </c>
      <c r="K935" s="109" t="s">
        <v>9440</v>
      </c>
      <c r="L935" s="109" t="s">
        <v>9496</v>
      </c>
    </row>
    <row r="936" spans="1:12" s="58" customFormat="1" ht="14.85" customHeight="1" x14ac:dyDescent="0.25">
      <c r="A936" s="108" t="s">
        <v>9308</v>
      </c>
      <c r="B936" s="115" t="s">
        <v>8939</v>
      </c>
      <c r="C936" s="115" t="s">
        <v>9338</v>
      </c>
      <c r="D936" s="109" t="s">
        <v>10086</v>
      </c>
      <c r="E936" s="106" t="s">
        <v>10087</v>
      </c>
      <c r="F936" s="109" t="s">
        <v>9496</v>
      </c>
      <c r="G936" s="115" t="s">
        <v>9324</v>
      </c>
      <c r="H936" s="115" t="s">
        <v>9323</v>
      </c>
      <c r="I936" s="109" t="s">
        <v>10039</v>
      </c>
      <c r="J936" s="239" t="s">
        <v>10040</v>
      </c>
      <c r="K936" s="109" t="s">
        <v>9440</v>
      </c>
      <c r="L936" s="109" t="s">
        <v>9496</v>
      </c>
    </row>
    <row r="937" spans="1:12" s="58" customFormat="1" ht="14.85" customHeight="1" x14ac:dyDescent="0.25">
      <c r="A937" s="108" t="s">
        <v>9308</v>
      </c>
      <c r="B937" s="115" t="s">
        <v>8939</v>
      </c>
      <c r="C937" s="115" t="s">
        <v>9338</v>
      </c>
      <c r="D937" s="109" t="s">
        <v>10086</v>
      </c>
      <c r="E937" s="106" t="s">
        <v>10087</v>
      </c>
      <c r="F937" s="109" t="s">
        <v>9496</v>
      </c>
      <c r="G937" s="115" t="s">
        <v>9324</v>
      </c>
      <c r="H937" s="115" t="s">
        <v>9323</v>
      </c>
      <c r="I937" s="109" t="s">
        <v>10041</v>
      </c>
      <c r="J937" s="239" t="s">
        <v>10042</v>
      </c>
      <c r="K937" s="109" t="s">
        <v>9440</v>
      </c>
      <c r="L937" s="109" t="s">
        <v>9496</v>
      </c>
    </row>
    <row r="938" spans="1:12" s="58" customFormat="1" ht="14.85" customHeight="1" x14ac:dyDescent="0.25">
      <c r="A938" s="108" t="s">
        <v>9308</v>
      </c>
      <c r="B938" s="115" t="s">
        <v>8939</v>
      </c>
      <c r="C938" s="115" t="s">
        <v>9338</v>
      </c>
      <c r="D938" s="109" t="s">
        <v>10086</v>
      </c>
      <c r="E938" s="106" t="s">
        <v>10087</v>
      </c>
      <c r="F938" s="109" t="s">
        <v>9496</v>
      </c>
      <c r="G938" s="115" t="s">
        <v>9324</v>
      </c>
      <c r="H938" s="115" t="s">
        <v>9323</v>
      </c>
      <c r="I938" s="109" t="s">
        <v>10045</v>
      </c>
      <c r="J938" s="239" t="s">
        <v>10046</v>
      </c>
      <c r="K938" s="109" t="s">
        <v>9440</v>
      </c>
      <c r="L938" s="109" t="s">
        <v>9496</v>
      </c>
    </row>
    <row r="939" spans="1:12" s="58" customFormat="1" ht="14.85" customHeight="1" x14ac:dyDescent="0.25">
      <c r="A939" s="108" t="s">
        <v>9308</v>
      </c>
      <c r="B939" s="115" t="s">
        <v>8939</v>
      </c>
      <c r="C939" s="115" t="s">
        <v>9338</v>
      </c>
      <c r="D939" s="109" t="s">
        <v>10088</v>
      </c>
      <c r="E939" s="106" t="s">
        <v>10089</v>
      </c>
      <c r="F939" s="109" t="s">
        <v>9496</v>
      </c>
      <c r="G939" s="115" t="s">
        <v>9324</v>
      </c>
      <c r="H939" s="115" t="s">
        <v>9323</v>
      </c>
      <c r="I939" s="109" t="s">
        <v>10090</v>
      </c>
      <c r="J939" s="239" t="s">
        <v>10091</v>
      </c>
      <c r="K939" s="109" t="s">
        <v>9440</v>
      </c>
      <c r="L939" s="109" t="s">
        <v>9496</v>
      </c>
    </row>
    <row r="940" spans="1:12" s="58" customFormat="1" ht="14.85" customHeight="1" x14ac:dyDescent="0.25">
      <c r="A940" s="108" t="s">
        <v>9308</v>
      </c>
      <c r="B940" s="115" t="s">
        <v>8939</v>
      </c>
      <c r="C940" s="115" t="s">
        <v>9338</v>
      </c>
      <c r="D940" s="109" t="s">
        <v>10088</v>
      </c>
      <c r="E940" s="106" t="s">
        <v>10089</v>
      </c>
      <c r="F940" s="109" t="s">
        <v>9496</v>
      </c>
      <c r="G940" s="115" t="s">
        <v>9324</v>
      </c>
      <c r="H940" s="115" t="s">
        <v>9323</v>
      </c>
      <c r="I940" s="109" t="s">
        <v>10035</v>
      </c>
      <c r="J940" s="239" t="s">
        <v>10036</v>
      </c>
      <c r="K940" s="109" t="s">
        <v>9440</v>
      </c>
      <c r="L940" s="109" t="s">
        <v>9496</v>
      </c>
    </row>
    <row r="941" spans="1:12" s="58" customFormat="1" ht="14.85" customHeight="1" x14ac:dyDescent="0.25">
      <c r="A941" s="108" t="s">
        <v>9308</v>
      </c>
      <c r="B941" s="115" t="s">
        <v>8939</v>
      </c>
      <c r="C941" s="115" t="s">
        <v>9338</v>
      </c>
      <c r="D941" s="109" t="s">
        <v>10088</v>
      </c>
      <c r="E941" s="106" t="s">
        <v>10089</v>
      </c>
      <c r="F941" s="109" t="s">
        <v>9496</v>
      </c>
      <c r="G941" s="115" t="s">
        <v>9324</v>
      </c>
      <c r="H941" s="115" t="s">
        <v>9323</v>
      </c>
      <c r="I941" s="109" t="s">
        <v>10039</v>
      </c>
      <c r="J941" s="239" t="s">
        <v>10040</v>
      </c>
      <c r="K941" s="109" t="s">
        <v>9440</v>
      </c>
      <c r="L941" s="109" t="s">
        <v>9496</v>
      </c>
    </row>
    <row r="942" spans="1:12" s="58" customFormat="1" ht="14.85" customHeight="1" x14ac:dyDescent="0.25">
      <c r="A942" s="108" t="s">
        <v>9308</v>
      </c>
      <c r="B942" s="115" t="s">
        <v>8939</v>
      </c>
      <c r="C942" s="115" t="s">
        <v>9338</v>
      </c>
      <c r="D942" s="109" t="s">
        <v>10088</v>
      </c>
      <c r="E942" s="106" t="s">
        <v>10089</v>
      </c>
      <c r="F942" s="109" t="s">
        <v>9496</v>
      </c>
      <c r="G942" s="115" t="s">
        <v>9324</v>
      </c>
      <c r="H942" s="115" t="s">
        <v>9323</v>
      </c>
      <c r="I942" s="109" t="s">
        <v>10092</v>
      </c>
      <c r="J942" s="239" t="s">
        <v>10093</v>
      </c>
      <c r="K942" s="109" t="s">
        <v>9440</v>
      </c>
      <c r="L942" s="109" t="s">
        <v>9496</v>
      </c>
    </row>
    <row r="943" spans="1:12" s="58" customFormat="1" ht="14.85" customHeight="1" x14ac:dyDescent="0.25">
      <c r="A943" s="108" t="s">
        <v>9308</v>
      </c>
      <c r="B943" s="115" t="s">
        <v>8939</v>
      </c>
      <c r="C943" s="115" t="s">
        <v>9338</v>
      </c>
      <c r="D943" s="109" t="s">
        <v>10094</v>
      </c>
      <c r="E943" s="106" t="s">
        <v>10095</v>
      </c>
      <c r="F943" s="109" t="s">
        <v>9496</v>
      </c>
      <c r="G943" s="115" t="s">
        <v>9324</v>
      </c>
      <c r="H943" s="115" t="s">
        <v>9323</v>
      </c>
      <c r="I943" s="109" t="s">
        <v>10055</v>
      </c>
      <c r="J943" s="239" t="s">
        <v>10056</v>
      </c>
      <c r="K943" s="109" t="s">
        <v>9440</v>
      </c>
      <c r="L943" s="109" t="s">
        <v>9496</v>
      </c>
    </row>
    <row r="944" spans="1:12" s="58" customFormat="1" ht="14.85" customHeight="1" x14ac:dyDescent="0.25">
      <c r="A944" s="108" t="s">
        <v>9308</v>
      </c>
      <c r="B944" s="115" t="s">
        <v>8939</v>
      </c>
      <c r="C944" s="115" t="s">
        <v>9338</v>
      </c>
      <c r="D944" s="109" t="s">
        <v>10094</v>
      </c>
      <c r="E944" s="106" t="s">
        <v>10095</v>
      </c>
      <c r="F944" s="109" t="s">
        <v>9496</v>
      </c>
      <c r="G944" s="115" t="s">
        <v>9324</v>
      </c>
      <c r="H944" s="115" t="s">
        <v>9323</v>
      </c>
      <c r="I944" s="109" t="s">
        <v>10025</v>
      </c>
      <c r="J944" s="239" t="s">
        <v>10026</v>
      </c>
      <c r="K944" s="109" t="s">
        <v>9440</v>
      </c>
      <c r="L944" s="109" t="s">
        <v>9496</v>
      </c>
    </row>
    <row r="945" spans="1:12" s="58" customFormat="1" ht="14.85" customHeight="1" x14ac:dyDescent="0.25">
      <c r="A945" s="108" t="s">
        <v>9308</v>
      </c>
      <c r="B945" s="115" t="s">
        <v>8939</v>
      </c>
      <c r="C945" s="115" t="s">
        <v>9338</v>
      </c>
      <c r="D945" s="109" t="s">
        <v>10094</v>
      </c>
      <c r="E945" s="106" t="s">
        <v>10095</v>
      </c>
      <c r="F945" s="109" t="s">
        <v>9496</v>
      </c>
      <c r="G945" s="115" t="s">
        <v>9324</v>
      </c>
      <c r="H945" s="115" t="s">
        <v>9323</v>
      </c>
      <c r="I945" s="109" t="s">
        <v>10027</v>
      </c>
      <c r="J945" s="239" t="s">
        <v>10028</v>
      </c>
      <c r="K945" s="109" t="s">
        <v>9440</v>
      </c>
      <c r="L945" s="109" t="s">
        <v>9496</v>
      </c>
    </row>
    <row r="946" spans="1:12" s="58" customFormat="1" ht="14.85" customHeight="1" x14ac:dyDescent="0.25">
      <c r="A946" s="108" t="s">
        <v>9308</v>
      </c>
      <c r="B946" s="115" t="s">
        <v>8939</v>
      </c>
      <c r="C946" s="115" t="s">
        <v>9338</v>
      </c>
      <c r="D946" s="109" t="s">
        <v>10096</v>
      </c>
      <c r="E946" s="106" t="s">
        <v>10097</v>
      </c>
      <c r="F946" s="109" t="s">
        <v>9496</v>
      </c>
      <c r="G946" s="115" t="s">
        <v>9324</v>
      </c>
      <c r="H946" s="115" t="s">
        <v>9323</v>
      </c>
      <c r="I946" s="109" t="s">
        <v>10025</v>
      </c>
      <c r="J946" s="239" t="s">
        <v>10026</v>
      </c>
      <c r="K946" s="109" t="s">
        <v>9440</v>
      </c>
      <c r="L946" s="109" t="s">
        <v>9496</v>
      </c>
    </row>
    <row r="947" spans="1:12" s="58" customFormat="1" ht="14.85" customHeight="1" x14ac:dyDescent="0.25">
      <c r="A947" s="108" t="s">
        <v>9308</v>
      </c>
      <c r="B947" s="115" t="s">
        <v>8939</v>
      </c>
      <c r="C947" s="115" t="s">
        <v>9338</v>
      </c>
      <c r="D947" s="109" t="s">
        <v>10096</v>
      </c>
      <c r="E947" s="106" t="s">
        <v>10097</v>
      </c>
      <c r="F947" s="109" t="s">
        <v>9496</v>
      </c>
      <c r="G947" s="115" t="s">
        <v>9324</v>
      </c>
      <c r="H947" s="115" t="s">
        <v>9323</v>
      </c>
      <c r="I947" s="109" t="s">
        <v>10027</v>
      </c>
      <c r="J947" s="239" t="s">
        <v>10028</v>
      </c>
      <c r="K947" s="109" t="s">
        <v>9440</v>
      </c>
      <c r="L947" s="109" t="s">
        <v>9496</v>
      </c>
    </row>
    <row r="948" spans="1:12" s="58" customFormat="1" ht="14.85" customHeight="1" x14ac:dyDescent="0.25">
      <c r="A948" s="108" t="s">
        <v>9308</v>
      </c>
      <c r="B948" s="115" t="s">
        <v>8939</v>
      </c>
      <c r="C948" s="115" t="s">
        <v>9338</v>
      </c>
      <c r="D948" s="109" t="s">
        <v>10098</v>
      </c>
      <c r="E948" s="106" t="s">
        <v>10099</v>
      </c>
      <c r="F948" s="109" t="s">
        <v>9496</v>
      </c>
      <c r="G948" s="115" t="s">
        <v>9324</v>
      </c>
      <c r="H948" s="115" t="s">
        <v>9323</v>
      </c>
      <c r="I948" s="109" t="s">
        <v>10035</v>
      </c>
      <c r="J948" s="239" t="s">
        <v>10036</v>
      </c>
      <c r="K948" s="109" t="s">
        <v>9440</v>
      </c>
      <c r="L948" s="109" t="s">
        <v>9496</v>
      </c>
    </row>
    <row r="949" spans="1:12" s="58" customFormat="1" ht="14.85" customHeight="1" x14ac:dyDescent="0.25">
      <c r="A949" s="108" t="s">
        <v>9308</v>
      </c>
      <c r="B949" s="115" t="s">
        <v>8939</v>
      </c>
      <c r="C949" s="115" t="s">
        <v>9338</v>
      </c>
      <c r="D949" s="109" t="s">
        <v>10098</v>
      </c>
      <c r="E949" s="106" t="s">
        <v>10099</v>
      </c>
      <c r="F949" s="109" t="s">
        <v>9496</v>
      </c>
      <c r="G949" s="115" t="s">
        <v>9324</v>
      </c>
      <c r="H949" s="115" t="s">
        <v>9323</v>
      </c>
      <c r="I949" s="109" t="s">
        <v>10037</v>
      </c>
      <c r="J949" s="239" t="s">
        <v>10038</v>
      </c>
      <c r="K949" s="109" t="s">
        <v>9440</v>
      </c>
      <c r="L949" s="109" t="s">
        <v>9496</v>
      </c>
    </row>
    <row r="950" spans="1:12" s="58" customFormat="1" ht="14.85" customHeight="1" x14ac:dyDescent="0.25">
      <c r="A950" s="108" t="s">
        <v>9308</v>
      </c>
      <c r="B950" s="115" t="s">
        <v>8939</v>
      </c>
      <c r="C950" s="115" t="s">
        <v>9338</v>
      </c>
      <c r="D950" s="109" t="s">
        <v>10100</v>
      </c>
      <c r="E950" s="106" t="s">
        <v>10101</v>
      </c>
      <c r="F950" s="109" t="s">
        <v>9496</v>
      </c>
      <c r="G950" s="115" t="s">
        <v>9324</v>
      </c>
      <c r="H950" s="115" t="s">
        <v>9324</v>
      </c>
      <c r="I950" s="109" t="s">
        <v>10035</v>
      </c>
      <c r="J950" s="239" t="s">
        <v>10036</v>
      </c>
      <c r="K950" s="109" t="s">
        <v>9440</v>
      </c>
      <c r="L950" s="109" t="s">
        <v>9496</v>
      </c>
    </row>
    <row r="951" spans="1:12" s="58" customFormat="1" ht="14.85" customHeight="1" x14ac:dyDescent="0.25">
      <c r="A951" s="108" t="s">
        <v>9308</v>
      </c>
      <c r="B951" s="115" t="s">
        <v>8939</v>
      </c>
      <c r="C951" s="115" t="s">
        <v>9338</v>
      </c>
      <c r="D951" s="109" t="s">
        <v>10100</v>
      </c>
      <c r="E951" s="106" t="s">
        <v>10101</v>
      </c>
      <c r="F951" s="109" t="s">
        <v>9496</v>
      </c>
      <c r="G951" s="115" t="s">
        <v>9324</v>
      </c>
      <c r="H951" s="115" t="s">
        <v>9324</v>
      </c>
      <c r="I951" s="109" t="s">
        <v>10037</v>
      </c>
      <c r="J951" s="239" t="s">
        <v>10038</v>
      </c>
      <c r="K951" s="109" t="s">
        <v>9440</v>
      </c>
      <c r="L951" s="109" t="s">
        <v>9496</v>
      </c>
    </row>
    <row r="952" spans="1:12" s="58" customFormat="1" ht="14.85" customHeight="1" x14ac:dyDescent="0.25">
      <c r="A952" s="108" t="s">
        <v>9308</v>
      </c>
      <c r="B952" s="115" t="s">
        <v>8939</v>
      </c>
      <c r="C952" s="115" t="s">
        <v>9338</v>
      </c>
      <c r="D952" s="109" t="s">
        <v>10102</v>
      </c>
      <c r="E952" s="106" t="s">
        <v>10103</v>
      </c>
      <c r="F952" s="109" t="s">
        <v>9496</v>
      </c>
      <c r="G952" s="115" t="s">
        <v>9324</v>
      </c>
      <c r="H952" s="115" t="s">
        <v>9323</v>
      </c>
      <c r="I952" s="109" t="s">
        <v>10025</v>
      </c>
      <c r="J952" s="239" t="s">
        <v>10026</v>
      </c>
      <c r="K952" s="109" t="s">
        <v>9440</v>
      </c>
      <c r="L952" s="109" t="s">
        <v>9496</v>
      </c>
    </row>
    <row r="953" spans="1:12" s="58" customFormat="1" ht="14.85" customHeight="1" x14ac:dyDescent="0.25">
      <c r="A953" s="108" t="s">
        <v>9308</v>
      </c>
      <c r="B953" s="115" t="s">
        <v>8939</v>
      </c>
      <c r="C953" s="115" t="s">
        <v>9338</v>
      </c>
      <c r="D953" s="109" t="s">
        <v>10102</v>
      </c>
      <c r="E953" s="106" t="s">
        <v>10103</v>
      </c>
      <c r="F953" s="109" t="s">
        <v>9496</v>
      </c>
      <c r="G953" s="115" t="s">
        <v>9324</v>
      </c>
      <c r="H953" s="115" t="s">
        <v>9323</v>
      </c>
      <c r="I953" s="109" t="s">
        <v>10027</v>
      </c>
      <c r="J953" s="239" t="s">
        <v>10028</v>
      </c>
      <c r="K953" s="109" t="s">
        <v>9440</v>
      </c>
      <c r="L953" s="109" t="s">
        <v>9496</v>
      </c>
    </row>
    <row r="954" spans="1:12" s="58" customFormat="1" ht="14.85" customHeight="1" x14ac:dyDescent="0.25">
      <c r="A954" s="108" t="s">
        <v>9308</v>
      </c>
      <c r="B954" s="115" t="s">
        <v>8939</v>
      </c>
      <c r="C954" s="115" t="s">
        <v>9338</v>
      </c>
      <c r="D954" s="109" t="s">
        <v>10104</v>
      </c>
      <c r="E954" s="106" t="s">
        <v>10105</v>
      </c>
      <c r="F954" s="109" t="s">
        <v>9496</v>
      </c>
      <c r="G954" s="115" t="s">
        <v>9324</v>
      </c>
      <c r="H954" s="115" t="s">
        <v>9323</v>
      </c>
      <c r="I954" s="109" t="s">
        <v>10090</v>
      </c>
      <c r="J954" s="239" t="s">
        <v>10091</v>
      </c>
      <c r="K954" s="109" t="s">
        <v>9440</v>
      </c>
      <c r="L954" s="109" t="s">
        <v>9496</v>
      </c>
    </row>
    <row r="955" spans="1:12" s="58" customFormat="1" ht="14.85" customHeight="1" x14ac:dyDescent="0.25">
      <c r="A955" s="108" t="s">
        <v>9308</v>
      </c>
      <c r="B955" s="115" t="s">
        <v>8939</v>
      </c>
      <c r="C955" s="115" t="s">
        <v>9338</v>
      </c>
      <c r="D955" s="109" t="s">
        <v>10104</v>
      </c>
      <c r="E955" s="106" t="s">
        <v>10105</v>
      </c>
      <c r="F955" s="109" t="s">
        <v>9496</v>
      </c>
      <c r="G955" s="115" t="s">
        <v>9324</v>
      </c>
      <c r="H955" s="115" t="s">
        <v>9323</v>
      </c>
      <c r="I955" s="109" t="s">
        <v>10035</v>
      </c>
      <c r="J955" s="239" t="s">
        <v>10036</v>
      </c>
      <c r="K955" s="109" t="s">
        <v>9440</v>
      </c>
      <c r="L955" s="109" t="s">
        <v>9496</v>
      </c>
    </row>
    <row r="956" spans="1:12" s="58" customFormat="1" ht="14.85" customHeight="1" x14ac:dyDescent="0.25">
      <c r="A956" s="108" t="s">
        <v>9308</v>
      </c>
      <c r="B956" s="115" t="s">
        <v>8939</v>
      </c>
      <c r="C956" s="115" t="s">
        <v>9338</v>
      </c>
      <c r="D956" s="109" t="s">
        <v>10104</v>
      </c>
      <c r="E956" s="106" t="s">
        <v>10105</v>
      </c>
      <c r="F956" s="109" t="s">
        <v>9496</v>
      </c>
      <c r="G956" s="115" t="s">
        <v>9324</v>
      </c>
      <c r="H956" s="115" t="s">
        <v>9323</v>
      </c>
      <c r="I956" s="109" t="s">
        <v>10037</v>
      </c>
      <c r="J956" s="239" t="s">
        <v>10038</v>
      </c>
      <c r="K956" s="109" t="s">
        <v>9440</v>
      </c>
      <c r="L956" s="109" t="s">
        <v>9496</v>
      </c>
    </row>
    <row r="957" spans="1:12" s="58" customFormat="1" ht="14.85" customHeight="1" x14ac:dyDescent="0.25">
      <c r="A957" s="108" t="s">
        <v>9308</v>
      </c>
      <c r="B957" s="115" t="s">
        <v>8939</v>
      </c>
      <c r="C957" s="115" t="s">
        <v>9338</v>
      </c>
      <c r="D957" s="109" t="s">
        <v>10104</v>
      </c>
      <c r="E957" s="106" t="s">
        <v>10105</v>
      </c>
      <c r="F957" s="109" t="s">
        <v>9496</v>
      </c>
      <c r="G957" s="115" t="s">
        <v>9324</v>
      </c>
      <c r="H957" s="115" t="s">
        <v>9323</v>
      </c>
      <c r="I957" s="109" t="s">
        <v>10092</v>
      </c>
      <c r="J957" s="239" t="s">
        <v>10093</v>
      </c>
      <c r="K957" s="109" t="s">
        <v>9440</v>
      </c>
      <c r="L957" s="109" t="s">
        <v>9496</v>
      </c>
    </row>
    <row r="958" spans="1:12" s="58" customFormat="1" ht="14.85" customHeight="1" x14ac:dyDescent="0.25">
      <c r="A958" s="108" t="s">
        <v>9308</v>
      </c>
      <c r="B958" s="115" t="s">
        <v>8939</v>
      </c>
      <c r="C958" s="115" t="s">
        <v>9338</v>
      </c>
      <c r="D958" s="109" t="s">
        <v>10106</v>
      </c>
      <c r="E958" s="106" t="s">
        <v>10107</v>
      </c>
      <c r="F958" s="109" t="s">
        <v>9496</v>
      </c>
      <c r="G958" s="115" t="s">
        <v>9324</v>
      </c>
      <c r="H958" s="115" t="s">
        <v>9323</v>
      </c>
      <c r="I958" s="109" t="s">
        <v>10027</v>
      </c>
      <c r="J958" s="239" t="s">
        <v>10028</v>
      </c>
      <c r="K958" s="109" t="s">
        <v>9440</v>
      </c>
      <c r="L958" s="109" t="s">
        <v>9496</v>
      </c>
    </row>
    <row r="959" spans="1:12" s="58" customFormat="1" ht="14.85" customHeight="1" x14ac:dyDescent="0.25">
      <c r="A959" s="108" t="s">
        <v>9308</v>
      </c>
      <c r="B959" s="115" t="s">
        <v>8939</v>
      </c>
      <c r="C959" s="115" t="s">
        <v>9338</v>
      </c>
      <c r="D959" s="109" t="s">
        <v>10108</v>
      </c>
      <c r="E959" s="106" t="s">
        <v>10109</v>
      </c>
      <c r="F959" s="109" t="s">
        <v>9496</v>
      </c>
      <c r="G959" s="115" t="s">
        <v>9324</v>
      </c>
      <c r="H959" s="115" t="s">
        <v>9323</v>
      </c>
      <c r="I959" s="109" t="s">
        <v>10027</v>
      </c>
      <c r="J959" s="239" t="s">
        <v>10028</v>
      </c>
      <c r="K959" s="109" t="s">
        <v>9440</v>
      </c>
      <c r="L959" s="109" t="s">
        <v>9496</v>
      </c>
    </row>
    <row r="960" spans="1:12" s="58" customFormat="1" ht="14.85" customHeight="1" x14ac:dyDescent="0.25">
      <c r="A960" s="108" t="s">
        <v>9308</v>
      </c>
      <c r="B960" s="115" t="s">
        <v>8939</v>
      </c>
      <c r="C960" s="115" t="s">
        <v>9338</v>
      </c>
      <c r="D960" s="109" t="s">
        <v>10110</v>
      </c>
      <c r="E960" s="106" t="s">
        <v>10111</v>
      </c>
      <c r="F960" s="109" t="s">
        <v>9496</v>
      </c>
      <c r="G960" s="115" t="s">
        <v>9324</v>
      </c>
      <c r="H960" s="115" t="s">
        <v>9323</v>
      </c>
      <c r="I960" s="109" t="s">
        <v>10025</v>
      </c>
      <c r="J960" s="239" t="s">
        <v>10026</v>
      </c>
      <c r="K960" s="109" t="s">
        <v>9440</v>
      </c>
      <c r="L960" s="109" t="s">
        <v>9496</v>
      </c>
    </row>
    <row r="961" spans="1:12" s="58" customFormat="1" ht="14.85" customHeight="1" x14ac:dyDescent="0.25">
      <c r="A961" s="108" t="s">
        <v>9308</v>
      </c>
      <c r="B961" s="115" t="s">
        <v>8939</v>
      </c>
      <c r="C961" s="115" t="s">
        <v>9338</v>
      </c>
      <c r="D961" s="109" t="s">
        <v>10110</v>
      </c>
      <c r="E961" s="106" t="s">
        <v>10111</v>
      </c>
      <c r="F961" s="109" t="s">
        <v>9496</v>
      </c>
      <c r="G961" s="115" t="s">
        <v>9324</v>
      </c>
      <c r="H961" s="115" t="s">
        <v>9323</v>
      </c>
      <c r="I961" s="109" t="s">
        <v>10033</v>
      </c>
      <c r="J961" s="239" t="s">
        <v>10034</v>
      </c>
      <c r="K961" s="109" t="s">
        <v>9440</v>
      </c>
      <c r="L961" s="109" t="s">
        <v>9496</v>
      </c>
    </row>
    <row r="962" spans="1:12" s="58" customFormat="1" ht="14.85" customHeight="1" x14ac:dyDescent="0.25">
      <c r="A962" s="108" t="s">
        <v>9308</v>
      </c>
      <c r="B962" s="115" t="s">
        <v>8939</v>
      </c>
      <c r="C962" s="115" t="s">
        <v>9338</v>
      </c>
      <c r="D962" s="109" t="s">
        <v>10110</v>
      </c>
      <c r="E962" s="106" t="s">
        <v>10111</v>
      </c>
      <c r="F962" s="109" t="s">
        <v>9496</v>
      </c>
      <c r="G962" s="115" t="s">
        <v>9324</v>
      </c>
      <c r="H962" s="115" t="s">
        <v>9323</v>
      </c>
      <c r="I962" s="109" t="s">
        <v>10035</v>
      </c>
      <c r="J962" s="239" t="s">
        <v>10036</v>
      </c>
      <c r="K962" s="109" t="s">
        <v>9440</v>
      </c>
      <c r="L962" s="109" t="s">
        <v>9496</v>
      </c>
    </row>
    <row r="963" spans="1:12" s="58" customFormat="1" ht="14.85" customHeight="1" x14ac:dyDescent="0.25">
      <c r="A963" s="108" t="s">
        <v>9308</v>
      </c>
      <c r="B963" s="115" t="s">
        <v>8939</v>
      </c>
      <c r="C963" s="115" t="s">
        <v>9338</v>
      </c>
      <c r="D963" s="109" t="s">
        <v>10110</v>
      </c>
      <c r="E963" s="106" t="s">
        <v>10111</v>
      </c>
      <c r="F963" s="109" t="s">
        <v>9496</v>
      </c>
      <c r="G963" s="115" t="s">
        <v>9324</v>
      </c>
      <c r="H963" s="115" t="s">
        <v>9323</v>
      </c>
      <c r="I963" s="109" t="s">
        <v>10041</v>
      </c>
      <c r="J963" s="239" t="s">
        <v>10042</v>
      </c>
      <c r="K963" s="109" t="s">
        <v>9440</v>
      </c>
      <c r="L963" s="109" t="s">
        <v>9496</v>
      </c>
    </row>
    <row r="964" spans="1:12" s="58" customFormat="1" ht="14.85" customHeight="1" x14ac:dyDescent="0.25">
      <c r="A964" s="108" t="s">
        <v>9308</v>
      </c>
      <c r="B964" s="115" t="s">
        <v>8939</v>
      </c>
      <c r="C964" s="115" t="s">
        <v>9338</v>
      </c>
      <c r="D964" s="109" t="s">
        <v>10110</v>
      </c>
      <c r="E964" s="106" t="s">
        <v>10111</v>
      </c>
      <c r="F964" s="109" t="s">
        <v>9496</v>
      </c>
      <c r="G964" s="115" t="s">
        <v>9324</v>
      </c>
      <c r="H964" s="115" t="s">
        <v>9323</v>
      </c>
      <c r="I964" s="109" t="s">
        <v>10045</v>
      </c>
      <c r="J964" s="239" t="s">
        <v>10046</v>
      </c>
      <c r="K964" s="109" t="s">
        <v>9440</v>
      </c>
      <c r="L964" s="109" t="s">
        <v>9496</v>
      </c>
    </row>
    <row r="965" spans="1:12" s="58" customFormat="1" ht="14.85" customHeight="1" x14ac:dyDescent="0.25">
      <c r="A965" s="108" t="s">
        <v>9308</v>
      </c>
      <c r="B965" s="115" t="s">
        <v>8939</v>
      </c>
      <c r="C965" s="115" t="s">
        <v>9338</v>
      </c>
      <c r="D965" s="109" t="s">
        <v>10112</v>
      </c>
      <c r="E965" s="106" t="s">
        <v>10113</v>
      </c>
      <c r="F965" s="109" t="s">
        <v>9496</v>
      </c>
      <c r="G965" s="115" t="s">
        <v>9324</v>
      </c>
      <c r="H965" s="115" t="s">
        <v>9323</v>
      </c>
      <c r="I965" s="109" t="s">
        <v>10025</v>
      </c>
      <c r="J965" s="239" t="s">
        <v>10026</v>
      </c>
      <c r="K965" s="109" t="s">
        <v>9440</v>
      </c>
      <c r="L965" s="109" t="s">
        <v>9496</v>
      </c>
    </row>
    <row r="966" spans="1:12" s="58" customFormat="1" ht="14.85" customHeight="1" x14ac:dyDescent="0.25">
      <c r="A966" s="108" t="s">
        <v>9308</v>
      </c>
      <c r="B966" s="115" t="s">
        <v>8939</v>
      </c>
      <c r="C966" s="115" t="s">
        <v>9338</v>
      </c>
      <c r="D966" s="109" t="s">
        <v>10112</v>
      </c>
      <c r="E966" s="106" t="s">
        <v>10113</v>
      </c>
      <c r="F966" s="109" t="s">
        <v>9496</v>
      </c>
      <c r="G966" s="115" t="s">
        <v>9324</v>
      </c>
      <c r="H966" s="115" t="s">
        <v>9323</v>
      </c>
      <c r="I966" s="109" t="s">
        <v>10033</v>
      </c>
      <c r="J966" s="239" t="s">
        <v>10034</v>
      </c>
      <c r="K966" s="109" t="s">
        <v>9440</v>
      </c>
      <c r="L966" s="109" t="s">
        <v>9496</v>
      </c>
    </row>
    <row r="967" spans="1:12" s="58" customFormat="1" ht="14.85" customHeight="1" x14ac:dyDescent="0.25">
      <c r="A967" s="108" t="s">
        <v>9308</v>
      </c>
      <c r="B967" s="115" t="s">
        <v>8939</v>
      </c>
      <c r="C967" s="115" t="s">
        <v>9338</v>
      </c>
      <c r="D967" s="109" t="s">
        <v>10112</v>
      </c>
      <c r="E967" s="106" t="s">
        <v>10113</v>
      </c>
      <c r="F967" s="109" t="s">
        <v>9496</v>
      </c>
      <c r="G967" s="115" t="s">
        <v>9324</v>
      </c>
      <c r="H967" s="115" t="s">
        <v>9323</v>
      </c>
      <c r="I967" s="109" t="s">
        <v>10035</v>
      </c>
      <c r="J967" s="239" t="s">
        <v>10036</v>
      </c>
      <c r="K967" s="109" t="s">
        <v>9440</v>
      </c>
      <c r="L967" s="109" t="s">
        <v>9496</v>
      </c>
    </row>
    <row r="968" spans="1:12" s="58" customFormat="1" ht="14.85" customHeight="1" x14ac:dyDescent="0.25">
      <c r="A968" s="108" t="s">
        <v>9308</v>
      </c>
      <c r="B968" s="115" t="s">
        <v>8939</v>
      </c>
      <c r="C968" s="115" t="s">
        <v>9338</v>
      </c>
      <c r="D968" s="109" t="s">
        <v>10112</v>
      </c>
      <c r="E968" s="106" t="s">
        <v>10113</v>
      </c>
      <c r="F968" s="109" t="s">
        <v>9496</v>
      </c>
      <c r="G968" s="115" t="s">
        <v>9324</v>
      </c>
      <c r="H968" s="115" t="s">
        <v>9323</v>
      </c>
      <c r="I968" s="109" t="s">
        <v>10041</v>
      </c>
      <c r="J968" s="239" t="s">
        <v>10042</v>
      </c>
      <c r="K968" s="109" t="s">
        <v>9440</v>
      </c>
      <c r="L968" s="109" t="s">
        <v>9496</v>
      </c>
    </row>
    <row r="969" spans="1:12" s="58" customFormat="1" ht="14.85" customHeight="1" x14ac:dyDescent="0.25">
      <c r="A969" s="108" t="s">
        <v>9308</v>
      </c>
      <c r="B969" s="115" t="s">
        <v>8939</v>
      </c>
      <c r="C969" s="115" t="s">
        <v>9338</v>
      </c>
      <c r="D969" s="109" t="s">
        <v>10112</v>
      </c>
      <c r="E969" s="106" t="s">
        <v>10113</v>
      </c>
      <c r="F969" s="109" t="s">
        <v>9496</v>
      </c>
      <c r="G969" s="115" t="s">
        <v>9324</v>
      </c>
      <c r="H969" s="115" t="s">
        <v>9323</v>
      </c>
      <c r="I969" s="109" t="s">
        <v>10045</v>
      </c>
      <c r="J969" s="239" t="s">
        <v>10046</v>
      </c>
      <c r="K969" s="109" t="s">
        <v>9440</v>
      </c>
      <c r="L969" s="109" t="s">
        <v>9496</v>
      </c>
    </row>
    <row r="970" spans="1:12" s="58" customFormat="1" ht="14.85" customHeight="1" x14ac:dyDescent="0.25">
      <c r="A970" s="108" t="s">
        <v>9308</v>
      </c>
      <c r="B970" s="115" t="s">
        <v>8939</v>
      </c>
      <c r="C970" s="115" t="s">
        <v>9338</v>
      </c>
      <c r="D970" s="109" t="s">
        <v>10114</v>
      </c>
      <c r="E970" s="106" t="s">
        <v>10115</v>
      </c>
      <c r="F970" s="109" t="s">
        <v>9496</v>
      </c>
      <c r="G970" s="115" t="s">
        <v>9324</v>
      </c>
      <c r="H970" s="115" t="s">
        <v>9324</v>
      </c>
      <c r="I970" s="109" t="s">
        <v>10025</v>
      </c>
      <c r="J970" s="239" t="s">
        <v>10026</v>
      </c>
      <c r="K970" s="109" t="s">
        <v>9440</v>
      </c>
      <c r="L970" s="109" t="s">
        <v>9496</v>
      </c>
    </row>
    <row r="971" spans="1:12" s="58" customFormat="1" ht="14.85" customHeight="1" x14ac:dyDescent="0.25">
      <c r="A971" s="108" t="s">
        <v>9308</v>
      </c>
      <c r="B971" s="115" t="s">
        <v>8939</v>
      </c>
      <c r="C971" s="115" t="s">
        <v>9338</v>
      </c>
      <c r="D971" s="109" t="s">
        <v>10114</v>
      </c>
      <c r="E971" s="106" t="s">
        <v>10115</v>
      </c>
      <c r="F971" s="109" t="s">
        <v>9496</v>
      </c>
      <c r="G971" s="115" t="s">
        <v>9324</v>
      </c>
      <c r="H971" s="115" t="s">
        <v>9324</v>
      </c>
      <c r="I971" s="109" t="s">
        <v>10033</v>
      </c>
      <c r="J971" s="239" t="s">
        <v>10034</v>
      </c>
      <c r="K971" s="109" t="s">
        <v>9440</v>
      </c>
      <c r="L971" s="109" t="s">
        <v>9496</v>
      </c>
    </row>
    <row r="972" spans="1:12" s="58" customFormat="1" ht="14.85" customHeight="1" x14ac:dyDescent="0.25">
      <c r="A972" s="108" t="s">
        <v>9308</v>
      </c>
      <c r="B972" s="115" t="s">
        <v>8939</v>
      </c>
      <c r="C972" s="115" t="s">
        <v>9338</v>
      </c>
      <c r="D972" s="109" t="s">
        <v>10114</v>
      </c>
      <c r="E972" s="106" t="s">
        <v>10115</v>
      </c>
      <c r="F972" s="109" t="s">
        <v>9496</v>
      </c>
      <c r="G972" s="115" t="s">
        <v>9324</v>
      </c>
      <c r="H972" s="115" t="s">
        <v>9324</v>
      </c>
      <c r="I972" s="109" t="s">
        <v>10035</v>
      </c>
      <c r="J972" s="239" t="s">
        <v>10036</v>
      </c>
      <c r="K972" s="109" t="s">
        <v>9440</v>
      </c>
      <c r="L972" s="109" t="s">
        <v>9496</v>
      </c>
    </row>
    <row r="973" spans="1:12" s="58" customFormat="1" ht="14.85" customHeight="1" x14ac:dyDescent="0.25">
      <c r="A973" s="108" t="s">
        <v>9308</v>
      </c>
      <c r="B973" s="115" t="s">
        <v>8939</v>
      </c>
      <c r="C973" s="115" t="s">
        <v>9338</v>
      </c>
      <c r="D973" s="109" t="s">
        <v>10114</v>
      </c>
      <c r="E973" s="106" t="s">
        <v>10115</v>
      </c>
      <c r="F973" s="109" t="s">
        <v>9496</v>
      </c>
      <c r="G973" s="115" t="s">
        <v>9324</v>
      </c>
      <c r="H973" s="115" t="s">
        <v>9324</v>
      </c>
      <c r="I973" s="109" t="s">
        <v>10041</v>
      </c>
      <c r="J973" s="239" t="s">
        <v>10042</v>
      </c>
      <c r="K973" s="109" t="s">
        <v>9440</v>
      </c>
      <c r="L973" s="109" t="s">
        <v>9496</v>
      </c>
    </row>
    <row r="974" spans="1:12" s="58" customFormat="1" ht="14.85" customHeight="1" x14ac:dyDescent="0.25">
      <c r="A974" s="108" t="s">
        <v>9308</v>
      </c>
      <c r="B974" s="115" t="s">
        <v>8939</v>
      </c>
      <c r="C974" s="115" t="s">
        <v>9338</v>
      </c>
      <c r="D974" s="109" t="s">
        <v>10114</v>
      </c>
      <c r="E974" s="106" t="s">
        <v>10115</v>
      </c>
      <c r="F974" s="109" t="s">
        <v>9496</v>
      </c>
      <c r="G974" s="115" t="s">
        <v>9324</v>
      </c>
      <c r="H974" s="115" t="s">
        <v>9324</v>
      </c>
      <c r="I974" s="109" t="s">
        <v>10045</v>
      </c>
      <c r="J974" s="239" t="s">
        <v>10046</v>
      </c>
      <c r="K974" s="109" t="s">
        <v>9440</v>
      </c>
      <c r="L974" s="109" t="s">
        <v>9496</v>
      </c>
    </row>
    <row r="975" spans="1:12" s="165" customFormat="1" ht="14.85" customHeight="1" x14ac:dyDescent="0.25">
      <c r="A975" s="108" t="s">
        <v>13514</v>
      </c>
      <c r="B975" s="164" t="s">
        <v>8939</v>
      </c>
      <c r="C975" s="166" t="s">
        <v>9338</v>
      </c>
      <c r="D975" s="167" t="s">
        <v>13396</v>
      </c>
      <c r="E975" s="244" t="s">
        <v>13397</v>
      </c>
      <c r="F975" s="167" t="s">
        <v>9496</v>
      </c>
      <c r="G975" s="166" t="s">
        <v>9324</v>
      </c>
      <c r="H975" s="166" t="s">
        <v>9323</v>
      </c>
      <c r="I975" s="167" t="s">
        <v>10025</v>
      </c>
      <c r="J975" s="243" t="s">
        <v>10026</v>
      </c>
      <c r="K975" s="167" t="s">
        <v>9440</v>
      </c>
      <c r="L975" s="167" t="s">
        <v>9496</v>
      </c>
    </row>
    <row r="976" spans="1:12" s="165" customFormat="1" ht="14.85" customHeight="1" x14ac:dyDescent="0.25">
      <c r="A976" s="108" t="s">
        <v>13514</v>
      </c>
      <c r="B976" s="164" t="s">
        <v>8939</v>
      </c>
      <c r="C976" s="166" t="s">
        <v>9338</v>
      </c>
      <c r="D976" s="167" t="s">
        <v>13396</v>
      </c>
      <c r="E976" s="244" t="s">
        <v>13397</v>
      </c>
      <c r="F976" s="167" t="s">
        <v>9496</v>
      </c>
      <c r="G976" s="166" t="s">
        <v>9324</v>
      </c>
      <c r="H976" s="166" t="s">
        <v>9323</v>
      </c>
      <c r="I976" s="167" t="s">
        <v>10033</v>
      </c>
      <c r="J976" s="243" t="s">
        <v>10034</v>
      </c>
      <c r="K976" s="167" t="s">
        <v>9440</v>
      </c>
      <c r="L976" s="167" t="s">
        <v>9496</v>
      </c>
    </row>
    <row r="977" spans="1:12" s="165" customFormat="1" ht="14.85" customHeight="1" x14ac:dyDescent="0.25">
      <c r="A977" s="108" t="s">
        <v>13514</v>
      </c>
      <c r="B977" s="164" t="s">
        <v>8939</v>
      </c>
      <c r="C977" s="166" t="s">
        <v>9338</v>
      </c>
      <c r="D977" s="167" t="s">
        <v>13396</v>
      </c>
      <c r="E977" s="244" t="s">
        <v>13397</v>
      </c>
      <c r="F977" s="167" t="s">
        <v>9496</v>
      </c>
      <c r="G977" s="166" t="s">
        <v>9324</v>
      </c>
      <c r="H977" s="166" t="s">
        <v>9323</v>
      </c>
      <c r="I977" s="167" t="s">
        <v>10035</v>
      </c>
      <c r="J977" s="243" t="s">
        <v>10036</v>
      </c>
      <c r="K977" s="167" t="s">
        <v>9440</v>
      </c>
      <c r="L977" s="167" t="s">
        <v>9496</v>
      </c>
    </row>
    <row r="978" spans="1:12" s="165" customFormat="1" ht="14.85" customHeight="1" x14ac:dyDescent="0.25">
      <c r="A978" s="108" t="s">
        <v>13514</v>
      </c>
      <c r="B978" s="164" t="s">
        <v>8939</v>
      </c>
      <c r="C978" s="166" t="s">
        <v>9338</v>
      </c>
      <c r="D978" s="167" t="s">
        <v>13396</v>
      </c>
      <c r="E978" s="244" t="s">
        <v>13397</v>
      </c>
      <c r="F978" s="167" t="s">
        <v>9496</v>
      </c>
      <c r="G978" s="166" t="s">
        <v>9324</v>
      </c>
      <c r="H978" s="166" t="s">
        <v>9323</v>
      </c>
      <c r="I978" s="167" t="s">
        <v>10076</v>
      </c>
      <c r="J978" s="243" t="s">
        <v>10077</v>
      </c>
      <c r="K978" s="167" t="s">
        <v>9440</v>
      </c>
      <c r="L978" s="167" t="s">
        <v>9496</v>
      </c>
    </row>
    <row r="979" spans="1:12" s="165" customFormat="1" ht="14.85" customHeight="1" x14ac:dyDescent="0.25">
      <c r="A979" s="108" t="s">
        <v>13514</v>
      </c>
      <c r="B979" s="164" t="s">
        <v>8939</v>
      </c>
      <c r="C979" s="166" t="s">
        <v>9338</v>
      </c>
      <c r="D979" s="167" t="s">
        <v>13396</v>
      </c>
      <c r="E979" s="244" t="s">
        <v>13397</v>
      </c>
      <c r="F979" s="167" t="s">
        <v>9496</v>
      </c>
      <c r="G979" s="166" t="s">
        <v>9324</v>
      </c>
      <c r="H979" s="166" t="s">
        <v>9323</v>
      </c>
      <c r="I979" s="167" t="s">
        <v>10045</v>
      </c>
      <c r="J979" s="243" t="s">
        <v>10046</v>
      </c>
      <c r="K979" s="167" t="s">
        <v>9440</v>
      </c>
      <c r="L979" s="167" t="s">
        <v>9496</v>
      </c>
    </row>
    <row r="980" spans="1:12" s="58" customFormat="1" ht="14.85" customHeight="1" x14ac:dyDescent="0.25">
      <c r="A980" s="108" t="s">
        <v>9308</v>
      </c>
      <c r="B980" s="115" t="s">
        <v>8939</v>
      </c>
      <c r="C980" s="115" t="s">
        <v>9338</v>
      </c>
      <c r="D980" s="109" t="s">
        <v>10116</v>
      </c>
      <c r="E980" s="106" t="s">
        <v>10117</v>
      </c>
      <c r="F980" s="109" t="s">
        <v>9496</v>
      </c>
      <c r="G980" s="115" t="s">
        <v>9324</v>
      </c>
      <c r="H980" s="115" t="s">
        <v>9323</v>
      </c>
      <c r="I980" s="109" t="s">
        <v>10090</v>
      </c>
      <c r="J980" s="239" t="s">
        <v>10091</v>
      </c>
      <c r="K980" s="109" t="s">
        <v>9440</v>
      </c>
      <c r="L980" s="109" t="s">
        <v>9496</v>
      </c>
    </row>
    <row r="981" spans="1:12" s="58" customFormat="1" ht="14.85" customHeight="1" x14ac:dyDescent="0.25">
      <c r="A981" s="108" t="s">
        <v>9308</v>
      </c>
      <c r="B981" s="115" t="s">
        <v>8939</v>
      </c>
      <c r="C981" s="115" t="s">
        <v>9338</v>
      </c>
      <c r="D981" s="109" t="s">
        <v>10116</v>
      </c>
      <c r="E981" s="106" t="s">
        <v>10117</v>
      </c>
      <c r="F981" s="109" t="s">
        <v>9496</v>
      </c>
      <c r="G981" s="115" t="s">
        <v>9324</v>
      </c>
      <c r="H981" s="115" t="s">
        <v>9323</v>
      </c>
      <c r="I981" s="109" t="s">
        <v>10025</v>
      </c>
      <c r="J981" s="239" t="s">
        <v>10026</v>
      </c>
      <c r="K981" s="109" t="s">
        <v>9440</v>
      </c>
      <c r="L981" s="109" t="s">
        <v>9496</v>
      </c>
    </row>
    <row r="982" spans="1:12" s="58" customFormat="1" ht="14.85" customHeight="1" x14ac:dyDescent="0.25">
      <c r="A982" s="108" t="s">
        <v>9308</v>
      </c>
      <c r="B982" s="115" t="s">
        <v>8939</v>
      </c>
      <c r="C982" s="115" t="s">
        <v>9338</v>
      </c>
      <c r="D982" s="109" t="s">
        <v>10116</v>
      </c>
      <c r="E982" s="106" t="s">
        <v>10117</v>
      </c>
      <c r="F982" s="109" t="s">
        <v>9496</v>
      </c>
      <c r="G982" s="115" t="s">
        <v>9324</v>
      </c>
      <c r="H982" s="115" t="s">
        <v>9323</v>
      </c>
      <c r="I982" s="109" t="s">
        <v>10033</v>
      </c>
      <c r="J982" s="239" t="s">
        <v>10034</v>
      </c>
      <c r="K982" s="109" t="s">
        <v>9440</v>
      </c>
      <c r="L982" s="109" t="s">
        <v>9496</v>
      </c>
    </row>
    <row r="983" spans="1:12" s="58" customFormat="1" ht="14.85" customHeight="1" x14ac:dyDescent="0.25">
      <c r="A983" s="108" t="s">
        <v>9308</v>
      </c>
      <c r="B983" s="115" t="s">
        <v>8939</v>
      </c>
      <c r="C983" s="115" t="s">
        <v>9338</v>
      </c>
      <c r="D983" s="109" t="s">
        <v>10116</v>
      </c>
      <c r="E983" s="106" t="s">
        <v>10117</v>
      </c>
      <c r="F983" s="109" t="s">
        <v>9496</v>
      </c>
      <c r="G983" s="115" t="s">
        <v>9324</v>
      </c>
      <c r="H983" s="115" t="s">
        <v>9323</v>
      </c>
      <c r="I983" s="109" t="s">
        <v>10041</v>
      </c>
      <c r="J983" s="239" t="s">
        <v>10042</v>
      </c>
      <c r="K983" s="109" t="s">
        <v>9440</v>
      </c>
      <c r="L983" s="109" t="s">
        <v>9496</v>
      </c>
    </row>
    <row r="984" spans="1:12" s="58" customFormat="1" ht="14.85" customHeight="1" x14ac:dyDescent="0.25">
      <c r="A984" s="108" t="s">
        <v>9308</v>
      </c>
      <c r="B984" s="115" t="s">
        <v>8939</v>
      </c>
      <c r="C984" s="115" t="s">
        <v>9338</v>
      </c>
      <c r="D984" s="109" t="s">
        <v>10116</v>
      </c>
      <c r="E984" s="106" t="s">
        <v>10117</v>
      </c>
      <c r="F984" s="109" t="s">
        <v>9496</v>
      </c>
      <c r="G984" s="115" t="s">
        <v>9324</v>
      </c>
      <c r="H984" s="115" t="s">
        <v>9323</v>
      </c>
      <c r="I984" s="109" t="s">
        <v>10092</v>
      </c>
      <c r="J984" s="239" t="s">
        <v>10093</v>
      </c>
      <c r="K984" s="109" t="s">
        <v>9440</v>
      </c>
      <c r="L984" s="109" t="s">
        <v>9496</v>
      </c>
    </row>
    <row r="985" spans="1:12" s="58" customFormat="1" ht="14.85" customHeight="1" x14ac:dyDescent="0.25">
      <c r="A985" s="108" t="s">
        <v>9308</v>
      </c>
      <c r="B985" s="115" t="s">
        <v>8939</v>
      </c>
      <c r="C985" s="115" t="s">
        <v>9338</v>
      </c>
      <c r="D985" s="109" t="s">
        <v>10116</v>
      </c>
      <c r="E985" s="106" t="s">
        <v>10117</v>
      </c>
      <c r="F985" s="109" t="s">
        <v>9496</v>
      </c>
      <c r="G985" s="115" t="s">
        <v>9324</v>
      </c>
      <c r="H985" s="115" t="s">
        <v>9323</v>
      </c>
      <c r="I985" s="109" t="s">
        <v>10045</v>
      </c>
      <c r="J985" s="239" t="s">
        <v>10046</v>
      </c>
      <c r="K985" s="109" t="s">
        <v>9440</v>
      </c>
      <c r="L985" s="109" t="s">
        <v>9496</v>
      </c>
    </row>
    <row r="986" spans="1:12" s="58" customFormat="1" ht="14.85" customHeight="1" x14ac:dyDescent="0.25">
      <c r="A986" s="108" t="s">
        <v>9308</v>
      </c>
      <c r="B986" s="115" t="s">
        <v>8939</v>
      </c>
      <c r="C986" s="115" t="s">
        <v>9338</v>
      </c>
      <c r="D986" s="109" t="s">
        <v>10118</v>
      </c>
      <c r="E986" s="106" t="s">
        <v>10119</v>
      </c>
      <c r="F986" s="109" t="s">
        <v>9496</v>
      </c>
      <c r="G986" s="115" t="s">
        <v>9324</v>
      </c>
      <c r="H986" s="115" t="s">
        <v>9323</v>
      </c>
      <c r="I986" s="109" t="s">
        <v>10057</v>
      </c>
      <c r="J986" s="239" t="s">
        <v>10058</v>
      </c>
      <c r="K986" s="109" t="s">
        <v>9440</v>
      </c>
      <c r="L986" s="109" t="s">
        <v>9496</v>
      </c>
    </row>
    <row r="987" spans="1:12" s="58" customFormat="1" ht="14.85" customHeight="1" x14ac:dyDescent="0.25">
      <c r="A987" s="108" t="s">
        <v>9308</v>
      </c>
      <c r="B987" s="115" t="s">
        <v>8939</v>
      </c>
      <c r="C987" s="115" t="s">
        <v>9338</v>
      </c>
      <c r="D987" s="109" t="s">
        <v>10118</v>
      </c>
      <c r="E987" s="106" t="s">
        <v>10119</v>
      </c>
      <c r="F987" s="109" t="s">
        <v>9496</v>
      </c>
      <c r="G987" s="115" t="s">
        <v>9324</v>
      </c>
      <c r="H987" s="115" t="s">
        <v>9323</v>
      </c>
      <c r="I987" s="109" t="s">
        <v>10025</v>
      </c>
      <c r="J987" s="239" t="s">
        <v>10026</v>
      </c>
      <c r="K987" s="109" t="s">
        <v>9440</v>
      </c>
      <c r="L987" s="109" t="s">
        <v>9496</v>
      </c>
    </row>
    <row r="988" spans="1:12" s="58" customFormat="1" ht="14.85" customHeight="1" x14ac:dyDescent="0.25">
      <c r="A988" s="108" t="s">
        <v>9308</v>
      </c>
      <c r="B988" s="115" t="s">
        <v>8939</v>
      </c>
      <c r="C988" s="115" t="s">
        <v>9338</v>
      </c>
      <c r="D988" s="109" t="s">
        <v>10118</v>
      </c>
      <c r="E988" s="106" t="s">
        <v>10119</v>
      </c>
      <c r="F988" s="109" t="s">
        <v>9496</v>
      </c>
      <c r="G988" s="115" t="s">
        <v>9324</v>
      </c>
      <c r="H988" s="115" t="s">
        <v>9323</v>
      </c>
      <c r="I988" s="109" t="s">
        <v>10027</v>
      </c>
      <c r="J988" s="239" t="s">
        <v>10028</v>
      </c>
      <c r="K988" s="109" t="s">
        <v>9440</v>
      </c>
      <c r="L988" s="109" t="s">
        <v>9496</v>
      </c>
    </row>
    <row r="989" spans="1:12" s="58" customFormat="1" ht="14.85" customHeight="1" x14ac:dyDescent="0.25">
      <c r="A989" s="108" t="s">
        <v>9308</v>
      </c>
      <c r="B989" s="115" t="s">
        <v>8939</v>
      </c>
      <c r="C989" s="115" t="s">
        <v>9338</v>
      </c>
      <c r="D989" s="109" t="s">
        <v>10120</v>
      </c>
      <c r="E989" s="106" t="s">
        <v>10121</v>
      </c>
      <c r="F989" s="109" t="s">
        <v>9496</v>
      </c>
      <c r="G989" s="115" t="s">
        <v>9324</v>
      </c>
      <c r="H989" s="115" t="s">
        <v>9323</v>
      </c>
      <c r="I989" s="109" t="s">
        <v>10057</v>
      </c>
      <c r="J989" s="239" t="s">
        <v>10058</v>
      </c>
      <c r="K989" s="109" t="s">
        <v>9440</v>
      </c>
      <c r="L989" s="109" t="s">
        <v>9496</v>
      </c>
    </row>
    <row r="990" spans="1:12" s="58" customFormat="1" ht="14.85" customHeight="1" x14ac:dyDescent="0.25">
      <c r="A990" s="108" t="s">
        <v>9308</v>
      </c>
      <c r="B990" s="115" t="s">
        <v>8939</v>
      </c>
      <c r="C990" s="115" t="s">
        <v>9338</v>
      </c>
      <c r="D990" s="109" t="s">
        <v>10120</v>
      </c>
      <c r="E990" s="106" t="s">
        <v>10121</v>
      </c>
      <c r="F990" s="109" t="s">
        <v>9496</v>
      </c>
      <c r="G990" s="115" t="s">
        <v>9324</v>
      </c>
      <c r="H990" s="115" t="s">
        <v>9323</v>
      </c>
      <c r="I990" s="109" t="s">
        <v>10025</v>
      </c>
      <c r="J990" s="239" t="s">
        <v>10026</v>
      </c>
      <c r="K990" s="109" t="s">
        <v>9440</v>
      </c>
      <c r="L990" s="109" t="s">
        <v>9496</v>
      </c>
    </row>
    <row r="991" spans="1:12" s="58" customFormat="1" ht="14.85" customHeight="1" x14ac:dyDescent="0.25">
      <c r="A991" s="108" t="s">
        <v>9308</v>
      </c>
      <c r="B991" s="115" t="s">
        <v>8939</v>
      </c>
      <c r="C991" s="115" t="s">
        <v>9338</v>
      </c>
      <c r="D991" s="109" t="s">
        <v>10120</v>
      </c>
      <c r="E991" s="106" t="s">
        <v>10121</v>
      </c>
      <c r="F991" s="109" t="s">
        <v>9496</v>
      </c>
      <c r="G991" s="115" t="s">
        <v>9324</v>
      </c>
      <c r="H991" s="115" t="s">
        <v>9323</v>
      </c>
      <c r="I991" s="109" t="s">
        <v>10027</v>
      </c>
      <c r="J991" s="239" t="s">
        <v>10028</v>
      </c>
      <c r="K991" s="109" t="s">
        <v>9440</v>
      </c>
      <c r="L991" s="109" t="s">
        <v>9496</v>
      </c>
    </row>
    <row r="992" spans="1:12" s="58" customFormat="1" ht="14.85" customHeight="1" x14ac:dyDescent="0.25">
      <c r="A992" s="108" t="s">
        <v>9308</v>
      </c>
      <c r="B992" s="115" t="s">
        <v>8939</v>
      </c>
      <c r="C992" s="115" t="s">
        <v>9338</v>
      </c>
      <c r="D992" s="109" t="s">
        <v>10122</v>
      </c>
      <c r="E992" s="106" t="s">
        <v>10123</v>
      </c>
      <c r="F992" s="109" t="s">
        <v>9496</v>
      </c>
      <c r="G992" s="115" t="s">
        <v>9324</v>
      </c>
      <c r="H992" s="115" t="s">
        <v>9323</v>
      </c>
      <c r="I992" s="109" t="s">
        <v>10025</v>
      </c>
      <c r="J992" s="239" t="s">
        <v>10026</v>
      </c>
      <c r="K992" s="109" t="s">
        <v>9440</v>
      </c>
      <c r="L992" s="109" t="s">
        <v>9496</v>
      </c>
    </row>
    <row r="993" spans="1:12" s="58" customFormat="1" ht="14.85" customHeight="1" x14ac:dyDescent="0.25">
      <c r="A993" s="108" t="s">
        <v>9308</v>
      </c>
      <c r="B993" s="115" t="s">
        <v>8939</v>
      </c>
      <c r="C993" s="115" t="s">
        <v>9338</v>
      </c>
      <c r="D993" s="109" t="s">
        <v>10122</v>
      </c>
      <c r="E993" s="106" t="s">
        <v>10123</v>
      </c>
      <c r="F993" s="109" t="s">
        <v>9496</v>
      </c>
      <c r="G993" s="115" t="s">
        <v>9324</v>
      </c>
      <c r="H993" s="115" t="s">
        <v>9323</v>
      </c>
      <c r="I993" s="109" t="s">
        <v>10033</v>
      </c>
      <c r="J993" s="239" t="s">
        <v>10034</v>
      </c>
      <c r="K993" s="109" t="s">
        <v>9440</v>
      </c>
      <c r="L993" s="109" t="s">
        <v>9496</v>
      </c>
    </row>
    <row r="994" spans="1:12" s="58" customFormat="1" ht="14.85" customHeight="1" x14ac:dyDescent="0.25">
      <c r="A994" s="108" t="s">
        <v>9308</v>
      </c>
      <c r="B994" s="115" t="s">
        <v>8939</v>
      </c>
      <c r="C994" s="115" t="s">
        <v>9338</v>
      </c>
      <c r="D994" s="109" t="s">
        <v>10122</v>
      </c>
      <c r="E994" s="106" t="s">
        <v>10123</v>
      </c>
      <c r="F994" s="109" t="s">
        <v>9496</v>
      </c>
      <c r="G994" s="115" t="s">
        <v>9324</v>
      </c>
      <c r="H994" s="115" t="s">
        <v>9323</v>
      </c>
      <c r="I994" s="109" t="s">
        <v>10035</v>
      </c>
      <c r="J994" s="239" t="s">
        <v>10036</v>
      </c>
      <c r="K994" s="109" t="s">
        <v>9440</v>
      </c>
      <c r="L994" s="109" t="s">
        <v>9496</v>
      </c>
    </row>
    <row r="995" spans="1:12" s="58" customFormat="1" ht="14.85" customHeight="1" x14ac:dyDescent="0.25">
      <c r="A995" s="108" t="s">
        <v>9308</v>
      </c>
      <c r="B995" s="115" t="s">
        <v>8939</v>
      </c>
      <c r="C995" s="115" t="s">
        <v>9338</v>
      </c>
      <c r="D995" s="109" t="s">
        <v>10122</v>
      </c>
      <c r="E995" s="106" t="s">
        <v>10123</v>
      </c>
      <c r="F995" s="109" t="s">
        <v>9496</v>
      </c>
      <c r="G995" s="115" t="s">
        <v>9324</v>
      </c>
      <c r="H995" s="115" t="s">
        <v>9323</v>
      </c>
      <c r="I995" s="109" t="s">
        <v>10043</v>
      </c>
      <c r="J995" s="239" t="s">
        <v>10044</v>
      </c>
      <c r="K995" s="109" t="s">
        <v>9440</v>
      </c>
      <c r="L995" s="109" t="s">
        <v>9496</v>
      </c>
    </row>
    <row r="996" spans="1:12" s="58" customFormat="1" ht="14.85" customHeight="1" x14ac:dyDescent="0.25">
      <c r="A996" s="108" t="s">
        <v>9308</v>
      </c>
      <c r="B996" s="115" t="s">
        <v>8939</v>
      </c>
      <c r="C996" s="115" t="s">
        <v>9338</v>
      </c>
      <c r="D996" s="109" t="s">
        <v>10124</v>
      </c>
      <c r="E996" s="106" t="s">
        <v>10125</v>
      </c>
      <c r="F996" s="109" t="s">
        <v>9496</v>
      </c>
      <c r="G996" s="115" t="s">
        <v>9324</v>
      </c>
      <c r="H996" s="115" t="s">
        <v>9323</v>
      </c>
      <c r="I996" s="109" t="s">
        <v>10025</v>
      </c>
      <c r="J996" s="239" t="s">
        <v>10026</v>
      </c>
      <c r="K996" s="109" t="s">
        <v>9440</v>
      </c>
      <c r="L996" s="109" t="s">
        <v>9496</v>
      </c>
    </row>
    <row r="997" spans="1:12" s="58" customFormat="1" ht="14.85" customHeight="1" x14ac:dyDescent="0.25">
      <c r="A997" s="108" t="s">
        <v>9308</v>
      </c>
      <c r="B997" s="115" t="s">
        <v>8939</v>
      </c>
      <c r="C997" s="115" t="s">
        <v>9338</v>
      </c>
      <c r="D997" s="109" t="s">
        <v>10124</v>
      </c>
      <c r="E997" s="106" t="s">
        <v>10125</v>
      </c>
      <c r="F997" s="109" t="s">
        <v>9496</v>
      </c>
      <c r="G997" s="115" t="s">
        <v>9324</v>
      </c>
      <c r="H997" s="115" t="s">
        <v>9323</v>
      </c>
      <c r="I997" s="109" t="s">
        <v>10033</v>
      </c>
      <c r="J997" s="239" t="s">
        <v>10034</v>
      </c>
      <c r="K997" s="109" t="s">
        <v>9440</v>
      </c>
      <c r="L997" s="109" t="s">
        <v>9496</v>
      </c>
    </row>
    <row r="998" spans="1:12" s="58" customFormat="1" ht="14.85" customHeight="1" x14ac:dyDescent="0.25">
      <c r="A998" s="108" t="s">
        <v>9308</v>
      </c>
      <c r="B998" s="115" t="s">
        <v>8939</v>
      </c>
      <c r="C998" s="115" t="s">
        <v>9338</v>
      </c>
      <c r="D998" s="109" t="s">
        <v>10124</v>
      </c>
      <c r="E998" s="106" t="s">
        <v>10125</v>
      </c>
      <c r="F998" s="109" t="s">
        <v>9496</v>
      </c>
      <c r="G998" s="115" t="s">
        <v>9324</v>
      </c>
      <c r="H998" s="115" t="s">
        <v>9323</v>
      </c>
      <c r="I998" s="109" t="s">
        <v>10035</v>
      </c>
      <c r="J998" s="239" t="s">
        <v>10036</v>
      </c>
      <c r="K998" s="109" t="s">
        <v>9440</v>
      </c>
      <c r="L998" s="109" t="s">
        <v>9496</v>
      </c>
    </row>
    <row r="999" spans="1:12" s="58" customFormat="1" ht="14.85" customHeight="1" x14ac:dyDescent="0.25">
      <c r="A999" s="108" t="s">
        <v>9308</v>
      </c>
      <c r="B999" s="115" t="s">
        <v>8939</v>
      </c>
      <c r="C999" s="115" t="s">
        <v>9338</v>
      </c>
      <c r="D999" s="109" t="s">
        <v>10124</v>
      </c>
      <c r="E999" s="106" t="s">
        <v>10125</v>
      </c>
      <c r="F999" s="109" t="s">
        <v>9496</v>
      </c>
      <c r="G999" s="115" t="s">
        <v>9324</v>
      </c>
      <c r="H999" s="115" t="s">
        <v>9323</v>
      </c>
      <c r="I999" s="109" t="s">
        <v>10043</v>
      </c>
      <c r="J999" s="239" t="s">
        <v>10044</v>
      </c>
      <c r="K999" s="109" t="s">
        <v>9440</v>
      </c>
      <c r="L999" s="109" t="s">
        <v>9496</v>
      </c>
    </row>
    <row r="1000" spans="1:12" s="58" customFormat="1" ht="14.85" customHeight="1" x14ac:dyDescent="0.25">
      <c r="A1000" s="108" t="s">
        <v>9308</v>
      </c>
      <c r="B1000" s="115" t="s">
        <v>8939</v>
      </c>
      <c r="C1000" s="115" t="s">
        <v>9338</v>
      </c>
      <c r="D1000" s="109" t="s">
        <v>10126</v>
      </c>
      <c r="E1000" s="106" t="s">
        <v>10127</v>
      </c>
      <c r="F1000" s="109" t="s">
        <v>9496</v>
      </c>
      <c r="G1000" s="115" t="s">
        <v>9324</v>
      </c>
      <c r="H1000" s="115" t="s">
        <v>9324</v>
      </c>
      <c r="I1000" s="109" t="s">
        <v>10057</v>
      </c>
      <c r="J1000" s="239" t="s">
        <v>10058</v>
      </c>
      <c r="K1000" s="109" t="s">
        <v>9440</v>
      </c>
      <c r="L1000" s="109" t="s">
        <v>9496</v>
      </c>
    </row>
    <row r="1001" spans="1:12" s="58" customFormat="1" ht="14.85" customHeight="1" x14ac:dyDescent="0.25">
      <c r="A1001" s="108" t="s">
        <v>9308</v>
      </c>
      <c r="B1001" s="115" t="s">
        <v>8939</v>
      </c>
      <c r="C1001" s="115" t="s">
        <v>9338</v>
      </c>
      <c r="D1001" s="109" t="s">
        <v>10126</v>
      </c>
      <c r="E1001" s="106" t="s">
        <v>10127</v>
      </c>
      <c r="F1001" s="109" t="s">
        <v>9496</v>
      </c>
      <c r="G1001" s="115" t="s">
        <v>9324</v>
      </c>
      <c r="H1001" s="115" t="s">
        <v>9324</v>
      </c>
      <c r="I1001" s="109" t="s">
        <v>10025</v>
      </c>
      <c r="J1001" s="239" t="s">
        <v>10026</v>
      </c>
      <c r="K1001" s="109" t="s">
        <v>9440</v>
      </c>
      <c r="L1001" s="109" t="s">
        <v>9496</v>
      </c>
    </row>
    <row r="1002" spans="1:12" s="58" customFormat="1" ht="14.85" customHeight="1" x14ac:dyDescent="0.25">
      <c r="A1002" s="108" t="s">
        <v>9308</v>
      </c>
      <c r="B1002" s="115" t="s">
        <v>8939</v>
      </c>
      <c r="C1002" s="115" t="s">
        <v>9338</v>
      </c>
      <c r="D1002" s="109" t="s">
        <v>10126</v>
      </c>
      <c r="E1002" s="106" t="s">
        <v>10127</v>
      </c>
      <c r="F1002" s="109" t="s">
        <v>9496</v>
      </c>
      <c r="G1002" s="115" t="s">
        <v>9324</v>
      </c>
      <c r="H1002" s="115" t="s">
        <v>9324</v>
      </c>
      <c r="I1002" s="109" t="s">
        <v>10027</v>
      </c>
      <c r="J1002" s="239" t="s">
        <v>10028</v>
      </c>
      <c r="K1002" s="109" t="s">
        <v>9440</v>
      </c>
      <c r="L1002" s="109" t="s">
        <v>9496</v>
      </c>
    </row>
    <row r="1003" spans="1:12" s="58" customFormat="1" ht="14.85" customHeight="1" x14ac:dyDescent="0.25">
      <c r="A1003" s="108" t="s">
        <v>9308</v>
      </c>
      <c r="B1003" s="115" t="s">
        <v>8939</v>
      </c>
      <c r="C1003" s="115" t="s">
        <v>9338</v>
      </c>
      <c r="D1003" s="109" t="s">
        <v>10128</v>
      </c>
      <c r="E1003" s="106" t="s">
        <v>10129</v>
      </c>
      <c r="F1003" s="109" t="s">
        <v>9496</v>
      </c>
      <c r="G1003" s="115" t="s">
        <v>9324</v>
      </c>
      <c r="H1003" s="115" t="s">
        <v>9324</v>
      </c>
      <c r="I1003" s="109" t="s">
        <v>10025</v>
      </c>
      <c r="J1003" s="239" t="s">
        <v>10026</v>
      </c>
      <c r="K1003" s="109" t="s">
        <v>9440</v>
      </c>
      <c r="L1003" s="109" t="s">
        <v>9496</v>
      </c>
    </row>
    <row r="1004" spans="1:12" s="58" customFormat="1" ht="14.85" customHeight="1" x14ac:dyDescent="0.25">
      <c r="A1004" s="108" t="s">
        <v>9308</v>
      </c>
      <c r="B1004" s="115" t="s">
        <v>8939</v>
      </c>
      <c r="C1004" s="115" t="s">
        <v>9338</v>
      </c>
      <c r="D1004" s="109" t="s">
        <v>10128</v>
      </c>
      <c r="E1004" s="106" t="s">
        <v>10129</v>
      </c>
      <c r="F1004" s="109" t="s">
        <v>9496</v>
      </c>
      <c r="G1004" s="115" t="s">
        <v>9324</v>
      </c>
      <c r="H1004" s="115" t="s">
        <v>9324</v>
      </c>
      <c r="I1004" s="109" t="s">
        <v>10033</v>
      </c>
      <c r="J1004" s="239" t="s">
        <v>10034</v>
      </c>
      <c r="K1004" s="109" t="s">
        <v>9440</v>
      </c>
      <c r="L1004" s="109" t="s">
        <v>9496</v>
      </c>
    </row>
    <row r="1005" spans="1:12" s="58" customFormat="1" ht="14.85" customHeight="1" x14ac:dyDescent="0.25">
      <c r="A1005" s="108" t="s">
        <v>9308</v>
      </c>
      <c r="B1005" s="115" t="s">
        <v>8939</v>
      </c>
      <c r="C1005" s="115" t="s">
        <v>9338</v>
      </c>
      <c r="D1005" s="109" t="s">
        <v>10128</v>
      </c>
      <c r="E1005" s="106" t="s">
        <v>10129</v>
      </c>
      <c r="F1005" s="109" t="s">
        <v>9496</v>
      </c>
      <c r="G1005" s="115" t="s">
        <v>9324</v>
      </c>
      <c r="H1005" s="115" t="s">
        <v>9324</v>
      </c>
      <c r="I1005" s="109" t="s">
        <v>10035</v>
      </c>
      <c r="J1005" s="239" t="s">
        <v>10036</v>
      </c>
      <c r="K1005" s="109" t="s">
        <v>9440</v>
      </c>
      <c r="L1005" s="109" t="s">
        <v>9496</v>
      </c>
    </row>
    <row r="1006" spans="1:12" s="58" customFormat="1" ht="14.85" customHeight="1" x14ac:dyDescent="0.25">
      <c r="A1006" s="108" t="s">
        <v>9308</v>
      </c>
      <c r="B1006" s="115" t="s">
        <v>8939</v>
      </c>
      <c r="C1006" s="115" t="s">
        <v>9338</v>
      </c>
      <c r="D1006" s="109" t="s">
        <v>10128</v>
      </c>
      <c r="E1006" s="106" t="s">
        <v>10129</v>
      </c>
      <c r="F1006" s="109" t="s">
        <v>9496</v>
      </c>
      <c r="G1006" s="115" t="s">
        <v>9324</v>
      </c>
      <c r="H1006" s="115" t="s">
        <v>9324</v>
      </c>
      <c r="I1006" s="109" t="s">
        <v>10043</v>
      </c>
      <c r="J1006" s="239" t="s">
        <v>10044</v>
      </c>
      <c r="K1006" s="109" t="s">
        <v>9440</v>
      </c>
      <c r="L1006" s="109" t="s">
        <v>9496</v>
      </c>
    </row>
    <row r="1007" spans="1:12" s="58" customFormat="1" ht="14.85" customHeight="1" x14ac:dyDescent="0.25">
      <c r="A1007" s="108" t="s">
        <v>9308</v>
      </c>
      <c r="B1007" s="115" t="s">
        <v>8939</v>
      </c>
      <c r="C1007" s="115" t="s">
        <v>9338</v>
      </c>
      <c r="D1007" s="109" t="s">
        <v>10130</v>
      </c>
      <c r="E1007" s="106" t="s">
        <v>10131</v>
      </c>
      <c r="F1007" s="109" t="s">
        <v>9496</v>
      </c>
      <c r="G1007" s="115" t="s">
        <v>9324</v>
      </c>
      <c r="H1007" s="115" t="s">
        <v>9323</v>
      </c>
      <c r="I1007" s="109" t="s">
        <v>10049</v>
      </c>
      <c r="J1007" s="239" t="s">
        <v>10050</v>
      </c>
      <c r="K1007" s="109" t="s">
        <v>9440</v>
      </c>
      <c r="L1007" s="109" t="s">
        <v>9496</v>
      </c>
    </row>
    <row r="1008" spans="1:12" s="58" customFormat="1" ht="14.85" customHeight="1" x14ac:dyDescent="0.25">
      <c r="A1008" s="108" t="s">
        <v>9308</v>
      </c>
      <c r="B1008" s="115" t="s">
        <v>8939</v>
      </c>
      <c r="C1008" s="115" t="s">
        <v>9338</v>
      </c>
      <c r="D1008" s="109" t="s">
        <v>10130</v>
      </c>
      <c r="E1008" s="106" t="s">
        <v>10131</v>
      </c>
      <c r="F1008" s="109" t="s">
        <v>9496</v>
      </c>
      <c r="G1008" s="115" t="s">
        <v>9324</v>
      </c>
      <c r="H1008" s="115" t="s">
        <v>9323</v>
      </c>
      <c r="I1008" s="109" t="s">
        <v>10051</v>
      </c>
      <c r="J1008" s="239" t="s">
        <v>10052</v>
      </c>
      <c r="K1008" s="109" t="s">
        <v>9440</v>
      </c>
      <c r="L1008" s="109" t="s">
        <v>9496</v>
      </c>
    </row>
    <row r="1009" spans="1:12" s="58" customFormat="1" ht="14.85" customHeight="1" x14ac:dyDescent="0.25">
      <c r="A1009" s="108" t="s">
        <v>9308</v>
      </c>
      <c r="B1009" s="115" t="s">
        <v>8939</v>
      </c>
      <c r="C1009" s="115" t="s">
        <v>9338</v>
      </c>
      <c r="D1009" s="109" t="s">
        <v>10130</v>
      </c>
      <c r="E1009" s="106" t="s">
        <v>10131</v>
      </c>
      <c r="F1009" s="109" t="s">
        <v>9496</v>
      </c>
      <c r="G1009" s="115" t="s">
        <v>9324</v>
      </c>
      <c r="H1009" s="115" t="s">
        <v>9323</v>
      </c>
      <c r="I1009" s="109" t="s">
        <v>10057</v>
      </c>
      <c r="J1009" s="239" t="s">
        <v>10058</v>
      </c>
      <c r="K1009" s="109" t="s">
        <v>9440</v>
      </c>
      <c r="L1009" s="109" t="s">
        <v>9496</v>
      </c>
    </row>
    <row r="1010" spans="1:12" s="58" customFormat="1" ht="14.85" customHeight="1" x14ac:dyDescent="0.25">
      <c r="A1010" s="108" t="s">
        <v>9308</v>
      </c>
      <c r="B1010" s="115" t="s">
        <v>8939</v>
      </c>
      <c r="C1010" s="115" t="s">
        <v>9338</v>
      </c>
      <c r="D1010" s="109" t="s">
        <v>10130</v>
      </c>
      <c r="E1010" s="106" t="s">
        <v>10131</v>
      </c>
      <c r="F1010" s="109" t="s">
        <v>9496</v>
      </c>
      <c r="G1010" s="115" t="s">
        <v>9324</v>
      </c>
      <c r="H1010" s="115" t="s">
        <v>9323</v>
      </c>
      <c r="I1010" s="109" t="s">
        <v>10025</v>
      </c>
      <c r="J1010" s="239" t="s">
        <v>10026</v>
      </c>
      <c r="K1010" s="109" t="s">
        <v>9440</v>
      </c>
      <c r="L1010" s="109" t="s">
        <v>9496</v>
      </c>
    </row>
    <row r="1011" spans="1:12" s="58" customFormat="1" ht="14.85" customHeight="1" x14ac:dyDescent="0.25">
      <c r="A1011" s="108" t="s">
        <v>9308</v>
      </c>
      <c r="B1011" s="115" t="s">
        <v>8939</v>
      </c>
      <c r="C1011" s="115" t="s">
        <v>9338</v>
      </c>
      <c r="D1011" s="109" t="s">
        <v>10130</v>
      </c>
      <c r="E1011" s="106" t="s">
        <v>10131</v>
      </c>
      <c r="F1011" s="109" t="s">
        <v>9496</v>
      </c>
      <c r="G1011" s="115" t="s">
        <v>9324</v>
      </c>
      <c r="H1011" s="115" t="s">
        <v>9323</v>
      </c>
      <c r="I1011" s="109" t="s">
        <v>10061</v>
      </c>
      <c r="J1011" s="239" t="s">
        <v>10062</v>
      </c>
      <c r="K1011" s="109" t="s">
        <v>9440</v>
      </c>
      <c r="L1011" s="109" t="s">
        <v>9496</v>
      </c>
    </row>
    <row r="1012" spans="1:12" s="58" customFormat="1" ht="14.85" customHeight="1" x14ac:dyDescent="0.25">
      <c r="A1012" s="108" t="s">
        <v>9308</v>
      </c>
      <c r="B1012" s="115" t="s">
        <v>8939</v>
      </c>
      <c r="C1012" s="115" t="s">
        <v>9338</v>
      </c>
      <c r="D1012" s="109" t="s">
        <v>10130</v>
      </c>
      <c r="E1012" s="106" t="s">
        <v>10131</v>
      </c>
      <c r="F1012" s="109" t="s">
        <v>9496</v>
      </c>
      <c r="G1012" s="115" t="s">
        <v>9324</v>
      </c>
      <c r="H1012" s="115" t="s">
        <v>9323</v>
      </c>
      <c r="I1012" s="109" t="s">
        <v>10027</v>
      </c>
      <c r="J1012" s="239" t="s">
        <v>10028</v>
      </c>
      <c r="K1012" s="109" t="s">
        <v>9440</v>
      </c>
      <c r="L1012" s="109" t="s">
        <v>9496</v>
      </c>
    </row>
    <row r="1013" spans="1:12" s="58" customFormat="1" ht="14.85" customHeight="1" x14ac:dyDescent="0.25">
      <c r="A1013" s="108" t="s">
        <v>9308</v>
      </c>
      <c r="B1013" s="115" t="s">
        <v>8939</v>
      </c>
      <c r="C1013" s="115" t="s">
        <v>9338</v>
      </c>
      <c r="D1013" s="109" t="s">
        <v>10132</v>
      </c>
      <c r="E1013" s="106" t="s">
        <v>10133</v>
      </c>
      <c r="F1013" s="109" t="s">
        <v>9496</v>
      </c>
      <c r="G1013" s="115" t="s">
        <v>9324</v>
      </c>
      <c r="H1013" s="115" t="s">
        <v>9323</v>
      </c>
      <c r="I1013" s="109" t="s">
        <v>10090</v>
      </c>
      <c r="J1013" s="239" t="s">
        <v>10091</v>
      </c>
      <c r="K1013" s="109" t="s">
        <v>9440</v>
      </c>
      <c r="L1013" s="109" t="s">
        <v>9496</v>
      </c>
    </row>
    <row r="1014" spans="1:12" s="58" customFormat="1" ht="14.85" customHeight="1" x14ac:dyDescent="0.25">
      <c r="A1014" s="108" t="s">
        <v>9308</v>
      </c>
      <c r="B1014" s="115" t="s">
        <v>8939</v>
      </c>
      <c r="C1014" s="115" t="s">
        <v>9338</v>
      </c>
      <c r="D1014" s="109" t="s">
        <v>10132</v>
      </c>
      <c r="E1014" s="106" t="s">
        <v>10133</v>
      </c>
      <c r="F1014" s="109" t="s">
        <v>9496</v>
      </c>
      <c r="G1014" s="115" t="s">
        <v>9324</v>
      </c>
      <c r="H1014" s="115" t="s">
        <v>9323</v>
      </c>
      <c r="I1014" s="109" t="s">
        <v>10057</v>
      </c>
      <c r="J1014" s="239" t="s">
        <v>10058</v>
      </c>
      <c r="K1014" s="109" t="s">
        <v>9440</v>
      </c>
      <c r="L1014" s="109" t="s">
        <v>9496</v>
      </c>
    </row>
    <row r="1015" spans="1:12" s="58" customFormat="1" ht="14.85" customHeight="1" x14ac:dyDescent="0.25">
      <c r="A1015" s="108" t="s">
        <v>9308</v>
      </c>
      <c r="B1015" s="115" t="s">
        <v>8939</v>
      </c>
      <c r="C1015" s="115" t="s">
        <v>9338</v>
      </c>
      <c r="D1015" s="109" t="s">
        <v>10132</v>
      </c>
      <c r="E1015" s="106" t="s">
        <v>10133</v>
      </c>
      <c r="F1015" s="109" t="s">
        <v>9496</v>
      </c>
      <c r="G1015" s="115" t="s">
        <v>9324</v>
      </c>
      <c r="H1015" s="115" t="s">
        <v>9323</v>
      </c>
      <c r="I1015" s="109" t="s">
        <v>10025</v>
      </c>
      <c r="J1015" s="239" t="s">
        <v>10026</v>
      </c>
      <c r="K1015" s="109" t="s">
        <v>9440</v>
      </c>
      <c r="L1015" s="109" t="s">
        <v>9496</v>
      </c>
    </row>
    <row r="1016" spans="1:12" s="58" customFormat="1" ht="14.85" customHeight="1" x14ac:dyDescent="0.25">
      <c r="A1016" s="108" t="s">
        <v>9308</v>
      </c>
      <c r="B1016" s="115" t="s">
        <v>8939</v>
      </c>
      <c r="C1016" s="115" t="s">
        <v>9338</v>
      </c>
      <c r="D1016" s="109" t="s">
        <v>10132</v>
      </c>
      <c r="E1016" s="106" t="s">
        <v>10133</v>
      </c>
      <c r="F1016" s="109" t="s">
        <v>9496</v>
      </c>
      <c r="G1016" s="115" t="s">
        <v>9324</v>
      </c>
      <c r="H1016" s="115" t="s">
        <v>9323</v>
      </c>
      <c r="I1016" s="109" t="s">
        <v>10092</v>
      </c>
      <c r="J1016" s="239" t="s">
        <v>10093</v>
      </c>
      <c r="K1016" s="109" t="s">
        <v>9440</v>
      </c>
      <c r="L1016" s="109" t="s">
        <v>9496</v>
      </c>
    </row>
    <row r="1017" spans="1:12" s="58" customFormat="1" ht="14.85" customHeight="1" x14ac:dyDescent="0.25">
      <c r="A1017" s="108" t="s">
        <v>9308</v>
      </c>
      <c r="B1017" s="115" t="s">
        <v>8939</v>
      </c>
      <c r="C1017" s="115" t="s">
        <v>9338</v>
      </c>
      <c r="D1017" s="109" t="s">
        <v>10132</v>
      </c>
      <c r="E1017" s="106" t="s">
        <v>10133</v>
      </c>
      <c r="F1017" s="109" t="s">
        <v>9496</v>
      </c>
      <c r="G1017" s="115" t="s">
        <v>9324</v>
      </c>
      <c r="H1017" s="115" t="s">
        <v>9323</v>
      </c>
      <c r="I1017" s="109" t="s">
        <v>10027</v>
      </c>
      <c r="J1017" s="239" t="s">
        <v>10028</v>
      </c>
      <c r="K1017" s="109" t="s">
        <v>9440</v>
      </c>
      <c r="L1017" s="109" t="s">
        <v>9496</v>
      </c>
    </row>
    <row r="1018" spans="1:12" s="58" customFormat="1" ht="14.85" customHeight="1" x14ac:dyDescent="0.25">
      <c r="A1018" s="108" t="s">
        <v>9308</v>
      </c>
      <c r="B1018" s="115" t="s">
        <v>8939</v>
      </c>
      <c r="C1018" s="115" t="s">
        <v>9338</v>
      </c>
      <c r="D1018" s="109" t="s">
        <v>10134</v>
      </c>
      <c r="E1018" s="106" t="s">
        <v>10135</v>
      </c>
      <c r="F1018" s="109" t="s">
        <v>9496</v>
      </c>
      <c r="G1018" s="115" t="s">
        <v>9324</v>
      </c>
      <c r="H1018" s="115" t="s">
        <v>9323</v>
      </c>
      <c r="I1018" s="109" t="s">
        <v>10090</v>
      </c>
      <c r="J1018" s="239" t="s">
        <v>10091</v>
      </c>
      <c r="K1018" s="109" t="s">
        <v>9440</v>
      </c>
      <c r="L1018" s="109" t="s">
        <v>9496</v>
      </c>
    </row>
    <row r="1019" spans="1:12" s="58" customFormat="1" ht="14.85" customHeight="1" x14ac:dyDescent="0.25">
      <c r="A1019" s="108" t="s">
        <v>9308</v>
      </c>
      <c r="B1019" s="115" t="s">
        <v>8939</v>
      </c>
      <c r="C1019" s="115" t="s">
        <v>9338</v>
      </c>
      <c r="D1019" s="109" t="s">
        <v>10134</v>
      </c>
      <c r="E1019" s="106" t="s">
        <v>10135</v>
      </c>
      <c r="F1019" s="109" t="s">
        <v>9496</v>
      </c>
      <c r="G1019" s="115" t="s">
        <v>9324</v>
      </c>
      <c r="H1019" s="115" t="s">
        <v>9323</v>
      </c>
      <c r="I1019" s="109" t="s">
        <v>10025</v>
      </c>
      <c r="J1019" s="239" t="s">
        <v>10026</v>
      </c>
      <c r="K1019" s="109" t="s">
        <v>9440</v>
      </c>
      <c r="L1019" s="109" t="s">
        <v>9496</v>
      </c>
    </row>
    <row r="1020" spans="1:12" s="58" customFormat="1" ht="14.85" customHeight="1" x14ac:dyDescent="0.25">
      <c r="A1020" s="108" t="s">
        <v>9308</v>
      </c>
      <c r="B1020" s="115" t="s">
        <v>8939</v>
      </c>
      <c r="C1020" s="115" t="s">
        <v>9338</v>
      </c>
      <c r="D1020" s="109" t="s">
        <v>10134</v>
      </c>
      <c r="E1020" s="106" t="s">
        <v>10135</v>
      </c>
      <c r="F1020" s="109" t="s">
        <v>9496</v>
      </c>
      <c r="G1020" s="115" t="s">
        <v>9324</v>
      </c>
      <c r="H1020" s="115" t="s">
        <v>9323</v>
      </c>
      <c r="I1020" s="109" t="s">
        <v>10033</v>
      </c>
      <c r="J1020" s="239" t="s">
        <v>10034</v>
      </c>
      <c r="K1020" s="109" t="s">
        <v>9440</v>
      </c>
      <c r="L1020" s="109" t="s">
        <v>9496</v>
      </c>
    </row>
    <row r="1021" spans="1:12" s="58" customFormat="1" ht="14.85" customHeight="1" x14ac:dyDescent="0.25">
      <c r="A1021" s="108" t="s">
        <v>9308</v>
      </c>
      <c r="B1021" s="115" t="s">
        <v>8939</v>
      </c>
      <c r="C1021" s="115" t="s">
        <v>9338</v>
      </c>
      <c r="D1021" s="109" t="s">
        <v>10134</v>
      </c>
      <c r="E1021" s="106" t="s">
        <v>10135</v>
      </c>
      <c r="F1021" s="109" t="s">
        <v>9496</v>
      </c>
      <c r="G1021" s="115" t="s">
        <v>9324</v>
      </c>
      <c r="H1021" s="115" t="s">
        <v>9323</v>
      </c>
      <c r="I1021" s="109" t="s">
        <v>10035</v>
      </c>
      <c r="J1021" s="239" t="s">
        <v>10036</v>
      </c>
      <c r="K1021" s="109" t="s">
        <v>9440</v>
      </c>
      <c r="L1021" s="109" t="s">
        <v>9496</v>
      </c>
    </row>
    <row r="1022" spans="1:12" s="58" customFormat="1" ht="14.85" customHeight="1" x14ac:dyDescent="0.25">
      <c r="A1022" s="108" t="s">
        <v>9308</v>
      </c>
      <c r="B1022" s="115" t="s">
        <v>8939</v>
      </c>
      <c r="C1022" s="115" t="s">
        <v>9338</v>
      </c>
      <c r="D1022" s="109" t="s">
        <v>10134</v>
      </c>
      <c r="E1022" s="106" t="s">
        <v>10135</v>
      </c>
      <c r="F1022" s="109" t="s">
        <v>9496</v>
      </c>
      <c r="G1022" s="115" t="s">
        <v>9324</v>
      </c>
      <c r="H1022" s="115" t="s">
        <v>9323</v>
      </c>
      <c r="I1022" s="109" t="s">
        <v>10043</v>
      </c>
      <c r="J1022" s="239" t="s">
        <v>10044</v>
      </c>
      <c r="K1022" s="109" t="s">
        <v>9440</v>
      </c>
      <c r="L1022" s="109" t="s">
        <v>9496</v>
      </c>
    </row>
    <row r="1023" spans="1:12" s="58" customFormat="1" ht="14.85" customHeight="1" x14ac:dyDescent="0.25">
      <c r="A1023" s="108" t="s">
        <v>9308</v>
      </c>
      <c r="B1023" s="115" t="s">
        <v>8939</v>
      </c>
      <c r="C1023" s="115" t="s">
        <v>9338</v>
      </c>
      <c r="D1023" s="109" t="s">
        <v>10134</v>
      </c>
      <c r="E1023" s="106" t="s">
        <v>10135</v>
      </c>
      <c r="F1023" s="109" t="s">
        <v>9496</v>
      </c>
      <c r="G1023" s="115" t="s">
        <v>9324</v>
      </c>
      <c r="H1023" s="115" t="s">
        <v>9323</v>
      </c>
      <c r="I1023" s="109" t="s">
        <v>10092</v>
      </c>
      <c r="J1023" s="239" t="s">
        <v>10093</v>
      </c>
      <c r="K1023" s="109" t="s">
        <v>9440</v>
      </c>
      <c r="L1023" s="109" t="s">
        <v>9496</v>
      </c>
    </row>
    <row r="1024" spans="1:12" s="58" customFormat="1" ht="14.85" customHeight="1" x14ac:dyDescent="0.25">
      <c r="A1024" s="108" t="s">
        <v>9308</v>
      </c>
      <c r="B1024" s="115" t="s">
        <v>8939</v>
      </c>
      <c r="C1024" s="115" t="s">
        <v>9338</v>
      </c>
      <c r="D1024" s="109" t="s">
        <v>10136</v>
      </c>
      <c r="E1024" s="106" t="s">
        <v>10137</v>
      </c>
      <c r="F1024" s="109" t="s">
        <v>9496</v>
      </c>
      <c r="G1024" s="115" t="s">
        <v>9324</v>
      </c>
      <c r="H1024" s="115" t="s">
        <v>9323</v>
      </c>
      <c r="I1024" s="109" t="s">
        <v>10035</v>
      </c>
      <c r="J1024" s="239" t="s">
        <v>10036</v>
      </c>
      <c r="K1024" s="109" t="s">
        <v>9440</v>
      </c>
      <c r="L1024" s="109" t="s">
        <v>9496</v>
      </c>
    </row>
    <row r="1025" spans="1:12" s="58" customFormat="1" ht="14.85" customHeight="1" x14ac:dyDescent="0.25">
      <c r="A1025" s="108" t="s">
        <v>9308</v>
      </c>
      <c r="B1025" s="115" t="s">
        <v>8939</v>
      </c>
      <c r="C1025" s="115" t="s">
        <v>9338</v>
      </c>
      <c r="D1025" s="109" t="s">
        <v>10136</v>
      </c>
      <c r="E1025" s="106" t="s">
        <v>10137</v>
      </c>
      <c r="F1025" s="109" t="s">
        <v>9496</v>
      </c>
      <c r="G1025" s="115" t="s">
        <v>9324</v>
      </c>
      <c r="H1025" s="115" t="s">
        <v>9323</v>
      </c>
      <c r="I1025" s="109" t="s">
        <v>10039</v>
      </c>
      <c r="J1025" s="239" t="s">
        <v>10040</v>
      </c>
      <c r="K1025" s="109" t="s">
        <v>9440</v>
      </c>
      <c r="L1025" s="109" t="s">
        <v>9496</v>
      </c>
    </row>
    <row r="1026" spans="1:12" s="58" customFormat="1" ht="14.85" customHeight="1" x14ac:dyDescent="0.25">
      <c r="A1026" s="108" t="s">
        <v>9308</v>
      </c>
      <c r="B1026" s="115" t="s">
        <v>8939</v>
      </c>
      <c r="C1026" s="115" t="s">
        <v>9338</v>
      </c>
      <c r="D1026" s="109" t="s">
        <v>10138</v>
      </c>
      <c r="E1026" s="106" t="s">
        <v>10139</v>
      </c>
      <c r="F1026" s="109" t="s">
        <v>9496</v>
      </c>
      <c r="G1026" s="115" t="s">
        <v>9324</v>
      </c>
      <c r="H1026" s="115" t="s">
        <v>9324</v>
      </c>
      <c r="I1026" s="109" t="s">
        <v>10035</v>
      </c>
      <c r="J1026" s="239" t="s">
        <v>10036</v>
      </c>
      <c r="K1026" s="109" t="s">
        <v>9440</v>
      </c>
      <c r="L1026" s="109" t="s">
        <v>9496</v>
      </c>
    </row>
    <row r="1027" spans="1:12" s="58" customFormat="1" ht="14.85" customHeight="1" x14ac:dyDescent="0.25">
      <c r="A1027" s="108" t="s">
        <v>9308</v>
      </c>
      <c r="B1027" s="115" t="s">
        <v>8939</v>
      </c>
      <c r="C1027" s="115" t="s">
        <v>9338</v>
      </c>
      <c r="D1027" s="109" t="s">
        <v>10138</v>
      </c>
      <c r="E1027" s="106" t="s">
        <v>10139</v>
      </c>
      <c r="F1027" s="109" t="s">
        <v>9496</v>
      </c>
      <c r="G1027" s="115" t="s">
        <v>9324</v>
      </c>
      <c r="H1027" s="115" t="s">
        <v>9324</v>
      </c>
      <c r="I1027" s="109" t="s">
        <v>10039</v>
      </c>
      <c r="J1027" s="239" t="s">
        <v>10040</v>
      </c>
      <c r="K1027" s="109" t="s">
        <v>9440</v>
      </c>
      <c r="L1027" s="109" t="s">
        <v>9496</v>
      </c>
    </row>
    <row r="1028" spans="1:12" s="58" customFormat="1" ht="14.85" customHeight="1" x14ac:dyDescent="0.25">
      <c r="A1028" s="108" t="s">
        <v>9308</v>
      </c>
      <c r="B1028" s="115" t="s">
        <v>8939</v>
      </c>
      <c r="C1028" s="115" t="s">
        <v>9338</v>
      </c>
      <c r="D1028" s="109" t="s">
        <v>10140</v>
      </c>
      <c r="E1028" s="106" t="s">
        <v>10141</v>
      </c>
      <c r="F1028" s="109" t="s">
        <v>9496</v>
      </c>
      <c r="G1028" s="115" t="s">
        <v>9324</v>
      </c>
      <c r="H1028" s="115" t="s">
        <v>9323</v>
      </c>
      <c r="I1028" s="109" t="s">
        <v>10035</v>
      </c>
      <c r="J1028" s="239" t="s">
        <v>10036</v>
      </c>
      <c r="K1028" s="109" t="s">
        <v>9440</v>
      </c>
      <c r="L1028" s="109" t="s">
        <v>9496</v>
      </c>
    </row>
    <row r="1029" spans="1:12" s="58" customFormat="1" ht="14.85" customHeight="1" x14ac:dyDescent="0.25">
      <c r="A1029" s="108" t="s">
        <v>9308</v>
      </c>
      <c r="B1029" s="115" t="s">
        <v>8939</v>
      </c>
      <c r="C1029" s="115" t="s">
        <v>9338</v>
      </c>
      <c r="D1029" s="109" t="s">
        <v>10140</v>
      </c>
      <c r="E1029" s="106" t="s">
        <v>10141</v>
      </c>
      <c r="F1029" s="109" t="s">
        <v>9496</v>
      </c>
      <c r="G1029" s="115" t="s">
        <v>9324</v>
      </c>
      <c r="H1029" s="115" t="s">
        <v>9323</v>
      </c>
      <c r="I1029" s="109" t="s">
        <v>10027</v>
      </c>
      <c r="J1029" s="239" t="s">
        <v>10028</v>
      </c>
      <c r="K1029" s="109" t="s">
        <v>9440</v>
      </c>
      <c r="L1029" s="109" t="s">
        <v>9496</v>
      </c>
    </row>
    <row r="1030" spans="1:12" s="58" customFormat="1" ht="14.85" customHeight="1" x14ac:dyDescent="0.25">
      <c r="A1030" s="108" t="s">
        <v>9308</v>
      </c>
      <c r="B1030" s="115" t="s">
        <v>8939</v>
      </c>
      <c r="C1030" s="115" t="s">
        <v>9338</v>
      </c>
      <c r="D1030" s="109" t="s">
        <v>10142</v>
      </c>
      <c r="E1030" s="106" t="s">
        <v>10143</v>
      </c>
      <c r="F1030" s="109" t="s">
        <v>9496</v>
      </c>
      <c r="G1030" s="115" t="s">
        <v>9324</v>
      </c>
      <c r="H1030" s="115" t="s">
        <v>9323</v>
      </c>
      <c r="I1030" s="109" t="s">
        <v>10025</v>
      </c>
      <c r="J1030" s="239" t="s">
        <v>10026</v>
      </c>
      <c r="K1030" s="109" t="s">
        <v>9440</v>
      </c>
      <c r="L1030" s="109" t="s">
        <v>9496</v>
      </c>
    </row>
    <row r="1031" spans="1:12" s="58" customFormat="1" ht="14.85" customHeight="1" x14ac:dyDescent="0.25">
      <c r="A1031" s="108" t="s">
        <v>9308</v>
      </c>
      <c r="B1031" s="115" t="s">
        <v>8939</v>
      </c>
      <c r="C1031" s="115" t="s">
        <v>9338</v>
      </c>
      <c r="D1031" s="109" t="s">
        <v>10142</v>
      </c>
      <c r="E1031" s="106" t="s">
        <v>10143</v>
      </c>
      <c r="F1031" s="109" t="s">
        <v>9496</v>
      </c>
      <c r="G1031" s="115" t="s">
        <v>9324</v>
      </c>
      <c r="H1031" s="115" t="s">
        <v>9323</v>
      </c>
      <c r="I1031" s="109" t="s">
        <v>10035</v>
      </c>
      <c r="J1031" s="239" t="s">
        <v>10036</v>
      </c>
      <c r="K1031" s="109" t="s">
        <v>9440</v>
      </c>
      <c r="L1031" s="109" t="s">
        <v>9496</v>
      </c>
    </row>
    <row r="1032" spans="1:12" s="58" customFormat="1" ht="14.85" customHeight="1" x14ac:dyDescent="0.25">
      <c r="A1032" s="108" t="s">
        <v>9308</v>
      </c>
      <c r="B1032" s="115" t="s">
        <v>8939</v>
      </c>
      <c r="C1032" s="115" t="s">
        <v>9338</v>
      </c>
      <c r="D1032" s="109" t="s">
        <v>10142</v>
      </c>
      <c r="E1032" s="106" t="s">
        <v>10143</v>
      </c>
      <c r="F1032" s="109" t="s">
        <v>9496</v>
      </c>
      <c r="G1032" s="115" t="s">
        <v>9324</v>
      </c>
      <c r="H1032" s="115" t="s">
        <v>9323</v>
      </c>
      <c r="I1032" s="109" t="s">
        <v>10037</v>
      </c>
      <c r="J1032" s="239" t="s">
        <v>10038</v>
      </c>
      <c r="K1032" s="109" t="s">
        <v>9440</v>
      </c>
      <c r="L1032" s="109" t="s">
        <v>9496</v>
      </c>
    </row>
    <row r="1033" spans="1:12" s="58" customFormat="1" ht="14.85" customHeight="1" x14ac:dyDescent="0.25">
      <c r="A1033" s="108" t="s">
        <v>9308</v>
      </c>
      <c r="B1033" s="115" t="s">
        <v>8939</v>
      </c>
      <c r="C1033" s="115" t="s">
        <v>9338</v>
      </c>
      <c r="D1033" s="109" t="s">
        <v>10142</v>
      </c>
      <c r="E1033" s="106" t="s">
        <v>10143</v>
      </c>
      <c r="F1033" s="109" t="s">
        <v>9496</v>
      </c>
      <c r="G1033" s="115" t="s">
        <v>9324</v>
      </c>
      <c r="H1033" s="115" t="s">
        <v>9323</v>
      </c>
      <c r="I1033" s="109" t="s">
        <v>10039</v>
      </c>
      <c r="J1033" s="239" t="s">
        <v>10040</v>
      </c>
      <c r="K1033" s="109" t="s">
        <v>9440</v>
      </c>
      <c r="L1033" s="109" t="s">
        <v>9496</v>
      </c>
    </row>
    <row r="1034" spans="1:12" s="58" customFormat="1" ht="14.85" customHeight="1" x14ac:dyDescent="0.25">
      <c r="A1034" s="108" t="s">
        <v>9308</v>
      </c>
      <c r="B1034" s="115" t="s">
        <v>8939</v>
      </c>
      <c r="C1034" s="115" t="s">
        <v>9338</v>
      </c>
      <c r="D1034" s="109" t="s">
        <v>10144</v>
      </c>
      <c r="E1034" s="106" t="s">
        <v>10145</v>
      </c>
      <c r="F1034" s="109" t="s">
        <v>9496</v>
      </c>
      <c r="G1034" s="115" t="s">
        <v>9324</v>
      </c>
      <c r="H1034" s="115" t="s">
        <v>9323</v>
      </c>
      <c r="I1034" s="109" t="s">
        <v>10027</v>
      </c>
      <c r="J1034" s="239" t="s">
        <v>10028</v>
      </c>
      <c r="K1034" s="109" t="s">
        <v>9440</v>
      </c>
      <c r="L1034" s="109" t="s">
        <v>9496</v>
      </c>
    </row>
    <row r="1035" spans="1:12" s="58" customFormat="1" ht="14.85" customHeight="1" x14ac:dyDescent="0.25">
      <c r="A1035" s="108" t="s">
        <v>9308</v>
      </c>
      <c r="B1035" s="115" t="s">
        <v>8939</v>
      </c>
      <c r="C1035" s="115" t="s">
        <v>9338</v>
      </c>
      <c r="D1035" s="109" t="s">
        <v>10146</v>
      </c>
      <c r="E1035" s="106" t="s">
        <v>10147</v>
      </c>
      <c r="F1035" s="109" t="s">
        <v>9496</v>
      </c>
      <c r="G1035" s="115" t="s">
        <v>9324</v>
      </c>
      <c r="H1035" s="115" t="s">
        <v>9323</v>
      </c>
      <c r="I1035" s="109" t="s">
        <v>10037</v>
      </c>
      <c r="J1035" s="239" t="s">
        <v>10038</v>
      </c>
      <c r="K1035" s="109" t="s">
        <v>9440</v>
      </c>
      <c r="L1035" s="109" t="s">
        <v>9496</v>
      </c>
    </row>
    <row r="1036" spans="1:12" s="58" customFormat="1" ht="14.85" customHeight="1" x14ac:dyDescent="0.25">
      <c r="A1036" s="108" t="s">
        <v>9308</v>
      </c>
      <c r="B1036" s="115" t="s">
        <v>8939</v>
      </c>
      <c r="C1036" s="115" t="s">
        <v>9338</v>
      </c>
      <c r="D1036" s="109" t="s">
        <v>10146</v>
      </c>
      <c r="E1036" s="106" t="s">
        <v>10147</v>
      </c>
      <c r="F1036" s="109" t="s">
        <v>9496</v>
      </c>
      <c r="G1036" s="115" t="s">
        <v>9324</v>
      </c>
      <c r="H1036" s="115" t="s">
        <v>9323</v>
      </c>
      <c r="I1036" s="109" t="s">
        <v>10041</v>
      </c>
      <c r="J1036" s="239" t="s">
        <v>10042</v>
      </c>
      <c r="K1036" s="109" t="s">
        <v>9440</v>
      </c>
      <c r="L1036" s="109" t="s">
        <v>9496</v>
      </c>
    </row>
    <row r="1037" spans="1:12" s="58" customFormat="1" ht="14.85" customHeight="1" x14ac:dyDescent="0.25">
      <c r="A1037" s="108" t="s">
        <v>9308</v>
      </c>
      <c r="B1037" s="115" t="s">
        <v>8939</v>
      </c>
      <c r="C1037" s="115" t="s">
        <v>9338</v>
      </c>
      <c r="D1037" s="109" t="s">
        <v>10146</v>
      </c>
      <c r="E1037" s="106" t="s">
        <v>10147</v>
      </c>
      <c r="F1037" s="109" t="s">
        <v>9496</v>
      </c>
      <c r="G1037" s="115" t="s">
        <v>9324</v>
      </c>
      <c r="H1037" s="115" t="s">
        <v>9323</v>
      </c>
      <c r="I1037" s="109" t="s">
        <v>10148</v>
      </c>
      <c r="J1037" s="239" t="s">
        <v>10149</v>
      </c>
      <c r="K1037" s="109" t="s">
        <v>9440</v>
      </c>
      <c r="L1037" s="109" t="s">
        <v>9496</v>
      </c>
    </row>
    <row r="1038" spans="1:12" s="58" customFormat="1" ht="14.85" customHeight="1" x14ac:dyDescent="0.25">
      <c r="A1038" s="108" t="s">
        <v>9308</v>
      </c>
      <c r="B1038" s="115" t="s">
        <v>8939</v>
      </c>
      <c r="C1038" s="115" t="s">
        <v>9338</v>
      </c>
      <c r="D1038" s="109" t="s">
        <v>10146</v>
      </c>
      <c r="E1038" s="106" t="s">
        <v>10147</v>
      </c>
      <c r="F1038" s="109" t="s">
        <v>9496</v>
      </c>
      <c r="G1038" s="115" t="s">
        <v>9324</v>
      </c>
      <c r="H1038" s="115" t="s">
        <v>9323</v>
      </c>
      <c r="I1038" s="109" t="s">
        <v>10045</v>
      </c>
      <c r="J1038" s="239" t="s">
        <v>10046</v>
      </c>
      <c r="K1038" s="109" t="s">
        <v>9440</v>
      </c>
      <c r="L1038" s="109" t="s">
        <v>9496</v>
      </c>
    </row>
    <row r="1039" spans="1:12" s="58" customFormat="1" ht="14.85" customHeight="1" x14ac:dyDescent="0.25">
      <c r="A1039" s="108" t="s">
        <v>9308</v>
      </c>
      <c r="B1039" s="115" t="s">
        <v>8939</v>
      </c>
      <c r="C1039" s="115" t="s">
        <v>9338</v>
      </c>
      <c r="D1039" s="109" t="s">
        <v>10146</v>
      </c>
      <c r="E1039" s="106" t="s">
        <v>10147</v>
      </c>
      <c r="F1039" s="109" t="s">
        <v>9496</v>
      </c>
      <c r="G1039" s="115" t="s">
        <v>9324</v>
      </c>
      <c r="H1039" s="115" t="s">
        <v>9323</v>
      </c>
      <c r="I1039" s="109" t="s">
        <v>10150</v>
      </c>
      <c r="J1039" s="239" t="s">
        <v>10151</v>
      </c>
      <c r="K1039" s="109" t="s">
        <v>9440</v>
      </c>
      <c r="L1039" s="109" t="s">
        <v>9496</v>
      </c>
    </row>
    <row r="1040" spans="1:12" s="58" customFormat="1" ht="14.85" customHeight="1" x14ac:dyDescent="0.25">
      <c r="A1040" s="108" t="s">
        <v>9308</v>
      </c>
      <c r="B1040" s="115" t="s">
        <v>8939</v>
      </c>
      <c r="C1040" s="115" t="s">
        <v>9338</v>
      </c>
      <c r="D1040" s="109" t="s">
        <v>10152</v>
      </c>
      <c r="E1040" s="106" t="s">
        <v>10153</v>
      </c>
      <c r="F1040" s="109" t="s">
        <v>9496</v>
      </c>
      <c r="G1040" s="115" t="s">
        <v>9324</v>
      </c>
      <c r="H1040" s="115" t="s">
        <v>9323</v>
      </c>
      <c r="I1040" s="109" t="s">
        <v>10037</v>
      </c>
      <c r="J1040" s="239" t="s">
        <v>10038</v>
      </c>
      <c r="K1040" s="109" t="s">
        <v>9440</v>
      </c>
      <c r="L1040" s="109" t="s">
        <v>9496</v>
      </c>
    </row>
    <row r="1041" spans="1:12" s="58" customFormat="1" ht="14.85" customHeight="1" x14ac:dyDescent="0.25">
      <c r="A1041" s="108" t="s">
        <v>9308</v>
      </c>
      <c r="B1041" s="115" t="s">
        <v>8939</v>
      </c>
      <c r="C1041" s="115" t="s">
        <v>9338</v>
      </c>
      <c r="D1041" s="109" t="s">
        <v>10152</v>
      </c>
      <c r="E1041" s="106" t="s">
        <v>10153</v>
      </c>
      <c r="F1041" s="109" t="s">
        <v>9496</v>
      </c>
      <c r="G1041" s="115" t="s">
        <v>9324</v>
      </c>
      <c r="H1041" s="115" t="s">
        <v>9323</v>
      </c>
      <c r="I1041" s="109" t="s">
        <v>10041</v>
      </c>
      <c r="J1041" s="239" t="s">
        <v>10042</v>
      </c>
      <c r="K1041" s="109" t="s">
        <v>9440</v>
      </c>
      <c r="L1041" s="109" t="s">
        <v>9496</v>
      </c>
    </row>
    <row r="1042" spans="1:12" s="58" customFormat="1" ht="14.85" customHeight="1" x14ac:dyDescent="0.25">
      <c r="A1042" s="108" t="s">
        <v>9308</v>
      </c>
      <c r="B1042" s="115" t="s">
        <v>8939</v>
      </c>
      <c r="C1042" s="115" t="s">
        <v>9338</v>
      </c>
      <c r="D1042" s="109" t="s">
        <v>10152</v>
      </c>
      <c r="E1042" s="106" t="s">
        <v>10153</v>
      </c>
      <c r="F1042" s="109" t="s">
        <v>9496</v>
      </c>
      <c r="G1042" s="115" t="s">
        <v>9324</v>
      </c>
      <c r="H1042" s="115" t="s">
        <v>9323</v>
      </c>
      <c r="I1042" s="109" t="s">
        <v>10148</v>
      </c>
      <c r="J1042" s="239" t="s">
        <v>10149</v>
      </c>
      <c r="K1042" s="109" t="s">
        <v>9440</v>
      </c>
      <c r="L1042" s="109" t="s">
        <v>9496</v>
      </c>
    </row>
    <row r="1043" spans="1:12" s="58" customFormat="1" ht="14.85" customHeight="1" x14ac:dyDescent="0.25">
      <c r="A1043" s="108" t="s">
        <v>9308</v>
      </c>
      <c r="B1043" s="115" t="s">
        <v>8939</v>
      </c>
      <c r="C1043" s="115" t="s">
        <v>9338</v>
      </c>
      <c r="D1043" s="109" t="s">
        <v>10152</v>
      </c>
      <c r="E1043" s="106" t="s">
        <v>10153</v>
      </c>
      <c r="F1043" s="109" t="s">
        <v>9496</v>
      </c>
      <c r="G1043" s="115" t="s">
        <v>9324</v>
      </c>
      <c r="H1043" s="115" t="s">
        <v>9323</v>
      </c>
      <c r="I1043" s="109" t="s">
        <v>10045</v>
      </c>
      <c r="J1043" s="239" t="s">
        <v>10046</v>
      </c>
      <c r="K1043" s="109" t="s">
        <v>9440</v>
      </c>
      <c r="L1043" s="109" t="s">
        <v>9496</v>
      </c>
    </row>
    <row r="1044" spans="1:12" s="58" customFormat="1" ht="14.85" customHeight="1" x14ac:dyDescent="0.25">
      <c r="A1044" s="108" t="s">
        <v>9308</v>
      </c>
      <c r="B1044" s="115" t="s">
        <v>8939</v>
      </c>
      <c r="C1044" s="115" t="s">
        <v>9338</v>
      </c>
      <c r="D1044" s="109" t="s">
        <v>10152</v>
      </c>
      <c r="E1044" s="106" t="s">
        <v>10153</v>
      </c>
      <c r="F1044" s="109" t="s">
        <v>9496</v>
      </c>
      <c r="G1044" s="115" t="s">
        <v>9324</v>
      </c>
      <c r="H1044" s="115" t="s">
        <v>9323</v>
      </c>
      <c r="I1044" s="109" t="s">
        <v>10150</v>
      </c>
      <c r="J1044" s="239" t="s">
        <v>10151</v>
      </c>
      <c r="K1044" s="109" t="s">
        <v>9440</v>
      </c>
      <c r="L1044" s="109" t="s">
        <v>9496</v>
      </c>
    </row>
    <row r="1045" spans="1:12" s="58" customFormat="1" ht="14.85" customHeight="1" x14ac:dyDescent="0.25">
      <c r="A1045" s="108" t="s">
        <v>9308</v>
      </c>
      <c r="B1045" s="115" t="s">
        <v>8939</v>
      </c>
      <c r="C1045" s="115" t="s">
        <v>9338</v>
      </c>
      <c r="D1045" s="109" t="s">
        <v>10154</v>
      </c>
      <c r="E1045" s="106" t="s">
        <v>10155</v>
      </c>
      <c r="F1045" s="109" t="s">
        <v>9496</v>
      </c>
      <c r="G1045" s="115" t="s">
        <v>9324</v>
      </c>
      <c r="H1045" s="115" t="s">
        <v>9323</v>
      </c>
      <c r="I1045" s="109" t="s">
        <v>10037</v>
      </c>
      <c r="J1045" s="239" t="s">
        <v>10038</v>
      </c>
      <c r="K1045" s="109" t="s">
        <v>9440</v>
      </c>
      <c r="L1045" s="109" t="s">
        <v>9496</v>
      </c>
    </row>
    <row r="1046" spans="1:12" s="58" customFormat="1" ht="14.85" customHeight="1" x14ac:dyDescent="0.25">
      <c r="A1046" s="108" t="s">
        <v>9308</v>
      </c>
      <c r="B1046" s="115" t="s">
        <v>8939</v>
      </c>
      <c r="C1046" s="115" t="s">
        <v>9338</v>
      </c>
      <c r="D1046" s="109" t="s">
        <v>10154</v>
      </c>
      <c r="E1046" s="106" t="s">
        <v>10155</v>
      </c>
      <c r="F1046" s="109" t="s">
        <v>9496</v>
      </c>
      <c r="G1046" s="115" t="s">
        <v>9324</v>
      </c>
      <c r="H1046" s="115" t="s">
        <v>9323</v>
      </c>
      <c r="I1046" s="109" t="s">
        <v>10041</v>
      </c>
      <c r="J1046" s="239" t="s">
        <v>10042</v>
      </c>
      <c r="K1046" s="109" t="s">
        <v>9440</v>
      </c>
      <c r="L1046" s="109" t="s">
        <v>9496</v>
      </c>
    </row>
    <row r="1047" spans="1:12" s="58" customFormat="1" ht="14.85" customHeight="1" x14ac:dyDescent="0.25">
      <c r="A1047" s="108" t="s">
        <v>9308</v>
      </c>
      <c r="B1047" s="115" t="s">
        <v>8939</v>
      </c>
      <c r="C1047" s="115" t="s">
        <v>9338</v>
      </c>
      <c r="D1047" s="109" t="s">
        <v>10154</v>
      </c>
      <c r="E1047" s="106" t="s">
        <v>10155</v>
      </c>
      <c r="F1047" s="109" t="s">
        <v>9496</v>
      </c>
      <c r="G1047" s="115" t="s">
        <v>9324</v>
      </c>
      <c r="H1047" s="115" t="s">
        <v>9323</v>
      </c>
      <c r="I1047" s="109" t="s">
        <v>10148</v>
      </c>
      <c r="J1047" s="239" t="s">
        <v>10149</v>
      </c>
      <c r="K1047" s="109" t="s">
        <v>9440</v>
      </c>
      <c r="L1047" s="109" t="s">
        <v>9496</v>
      </c>
    </row>
    <row r="1048" spans="1:12" s="58" customFormat="1" ht="14.85" customHeight="1" x14ac:dyDescent="0.25">
      <c r="A1048" s="108" t="s">
        <v>9308</v>
      </c>
      <c r="B1048" s="115" t="s">
        <v>8939</v>
      </c>
      <c r="C1048" s="115" t="s">
        <v>9338</v>
      </c>
      <c r="D1048" s="109" t="s">
        <v>10154</v>
      </c>
      <c r="E1048" s="106" t="s">
        <v>10155</v>
      </c>
      <c r="F1048" s="109" t="s">
        <v>9496</v>
      </c>
      <c r="G1048" s="115" t="s">
        <v>9324</v>
      </c>
      <c r="H1048" s="115" t="s">
        <v>9323</v>
      </c>
      <c r="I1048" s="109" t="s">
        <v>10045</v>
      </c>
      <c r="J1048" s="239" t="s">
        <v>10046</v>
      </c>
      <c r="K1048" s="109" t="s">
        <v>9440</v>
      </c>
      <c r="L1048" s="109" t="s">
        <v>9496</v>
      </c>
    </row>
    <row r="1049" spans="1:12" s="58" customFormat="1" ht="14.85" customHeight="1" x14ac:dyDescent="0.25">
      <c r="A1049" s="108" t="s">
        <v>9308</v>
      </c>
      <c r="B1049" s="115" t="s">
        <v>8939</v>
      </c>
      <c r="C1049" s="115" t="s">
        <v>9338</v>
      </c>
      <c r="D1049" s="109" t="s">
        <v>10154</v>
      </c>
      <c r="E1049" s="106" t="s">
        <v>10155</v>
      </c>
      <c r="F1049" s="109" t="s">
        <v>9496</v>
      </c>
      <c r="G1049" s="115" t="s">
        <v>9324</v>
      </c>
      <c r="H1049" s="115" t="s">
        <v>9323</v>
      </c>
      <c r="I1049" s="109" t="s">
        <v>10150</v>
      </c>
      <c r="J1049" s="239" t="s">
        <v>10151</v>
      </c>
      <c r="K1049" s="109" t="s">
        <v>9440</v>
      </c>
      <c r="L1049" s="109" t="s">
        <v>9496</v>
      </c>
    </row>
    <row r="1050" spans="1:12" s="58" customFormat="1" ht="14.85" customHeight="1" x14ac:dyDescent="0.25">
      <c r="A1050" s="108" t="s">
        <v>9308</v>
      </c>
      <c r="B1050" s="115" t="s">
        <v>8939</v>
      </c>
      <c r="C1050" s="115" t="s">
        <v>9338</v>
      </c>
      <c r="D1050" s="109" t="s">
        <v>10156</v>
      </c>
      <c r="E1050" s="106" t="s">
        <v>10157</v>
      </c>
      <c r="F1050" s="109" t="s">
        <v>9496</v>
      </c>
      <c r="G1050" s="115" t="s">
        <v>9324</v>
      </c>
      <c r="H1050" s="115" t="s">
        <v>9324</v>
      </c>
      <c r="I1050" s="109" t="s">
        <v>10037</v>
      </c>
      <c r="J1050" s="239" t="s">
        <v>10038</v>
      </c>
      <c r="K1050" s="109" t="s">
        <v>9440</v>
      </c>
      <c r="L1050" s="109" t="s">
        <v>9496</v>
      </c>
    </row>
    <row r="1051" spans="1:12" s="58" customFormat="1" ht="14.85" customHeight="1" x14ac:dyDescent="0.25">
      <c r="A1051" s="108" t="s">
        <v>9308</v>
      </c>
      <c r="B1051" s="115" t="s">
        <v>8939</v>
      </c>
      <c r="C1051" s="115" t="s">
        <v>9338</v>
      </c>
      <c r="D1051" s="109" t="s">
        <v>10156</v>
      </c>
      <c r="E1051" s="106" t="s">
        <v>10157</v>
      </c>
      <c r="F1051" s="109" t="s">
        <v>9496</v>
      </c>
      <c r="G1051" s="115" t="s">
        <v>9324</v>
      </c>
      <c r="H1051" s="115" t="s">
        <v>9324</v>
      </c>
      <c r="I1051" s="109" t="s">
        <v>10041</v>
      </c>
      <c r="J1051" s="239" t="s">
        <v>10042</v>
      </c>
      <c r="K1051" s="109" t="s">
        <v>9440</v>
      </c>
      <c r="L1051" s="109" t="s">
        <v>9496</v>
      </c>
    </row>
    <row r="1052" spans="1:12" s="58" customFormat="1" ht="14.85" customHeight="1" x14ac:dyDescent="0.25">
      <c r="A1052" s="108" t="s">
        <v>9308</v>
      </c>
      <c r="B1052" s="115" t="s">
        <v>8939</v>
      </c>
      <c r="C1052" s="115" t="s">
        <v>9338</v>
      </c>
      <c r="D1052" s="109" t="s">
        <v>10156</v>
      </c>
      <c r="E1052" s="106" t="s">
        <v>10157</v>
      </c>
      <c r="F1052" s="109" t="s">
        <v>9496</v>
      </c>
      <c r="G1052" s="115" t="s">
        <v>9324</v>
      </c>
      <c r="H1052" s="115" t="s">
        <v>9324</v>
      </c>
      <c r="I1052" s="109" t="s">
        <v>10148</v>
      </c>
      <c r="J1052" s="239" t="s">
        <v>10149</v>
      </c>
      <c r="K1052" s="109" t="s">
        <v>9440</v>
      </c>
      <c r="L1052" s="109" t="s">
        <v>9496</v>
      </c>
    </row>
    <row r="1053" spans="1:12" s="58" customFormat="1" ht="14.85" customHeight="1" x14ac:dyDescent="0.25">
      <c r="A1053" s="108" t="s">
        <v>9308</v>
      </c>
      <c r="B1053" s="115" t="s">
        <v>8939</v>
      </c>
      <c r="C1053" s="115" t="s">
        <v>9338</v>
      </c>
      <c r="D1053" s="109" t="s">
        <v>10156</v>
      </c>
      <c r="E1053" s="106" t="s">
        <v>10157</v>
      </c>
      <c r="F1053" s="109" t="s">
        <v>9496</v>
      </c>
      <c r="G1053" s="115" t="s">
        <v>9324</v>
      </c>
      <c r="H1053" s="115" t="s">
        <v>9324</v>
      </c>
      <c r="I1053" s="109" t="s">
        <v>10045</v>
      </c>
      <c r="J1053" s="239" t="s">
        <v>10046</v>
      </c>
      <c r="K1053" s="109" t="s">
        <v>9440</v>
      </c>
      <c r="L1053" s="109" t="s">
        <v>9496</v>
      </c>
    </row>
    <row r="1054" spans="1:12" s="58" customFormat="1" ht="14.85" customHeight="1" x14ac:dyDescent="0.25">
      <c r="A1054" s="108" t="s">
        <v>9308</v>
      </c>
      <c r="B1054" s="115" t="s">
        <v>8939</v>
      </c>
      <c r="C1054" s="115" t="s">
        <v>9338</v>
      </c>
      <c r="D1054" s="109" t="s">
        <v>10156</v>
      </c>
      <c r="E1054" s="106" t="s">
        <v>10157</v>
      </c>
      <c r="F1054" s="109" t="s">
        <v>9496</v>
      </c>
      <c r="G1054" s="115" t="s">
        <v>9324</v>
      </c>
      <c r="H1054" s="115" t="s">
        <v>9324</v>
      </c>
      <c r="I1054" s="109" t="s">
        <v>10150</v>
      </c>
      <c r="J1054" s="239" t="s">
        <v>10151</v>
      </c>
      <c r="K1054" s="109" t="s">
        <v>9440</v>
      </c>
      <c r="L1054" s="109" t="s">
        <v>9496</v>
      </c>
    </row>
    <row r="1055" spans="1:12" s="58" customFormat="1" ht="14.85" customHeight="1" x14ac:dyDescent="0.25">
      <c r="A1055" s="108" t="s">
        <v>9308</v>
      </c>
      <c r="B1055" s="115" t="s">
        <v>8939</v>
      </c>
      <c r="C1055" s="115" t="s">
        <v>9338</v>
      </c>
      <c r="D1055" s="109" t="s">
        <v>10158</v>
      </c>
      <c r="E1055" s="106" t="s">
        <v>10159</v>
      </c>
      <c r="F1055" s="109" t="s">
        <v>9496</v>
      </c>
      <c r="G1055" s="115" t="s">
        <v>9324</v>
      </c>
      <c r="H1055" s="115" t="s">
        <v>9323</v>
      </c>
      <c r="I1055" s="109" t="s">
        <v>10090</v>
      </c>
      <c r="J1055" s="239" t="s">
        <v>10091</v>
      </c>
      <c r="K1055" s="109" t="s">
        <v>9440</v>
      </c>
      <c r="L1055" s="109" t="s">
        <v>9496</v>
      </c>
    </row>
    <row r="1056" spans="1:12" s="58" customFormat="1" ht="14.85" customHeight="1" x14ac:dyDescent="0.25">
      <c r="A1056" s="108" t="s">
        <v>9308</v>
      </c>
      <c r="B1056" s="115" t="s">
        <v>8939</v>
      </c>
      <c r="C1056" s="115" t="s">
        <v>9338</v>
      </c>
      <c r="D1056" s="109" t="s">
        <v>10158</v>
      </c>
      <c r="E1056" s="106" t="s">
        <v>10159</v>
      </c>
      <c r="F1056" s="109" t="s">
        <v>9496</v>
      </c>
      <c r="G1056" s="115" t="s">
        <v>9324</v>
      </c>
      <c r="H1056" s="115" t="s">
        <v>9323</v>
      </c>
      <c r="I1056" s="109" t="s">
        <v>10037</v>
      </c>
      <c r="J1056" s="239" t="s">
        <v>10038</v>
      </c>
      <c r="K1056" s="109" t="s">
        <v>9440</v>
      </c>
      <c r="L1056" s="109" t="s">
        <v>9496</v>
      </c>
    </row>
    <row r="1057" spans="1:12" s="58" customFormat="1" ht="14.85" customHeight="1" x14ac:dyDescent="0.25">
      <c r="A1057" s="108" t="s">
        <v>9308</v>
      </c>
      <c r="B1057" s="115" t="s">
        <v>8939</v>
      </c>
      <c r="C1057" s="115" t="s">
        <v>9338</v>
      </c>
      <c r="D1057" s="109" t="s">
        <v>10158</v>
      </c>
      <c r="E1057" s="106" t="s">
        <v>10159</v>
      </c>
      <c r="F1057" s="109" t="s">
        <v>9496</v>
      </c>
      <c r="G1057" s="115" t="s">
        <v>9324</v>
      </c>
      <c r="H1057" s="115" t="s">
        <v>9323</v>
      </c>
      <c r="I1057" s="109" t="s">
        <v>10041</v>
      </c>
      <c r="J1057" s="239" t="s">
        <v>10042</v>
      </c>
      <c r="K1057" s="109" t="s">
        <v>9440</v>
      </c>
      <c r="L1057" s="109" t="s">
        <v>9496</v>
      </c>
    </row>
    <row r="1058" spans="1:12" s="58" customFormat="1" ht="14.85" customHeight="1" x14ac:dyDescent="0.25">
      <c r="A1058" s="108" t="s">
        <v>9308</v>
      </c>
      <c r="B1058" s="115" t="s">
        <v>8939</v>
      </c>
      <c r="C1058" s="115" t="s">
        <v>9338</v>
      </c>
      <c r="D1058" s="109" t="s">
        <v>10158</v>
      </c>
      <c r="E1058" s="106" t="s">
        <v>10159</v>
      </c>
      <c r="F1058" s="109" t="s">
        <v>9496</v>
      </c>
      <c r="G1058" s="115" t="s">
        <v>9324</v>
      </c>
      <c r="H1058" s="115" t="s">
        <v>9323</v>
      </c>
      <c r="I1058" s="109" t="s">
        <v>10148</v>
      </c>
      <c r="J1058" s="239" t="s">
        <v>10149</v>
      </c>
      <c r="K1058" s="109" t="s">
        <v>9440</v>
      </c>
      <c r="L1058" s="109" t="s">
        <v>9496</v>
      </c>
    </row>
    <row r="1059" spans="1:12" s="58" customFormat="1" ht="14.85" customHeight="1" x14ac:dyDescent="0.25">
      <c r="A1059" s="108" t="s">
        <v>9308</v>
      </c>
      <c r="B1059" s="115" t="s">
        <v>8939</v>
      </c>
      <c r="C1059" s="115" t="s">
        <v>9338</v>
      </c>
      <c r="D1059" s="109" t="s">
        <v>10158</v>
      </c>
      <c r="E1059" s="106" t="s">
        <v>10159</v>
      </c>
      <c r="F1059" s="109" t="s">
        <v>9496</v>
      </c>
      <c r="G1059" s="115" t="s">
        <v>9324</v>
      </c>
      <c r="H1059" s="115" t="s">
        <v>9323</v>
      </c>
      <c r="I1059" s="109" t="s">
        <v>10092</v>
      </c>
      <c r="J1059" s="239" t="s">
        <v>10093</v>
      </c>
      <c r="K1059" s="109" t="s">
        <v>9440</v>
      </c>
      <c r="L1059" s="109" t="s">
        <v>9496</v>
      </c>
    </row>
    <row r="1060" spans="1:12" s="58" customFormat="1" ht="14.85" customHeight="1" x14ac:dyDescent="0.25">
      <c r="A1060" s="108" t="s">
        <v>9308</v>
      </c>
      <c r="B1060" s="115" t="s">
        <v>8939</v>
      </c>
      <c r="C1060" s="115" t="s">
        <v>9338</v>
      </c>
      <c r="D1060" s="109" t="s">
        <v>10158</v>
      </c>
      <c r="E1060" s="106" t="s">
        <v>10159</v>
      </c>
      <c r="F1060" s="109" t="s">
        <v>9496</v>
      </c>
      <c r="G1060" s="115" t="s">
        <v>9324</v>
      </c>
      <c r="H1060" s="115" t="s">
        <v>9323</v>
      </c>
      <c r="I1060" s="109" t="s">
        <v>10045</v>
      </c>
      <c r="J1060" s="239" t="s">
        <v>10046</v>
      </c>
      <c r="K1060" s="109" t="s">
        <v>9440</v>
      </c>
      <c r="L1060" s="109" t="s">
        <v>9496</v>
      </c>
    </row>
    <row r="1061" spans="1:12" s="58" customFormat="1" ht="14.85" customHeight="1" x14ac:dyDescent="0.25">
      <c r="A1061" s="108" t="s">
        <v>9308</v>
      </c>
      <c r="B1061" s="115" t="s">
        <v>8939</v>
      </c>
      <c r="C1061" s="115" t="s">
        <v>9338</v>
      </c>
      <c r="D1061" s="109" t="s">
        <v>10158</v>
      </c>
      <c r="E1061" s="106" t="s">
        <v>10159</v>
      </c>
      <c r="F1061" s="109" t="s">
        <v>9496</v>
      </c>
      <c r="G1061" s="115" t="s">
        <v>9324</v>
      </c>
      <c r="H1061" s="115" t="s">
        <v>9323</v>
      </c>
      <c r="I1061" s="109" t="s">
        <v>10150</v>
      </c>
      <c r="J1061" s="239" t="s">
        <v>10151</v>
      </c>
      <c r="K1061" s="109" t="s">
        <v>9440</v>
      </c>
      <c r="L1061" s="109" t="s">
        <v>9496</v>
      </c>
    </row>
    <row r="1062" spans="1:12" s="58" customFormat="1" ht="14.85" customHeight="1" x14ac:dyDescent="0.25">
      <c r="A1062" s="108" t="s">
        <v>9308</v>
      </c>
      <c r="B1062" s="115" t="s">
        <v>8939</v>
      </c>
      <c r="C1062" s="115" t="s">
        <v>9338</v>
      </c>
      <c r="D1062" s="109" t="s">
        <v>10160</v>
      </c>
      <c r="E1062" s="106" t="s">
        <v>10161</v>
      </c>
      <c r="F1062" s="109" t="s">
        <v>9496</v>
      </c>
      <c r="G1062" s="115" t="s">
        <v>9324</v>
      </c>
      <c r="H1062" s="115" t="s">
        <v>9323</v>
      </c>
      <c r="I1062" s="109" t="s">
        <v>10162</v>
      </c>
      <c r="J1062" s="239" t="s">
        <v>10163</v>
      </c>
      <c r="K1062" s="109" t="s">
        <v>9440</v>
      </c>
      <c r="L1062" s="109" t="s">
        <v>9496</v>
      </c>
    </row>
    <row r="1063" spans="1:12" s="58" customFormat="1" ht="14.85" customHeight="1" x14ac:dyDescent="0.25">
      <c r="A1063" s="108" t="s">
        <v>9308</v>
      </c>
      <c r="B1063" s="115" t="s">
        <v>8939</v>
      </c>
      <c r="C1063" s="115" t="s">
        <v>9338</v>
      </c>
      <c r="D1063" s="109" t="s">
        <v>10164</v>
      </c>
      <c r="E1063" s="106" t="s">
        <v>10165</v>
      </c>
      <c r="F1063" s="109" t="s">
        <v>9496</v>
      </c>
      <c r="G1063" s="115" t="s">
        <v>9324</v>
      </c>
      <c r="H1063" s="115" t="s">
        <v>9323</v>
      </c>
      <c r="I1063" s="109" t="s">
        <v>10162</v>
      </c>
      <c r="J1063" s="239" t="s">
        <v>10163</v>
      </c>
      <c r="K1063" s="109" t="s">
        <v>9440</v>
      </c>
      <c r="L1063" s="109" t="s">
        <v>9496</v>
      </c>
    </row>
    <row r="1064" spans="1:12" s="58" customFormat="1" ht="14.85" customHeight="1" x14ac:dyDescent="0.25">
      <c r="A1064" s="108" t="s">
        <v>9308</v>
      </c>
      <c r="B1064" s="115" t="s">
        <v>8939</v>
      </c>
      <c r="C1064" s="115" t="s">
        <v>9338</v>
      </c>
      <c r="D1064" s="109" t="s">
        <v>10166</v>
      </c>
      <c r="E1064" s="106" t="s">
        <v>10167</v>
      </c>
      <c r="F1064" s="109" t="s">
        <v>9496</v>
      </c>
      <c r="G1064" s="115" t="s">
        <v>9324</v>
      </c>
      <c r="H1064" s="115" t="s">
        <v>9323</v>
      </c>
      <c r="I1064" s="109" t="s">
        <v>10168</v>
      </c>
      <c r="J1064" s="239" t="s">
        <v>10169</v>
      </c>
      <c r="K1064" s="109" t="s">
        <v>9440</v>
      </c>
      <c r="L1064" s="109" t="s">
        <v>9496</v>
      </c>
    </row>
    <row r="1065" spans="1:12" s="58" customFormat="1" ht="14.85" customHeight="1" x14ac:dyDescent="0.25">
      <c r="A1065" s="108" t="s">
        <v>9308</v>
      </c>
      <c r="B1065" s="115" t="s">
        <v>8939</v>
      </c>
      <c r="C1065" s="115" t="s">
        <v>9338</v>
      </c>
      <c r="D1065" s="109" t="s">
        <v>10166</v>
      </c>
      <c r="E1065" s="106" t="s">
        <v>10167</v>
      </c>
      <c r="F1065" s="109" t="s">
        <v>9496</v>
      </c>
      <c r="G1065" s="115" t="s">
        <v>9324</v>
      </c>
      <c r="H1065" s="115" t="s">
        <v>9323</v>
      </c>
      <c r="I1065" s="109" t="s">
        <v>10170</v>
      </c>
      <c r="J1065" s="239" t="s">
        <v>10171</v>
      </c>
      <c r="K1065" s="109" t="s">
        <v>9440</v>
      </c>
      <c r="L1065" s="109" t="s">
        <v>9496</v>
      </c>
    </row>
    <row r="1066" spans="1:12" s="58" customFormat="1" ht="14.85" customHeight="1" x14ac:dyDescent="0.25">
      <c r="A1066" s="108" t="s">
        <v>9308</v>
      </c>
      <c r="B1066" s="115" t="s">
        <v>8939</v>
      </c>
      <c r="C1066" s="115" t="s">
        <v>9338</v>
      </c>
      <c r="D1066" s="109" t="s">
        <v>10166</v>
      </c>
      <c r="E1066" s="106" t="s">
        <v>10167</v>
      </c>
      <c r="F1066" s="109" t="s">
        <v>9496</v>
      </c>
      <c r="G1066" s="115" t="s">
        <v>9324</v>
      </c>
      <c r="H1066" s="115" t="s">
        <v>9323</v>
      </c>
      <c r="I1066" s="109" t="s">
        <v>10172</v>
      </c>
      <c r="J1066" s="239" t="s">
        <v>10173</v>
      </c>
      <c r="K1066" s="109" t="s">
        <v>9440</v>
      </c>
      <c r="L1066" s="109" t="s">
        <v>9496</v>
      </c>
    </row>
    <row r="1067" spans="1:12" s="58" customFormat="1" ht="14.85" customHeight="1" x14ac:dyDescent="0.25">
      <c r="A1067" s="108" t="s">
        <v>9308</v>
      </c>
      <c r="B1067" s="115" t="s">
        <v>8939</v>
      </c>
      <c r="C1067" s="115" t="s">
        <v>9338</v>
      </c>
      <c r="D1067" s="109" t="s">
        <v>10166</v>
      </c>
      <c r="E1067" s="106" t="s">
        <v>10167</v>
      </c>
      <c r="F1067" s="109" t="s">
        <v>9496</v>
      </c>
      <c r="G1067" s="115" t="s">
        <v>9324</v>
      </c>
      <c r="H1067" s="115" t="s">
        <v>9323</v>
      </c>
      <c r="I1067" s="109" t="s">
        <v>10174</v>
      </c>
      <c r="J1067" s="239" t="s">
        <v>10175</v>
      </c>
      <c r="K1067" s="109" t="s">
        <v>9440</v>
      </c>
      <c r="L1067" s="109" t="s">
        <v>9496</v>
      </c>
    </row>
    <row r="1068" spans="1:12" s="58" customFormat="1" ht="14.85" customHeight="1" x14ac:dyDescent="0.25">
      <c r="A1068" s="108" t="s">
        <v>9308</v>
      </c>
      <c r="B1068" s="115" t="s">
        <v>8939</v>
      </c>
      <c r="C1068" s="115" t="s">
        <v>9338</v>
      </c>
      <c r="D1068" s="109" t="s">
        <v>10166</v>
      </c>
      <c r="E1068" s="106" t="s">
        <v>10167</v>
      </c>
      <c r="F1068" s="109" t="s">
        <v>9496</v>
      </c>
      <c r="G1068" s="115" t="s">
        <v>9324</v>
      </c>
      <c r="H1068" s="115" t="s">
        <v>9323</v>
      </c>
      <c r="I1068" s="109" t="s">
        <v>10162</v>
      </c>
      <c r="J1068" s="239" t="s">
        <v>10163</v>
      </c>
      <c r="K1068" s="109" t="s">
        <v>9440</v>
      </c>
      <c r="L1068" s="109" t="s">
        <v>9496</v>
      </c>
    </row>
    <row r="1069" spans="1:12" s="58" customFormat="1" ht="14.85" customHeight="1" x14ac:dyDescent="0.25">
      <c r="A1069" s="108" t="s">
        <v>9308</v>
      </c>
      <c r="B1069" s="115" t="s">
        <v>8939</v>
      </c>
      <c r="C1069" s="115" t="s">
        <v>9338</v>
      </c>
      <c r="D1069" s="109" t="s">
        <v>10176</v>
      </c>
      <c r="E1069" s="106" t="s">
        <v>10177</v>
      </c>
      <c r="F1069" s="109" t="s">
        <v>9496</v>
      </c>
      <c r="G1069" s="115" t="s">
        <v>9324</v>
      </c>
      <c r="H1069" s="115" t="s">
        <v>9323</v>
      </c>
      <c r="I1069" s="109" t="s">
        <v>10168</v>
      </c>
      <c r="J1069" s="239" t="s">
        <v>10169</v>
      </c>
      <c r="K1069" s="109" t="s">
        <v>9440</v>
      </c>
      <c r="L1069" s="109" t="s">
        <v>9496</v>
      </c>
    </row>
    <row r="1070" spans="1:12" s="58" customFormat="1" ht="14.85" customHeight="1" x14ac:dyDescent="0.25">
      <c r="A1070" s="108" t="s">
        <v>9308</v>
      </c>
      <c r="B1070" s="115" t="s">
        <v>8939</v>
      </c>
      <c r="C1070" s="115" t="s">
        <v>9338</v>
      </c>
      <c r="D1070" s="109" t="s">
        <v>10176</v>
      </c>
      <c r="E1070" s="106" t="s">
        <v>10177</v>
      </c>
      <c r="F1070" s="109" t="s">
        <v>9496</v>
      </c>
      <c r="G1070" s="115" t="s">
        <v>9324</v>
      </c>
      <c r="H1070" s="115" t="s">
        <v>9323</v>
      </c>
      <c r="I1070" s="109" t="s">
        <v>10170</v>
      </c>
      <c r="J1070" s="239" t="s">
        <v>10171</v>
      </c>
      <c r="K1070" s="109" t="s">
        <v>9440</v>
      </c>
      <c r="L1070" s="109" t="s">
        <v>9496</v>
      </c>
    </row>
    <row r="1071" spans="1:12" s="58" customFormat="1" ht="14.85" customHeight="1" x14ac:dyDescent="0.25">
      <c r="A1071" s="108" t="s">
        <v>9308</v>
      </c>
      <c r="B1071" s="115" t="s">
        <v>8939</v>
      </c>
      <c r="C1071" s="115" t="s">
        <v>9338</v>
      </c>
      <c r="D1071" s="109" t="s">
        <v>10176</v>
      </c>
      <c r="E1071" s="106" t="s">
        <v>10177</v>
      </c>
      <c r="F1071" s="109" t="s">
        <v>9496</v>
      </c>
      <c r="G1071" s="115" t="s">
        <v>9324</v>
      </c>
      <c r="H1071" s="115" t="s">
        <v>9323</v>
      </c>
      <c r="I1071" s="109" t="s">
        <v>10172</v>
      </c>
      <c r="J1071" s="239" t="s">
        <v>10173</v>
      </c>
      <c r="K1071" s="109" t="s">
        <v>9440</v>
      </c>
      <c r="L1071" s="109" t="s">
        <v>9496</v>
      </c>
    </row>
    <row r="1072" spans="1:12" s="58" customFormat="1" ht="14.85" customHeight="1" x14ac:dyDescent="0.25">
      <c r="A1072" s="108" t="s">
        <v>9308</v>
      </c>
      <c r="B1072" s="115" t="s">
        <v>8939</v>
      </c>
      <c r="C1072" s="115" t="s">
        <v>9338</v>
      </c>
      <c r="D1072" s="109" t="s">
        <v>10176</v>
      </c>
      <c r="E1072" s="106" t="s">
        <v>10177</v>
      </c>
      <c r="F1072" s="109" t="s">
        <v>9496</v>
      </c>
      <c r="G1072" s="115" t="s">
        <v>9324</v>
      </c>
      <c r="H1072" s="115" t="s">
        <v>9323</v>
      </c>
      <c r="I1072" s="109" t="s">
        <v>10174</v>
      </c>
      <c r="J1072" s="239" t="s">
        <v>10175</v>
      </c>
      <c r="K1072" s="109" t="s">
        <v>9440</v>
      </c>
      <c r="L1072" s="109" t="s">
        <v>9496</v>
      </c>
    </row>
    <row r="1073" spans="1:12" s="58" customFormat="1" ht="14.85" customHeight="1" x14ac:dyDescent="0.25">
      <c r="A1073" s="108" t="s">
        <v>9308</v>
      </c>
      <c r="B1073" s="115" t="s">
        <v>8939</v>
      </c>
      <c r="C1073" s="115" t="s">
        <v>9338</v>
      </c>
      <c r="D1073" s="109" t="s">
        <v>10176</v>
      </c>
      <c r="E1073" s="106" t="s">
        <v>10177</v>
      </c>
      <c r="F1073" s="109" t="s">
        <v>9496</v>
      </c>
      <c r="G1073" s="115" t="s">
        <v>9324</v>
      </c>
      <c r="H1073" s="115" t="s">
        <v>9323</v>
      </c>
      <c r="I1073" s="109" t="s">
        <v>10162</v>
      </c>
      <c r="J1073" s="239" t="s">
        <v>10163</v>
      </c>
      <c r="K1073" s="109" t="s">
        <v>9440</v>
      </c>
      <c r="L1073" s="109" t="s">
        <v>9496</v>
      </c>
    </row>
    <row r="1074" spans="1:12" s="58" customFormat="1" ht="14.85" customHeight="1" x14ac:dyDescent="0.25">
      <c r="A1074" s="108" t="s">
        <v>9308</v>
      </c>
      <c r="B1074" s="115" t="s">
        <v>8939</v>
      </c>
      <c r="C1074" s="115" t="s">
        <v>9338</v>
      </c>
      <c r="D1074" s="109" t="s">
        <v>10178</v>
      </c>
      <c r="E1074" s="106" t="s">
        <v>10179</v>
      </c>
      <c r="F1074" s="109" t="s">
        <v>9496</v>
      </c>
      <c r="G1074" s="115" t="s">
        <v>9324</v>
      </c>
      <c r="H1074" s="115" t="s">
        <v>9324</v>
      </c>
      <c r="I1074" s="109" t="s">
        <v>10168</v>
      </c>
      <c r="J1074" s="239" t="s">
        <v>10169</v>
      </c>
      <c r="K1074" s="109" t="s">
        <v>9440</v>
      </c>
      <c r="L1074" s="109" t="s">
        <v>9496</v>
      </c>
    </row>
    <row r="1075" spans="1:12" s="58" customFormat="1" ht="14.85" customHeight="1" x14ac:dyDescent="0.25">
      <c r="A1075" s="108" t="s">
        <v>9308</v>
      </c>
      <c r="B1075" s="115" t="s">
        <v>8939</v>
      </c>
      <c r="C1075" s="115" t="s">
        <v>9338</v>
      </c>
      <c r="D1075" s="109" t="s">
        <v>10178</v>
      </c>
      <c r="E1075" s="106" t="s">
        <v>10179</v>
      </c>
      <c r="F1075" s="109" t="s">
        <v>9496</v>
      </c>
      <c r="G1075" s="115" t="s">
        <v>9324</v>
      </c>
      <c r="H1075" s="115" t="s">
        <v>9324</v>
      </c>
      <c r="I1075" s="109" t="s">
        <v>10170</v>
      </c>
      <c r="J1075" s="239" t="s">
        <v>10171</v>
      </c>
      <c r="K1075" s="109" t="s">
        <v>9440</v>
      </c>
      <c r="L1075" s="109" t="s">
        <v>9496</v>
      </c>
    </row>
    <row r="1076" spans="1:12" s="58" customFormat="1" ht="14.85" customHeight="1" x14ac:dyDescent="0.25">
      <c r="A1076" s="108" t="s">
        <v>9308</v>
      </c>
      <c r="B1076" s="115" t="s">
        <v>8939</v>
      </c>
      <c r="C1076" s="115" t="s">
        <v>9338</v>
      </c>
      <c r="D1076" s="109" t="s">
        <v>10178</v>
      </c>
      <c r="E1076" s="106" t="s">
        <v>10179</v>
      </c>
      <c r="F1076" s="109" t="s">
        <v>9496</v>
      </c>
      <c r="G1076" s="115" t="s">
        <v>9324</v>
      </c>
      <c r="H1076" s="115" t="s">
        <v>9324</v>
      </c>
      <c r="I1076" s="109" t="s">
        <v>10172</v>
      </c>
      <c r="J1076" s="239" t="s">
        <v>10173</v>
      </c>
      <c r="K1076" s="109" t="s">
        <v>9440</v>
      </c>
      <c r="L1076" s="109" t="s">
        <v>9496</v>
      </c>
    </row>
    <row r="1077" spans="1:12" s="58" customFormat="1" ht="14.85" customHeight="1" x14ac:dyDescent="0.25">
      <c r="A1077" s="108" t="s">
        <v>9308</v>
      </c>
      <c r="B1077" s="115" t="s">
        <v>8939</v>
      </c>
      <c r="C1077" s="115" t="s">
        <v>9338</v>
      </c>
      <c r="D1077" s="109" t="s">
        <v>10178</v>
      </c>
      <c r="E1077" s="106" t="s">
        <v>10179</v>
      </c>
      <c r="F1077" s="109" t="s">
        <v>9496</v>
      </c>
      <c r="G1077" s="115" t="s">
        <v>9324</v>
      </c>
      <c r="H1077" s="115" t="s">
        <v>9324</v>
      </c>
      <c r="I1077" s="109" t="s">
        <v>10174</v>
      </c>
      <c r="J1077" s="239" t="s">
        <v>10175</v>
      </c>
      <c r="K1077" s="109" t="s">
        <v>9440</v>
      </c>
      <c r="L1077" s="109" t="s">
        <v>9496</v>
      </c>
    </row>
    <row r="1078" spans="1:12" s="58" customFormat="1" ht="14.85" customHeight="1" x14ac:dyDescent="0.25">
      <c r="A1078" s="108" t="s">
        <v>9308</v>
      </c>
      <c r="B1078" s="115" t="s">
        <v>8939</v>
      </c>
      <c r="C1078" s="115" t="s">
        <v>9338</v>
      </c>
      <c r="D1078" s="109" t="s">
        <v>10178</v>
      </c>
      <c r="E1078" s="106" t="s">
        <v>10179</v>
      </c>
      <c r="F1078" s="109" t="s">
        <v>9496</v>
      </c>
      <c r="G1078" s="115" t="s">
        <v>9324</v>
      </c>
      <c r="H1078" s="115" t="s">
        <v>9324</v>
      </c>
      <c r="I1078" s="109" t="s">
        <v>10162</v>
      </c>
      <c r="J1078" s="239" t="s">
        <v>10163</v>
      </c>
      <c r="K1078" s="109" t="s">
        <v>9440</v>
      </c>
      <c r="L1078" s="109" t="s">
        <v>9496</v>
      </c>
    </row>
    <row r="1079" spans="1:12" s="58" customFormat="1" ht="14.85" customHeight="1" x14ac:dyDescent="0.25">
      <c r="A1079" s="108" t="s">
        <v>9308</v>
      </c>
      <c r="B1079" s="115" t="s">
        <v>8939</v>
      </c>
      <c r="C1079" s="115" t="s">
        <v>9338</v>
      </c>
      <c r="D1079" s="109" t="s">
        <v>10180</v>
      </c>
      <c r="E1079" s="106" t="s">
        <v>10181</v>
      </c>
      <c r="F1079" s="109" t="s">
        <v>9496</v>
      </c>
      <c r="G1079" s="115" t="s">
        <v>9324</v>
      </c>
      <c r="H1079" s="115" t="s">
        <v>9323</v>
      </c>
      <c r="I1079" s="109" t="s">
        <v>10057</v>
      </c>
      <c r="J1079" s="239" t="s">
        <v>10058</v>
      </c>
      <c r="K1079" s="109" t="s">
        <v>9440</v>
      </c>
      <c r="L1079" s="109" t="s">
        <v>9496</v>
      </c>
    </row>
    <row r="1080" spans="1:12" s="58" customFormat="1" ht="14.85" customHeight="1" x14ac:dyDescent="0.25">
      <c r="A1080" s="108" t="s">
        <v>9308</v>
      </c>
      <c r="B1080" s="115" t="s">
        <v>8939</v>
      </c>
      <c r="C1080" s="115" t="s">
        <v>9338</v>
      </c>
      <c r="D1080" s="109" t="s">
        <v>10180</v>
      </c>
      <c r="E1080" s="106" t="s">
        <v>10181</v>
      </c>
      <c r="F1080" s="109" t="s">
        <v>9496</v>
      </c>
      <c r="G1080" s="115" t="s">
        <v>9324</v>
      </c>
      <c r="H1080" s="115" t="s">
        <v>9323</v>
      </c>
      <c r="I1080" s="109" t="s">
        <v>10025</v>
      </c>
      <c r="J1080" s="239" t="s">
        <v>10026</v>
      </c>
      <c r="K1080" s="109" t="s">
        <v>9440</v>
      </c>
      <c r="L1080" s="109" t="s">
        <v>9496</v>
      </c>
    </row>
    <row r="1081" spans="1:12" s="58" customFormat="1" ht="14.85" customHeight="1" x14ac:dyDescent="0.25">
      <c r="A1081" s="108" t="s">
        <v>9308</v>
      </c>
      <c r="B1081" s="115" t="s">
        <v>8939</v>
      </c>
      <c r="C1081" s="115" t="s">
        <v>9338</v>
      </c>
      <c r="D1081" s="109" t="s">
        <v>10180</v>
      </c>
      <c r="E1081" s="106" t="s">
        <v>10181</v>
      </c>
      <c r="F1081" s="109" t="s">
        <v>9496</v>
      </c>
      <c r="G1081" s="115" t="s">
        <v>9324</v>
      </c>
      <c r="H1081" s="115" t="s">
        <v>9323</v>
      </c>
      <c r="I1081" s="109" t="s">
        <v>10027</v>
      </c>
      <c r="J1081" s="239" t="s">
        <v>10028</v>
      </c>
      <c r="K1081" s="109" t="s">
        <v>9440</v>
      </c>
      <c r="L1081" s="109" t="s">
        <v>9496</v>
      </c>
    </row>
    <row r="1082" spans="1:12" s="58" customFormat="1" ht="14.85" customHeight="1" x14ac:dyDescent="0.25">
      <c r="A1082" s="108" t="s">
        <v>9308</v>
      </c>
      <c r="B1082" s="115" t="s">
        <v>8939</v>
      </c>
      <c r="C1082" s="115" t="s">
        <v>9338</v>
      </c>
      <c r="D1082" s="109" t="s">
        <v>10182</v>
      </c>
      <c r="E1082" s="106" t="s">
        <v>10183</v>
      </c>
      <c r="F1082" s="109" t="s">
        <v>9496</v>
      </c>
      <c r="G1082" s="115" t="s">
        <v>9324</v>
      </c>
      <c r="H1082" s="115" t="s">
        <v>9323</v>
      </c>
      <c r="I1082" s="109" t="s">
        <v>10057</v>
      </c>
      <c r="J1082" s="239" t="s">
        <v>10058</v>
      </c>
      <c r="K1082" s="109" t="s">
        <v>9440</v>
      </c>
      <c r="L1082" s="109" t="s">
        <v>9496</v>
      </c>
    </row>
    <row r="1083" spans="1:12" s="58" customFormat="1" ht="14.85" customHeight="1" x14ac:dyDescent="0.25">
      <c r="A1083" s="108" t="s">
        <v>9308</v>
      </c>
      <c r="B1083" s="115" t="s">
        <v>8939</v>
      </c>
      <c r="C1083" s="115" t="s">
        <v>9338</v>
      </c>
      <c r="D1083" s="109" t="s">
        <v>10182</v>
      </c>
      <c r="E1083" s="106" t="s">
        <v>10183</v>
      </c>
      <c r="F1083" s="109" t="s">
        <v>9496</v>
      </c>
      <c r="G1083" s="115" t="s">
        <v>9324</v>
      </c>
      <c r="H1083" s="115" t="s">
        <v>9323</v>
      </c>
      <c r="I1083" s="109" t="s">
        <v>10025</v>
      </c>
      <c r="J1083" s="239" t="s">
        <v>10026</v>
      </c>
      <c r="K1083" s="109" t="s">
        <v>9440</v>
      </c>
      <c r="L1083" s="109" t="s">
        <v>9496</v>
      </c>
    </row>
    <row r="1084" spans="1:12" s="58" customFormat="1" ht="14.85" customHeight="1" x14ac:dyDescent="0.25">
      <c r="A1084" s="108" t="s">
        <v>9308</v>
      </c>
      <c r="B1084" s="115" t="s">
        <v>8939</v>
      </c>
      <c r="C1084" s="115" t="s">
        <v>9338</v>
      </c>
      <c r="D1084" s="109" t="s">
        <v>10182</v>
      </c>
      <c r="E1084" s="106" t="s">
        <v>10183</v>
      </c>
      <c r="F1084" s="109" t="s">
        <v>9496</v>
      </c>
      <c r="G1084" s="115" t="s">
        <v>9324</v>
      </c>
      <c r="H1084" s="115" t="s">
        <v>9323</v>
      </c>
      <c r="I1084" s="109" t="s">
        <v>10027</v>
      </c>
      <c r="J1084" s="239" t="s">
        <v>10028</v>
      </c>
      <c r="K1084" s="109" t="s">
        <v>9440</v>
      </c>
      <c r="L1084" s="109" t="s">
        <v>9496</v>
      </c>
    </row>
    <row r="1085" spans="1:12" s="58" customFormat="1" ht="14.85" customHeight="1" x14ac:dyDescent="0.25">
      <c r="A1085" s="108" t="s">
        <v>9308</v>
      </c>
      <c r="B1085" s="115" t="s">
        <v>8939</v>
      </c>
      <c r="C1085" s="115" t="s">
        <v>9338</v>
      </c>
      <c r="D1085" s="109" t="s">
        <v>10184</v>
      </c>
      <c r="E1085" s="106" t="s">
        <v>10185</v>
      </c>
      <c r="F1085" s="109" t="s">
        <v>9496</v>
      </c>
      <c r="G1085" s="115" t="s">
        <v>9324</v>
      </c>
      <c r="H1085" s="115" t="s">
        <v>9323</v>
      </c>
      <c r="I1085" s="109" t="s">
        <v>10168</v>
      </c>
      <c r="J1085" s="239" t="s">
        <v>10169</v>
      </c>
      <c r="K1085" s="109" t="s">
        <v>9440</v>
      </c>
      <c r="L1085" s="109" t="s">
        <v>9496</v>
      </c>
    </row>
    <row r="1086" spans="1:12" s="58" customFormat="1" ht="14.85" customHeight="1" x14ac:dyDescent="0.25">
      <c r="A1086" s="108" t="s">
        <v>9308</v>
      </c>
      <c r="B1086" s="115" t="s">
        <v>8939</v>
      </c>
      <c r="C1086" s="115" t="s">
        <v>9338</v>
      </c>
      <c r="D1086" s="109" t="s">
        <v>10184</v>
      </c>
      <c r="E1086" s="106" t="s">
        <v>10185</v>
      </c>
      <c r="F1086" s="109" t="s">
        <v>9496</v>
      </c>
      <c r="G1086" s="115" t="s">
        <v>9324</v>
      </c>
      <c r="H1086" s="115" t="s">
        <v>9323</v>
      </c>
      <c r="I1086" s="109" t="s">
        <v>10170</v>
      </c>
      <c r="J1086" s="239" t="s">
        <v>10171</v>
      </c>
      <c r="K1086" s="109" t="s">
        <v>9440</v>
      </c>
      <c r="L1086" s="109" t="s">
        <v>9496</v>
      </c>
    </row>
    <row r="1087" spans="1:12" s="58" customFormat="1" ht="14.85" customHeight="1" x14ac:dyDescent="0.25">
      <c r="A1087" s="108" t="s">
        <v>9308</v>
      </c>
      <c r="B1087" s="115" t="s">
        <v>8939</v>
      </c>
      <c r="C1087" s="115" t="s">
        <v>9338</v>
      </c>
      <c r="D1087" s="109" t="s">
        <v>10184</v>
      </c>
      <c r="E1087" s="106" t="s">
        <v>10185</v>
      </c>
      <c r="F1087" s="109" t="s">
        <v>9496</v>
      </c>
      <c r="G1087" s="115" t="s">
        <v>9324</v>
      </c>
      <c r="H1087" s="115" t="s">
        <v>9323</v>
      </c>
      <c r="I1087" s="109" t="s">
        <v>10172</v>
      </c>
      <c r="J1087" s="239" t="s">
        <v>10173</v>
      </c>
      <c r="K1087" s="109" t="s">
        <v>9440</v>
      </c>
      <c r="L1087" s="109" t="s">
        <v>9496</v>
      </c>
    </row>
    <row r="1088" spans="1:12" s="58" customFormat="1" ht="14.85" customHeight="1" x14ac:dyDescent="0.25">
      <c r="A1088" s="108" t="s">
        <v>9308</v>
      </c>
      <c r="B1088" s="115" t="s">
        <v>8939</v>
      </c>
      <c r="C1088" s="115" t="s">
        <v>9338</v>
      </c>
      <c r="D1088" s="109" t="s">
        <v>10184</v>
      </c>
      <c r="E1088" s="106" t="s">
        <v>10185</v>
      </c>
      <c r="F1088" s="109" t="s">
        <v>9496</v>
      </c>
      <c r="G1088" s="115" t="s">
        <v>9324</v>
      </c>
      <c r="H1088" s="115" t="s">
        <v>9323</v>
      </c>
      <c r="I1088" s="109" t="s">
        <v>10174</v>
      </c>
      <c r="J1088" s="239" t="s">
        <v>10175</v>
      </c>
      <c r="K1088" s="109" t="s">
        <v>9440</v>
      </c>
      <c r="L1088" s="109" t="s">
        <v>9496</v>
      </c>
    </row>
    <row r="1089" spans="1:12" s="58" customFormat="1" ht="14.85" customHeight="1" x14ac:dyDescent="0.25">
      <c r="A1089" s="108" t="s">
        <v>9308</v>
      </c>
      <c r="B1089" s="115" t="s">
        <v>8939</v>
      </c>
      <c r="C1089" s="115" t="s">
        <v>9338</v>
      </c>
      <c r="D1089" s="109" t="s">
        <v>10184</v>
      </c>
      <c r="E1089" s="106" t="s">
        <v>10185</v>
      </c>
      <c r="F1089" s="109" t="s">
        <v>9496</v>
      </c>
      <c r="G1089" s="115" t="s">
        <v>9324</v>
      </c>
      <c r="H1089" s="115" t="s">
        <v>9323</v>
      </c>
      <c r="I1089" s="109" t="s">
        <v>10162</v>
      </c>
      <c r="J1089" s="239" t="s">
        <v>10163</v>
      </c>
      <c r="K1089" s="109" t="s">
        <v>9440</v>
      </c>
      <c r="L1089" s="109" t="s">
        <v>9496</v>
      </c>
    </row>
    <row r="1090" spans="1:12" s="58" customFormat="1" ht="14.85" customHeight="1" x14ac:dyDescent="0.25">
      <c r="A1090" s="108" t="s">
        <v>9308</v>
      </c>
      <c r="B1090" s="115" t="s">
        <v>8939</v>
      </c>
      <c r="C1090" s="115" t="s">
        <v>9338</v>
      </c>
      <c r="D1090" s="109" t="s">
        <v>10186</v>
      </c>
      <c r="E1090" s="106" t="s">
        <v>10187</v>
      </c>
      <c r="F1090" s="109" t="s">
        <v>9496</v>
      </c>
      <c r="G1090" s="115" t="s">
        <v>9324</v>
      </c>
      <c r="H1090" s="115" t="s">
        <v>9323</v>
      </c>
      <c r="I1090" s="109" t="s">
        <v>10168</v>
      </c>
      <c r="J1090" s="239" t="s">
        <v>10169</v>
      </c>
      <c r="K1090" s="109" t="s">
        <v>9440</v>
      </c>
      <c r="L1090" s="109" t="s">
        <v>9496</v>
      </c>
    </row>
    <row r="1091" spans="1:12" s="58" customFormat="1" ht="14.85" customHeight="1" x14ac:dyDescent="0.25">
      <c r="A1091" s="108" t="s">
        <v>9308</v>
      </c>
      <c r="B1091" s="115" t="s">
        <v>8939</v>
      </c>
      <c r="C1091" s="115" t="s">
        <v>9338</v>
      </c>
      <c r="D1091" s="109" t="s">
        <v>10186</v>
      </c>
      <c r="E1091" s="106" t="s">
        <v>10187</v>
      </c>
      <c r="F1091" s="109" t="s">
        <v>9496</v>
      </c>
      <c r="G1091" s="115" t="s">
        <v>9324</v>
      </c>
      <c r="H1091" s="115" t="s">
        <v>9323</v>
      </c>
      <c r="I1091" s="109" t="s">
        <v>10170</v>
      </c>
      <c r="J1091" s="239" t="s">
        <v>10171</v>
      </c>
      <c r="K1091" s="109" t="s">
        <v>9440</v>
      </c>
      <c r="L1091" s="109" t="s">
        <v>9496</v>
      </c>
    </row>
    <row r="1092" spans="1:12" s="58" customFormat="1" ht="14.85" customHeight="1" x14ac:dyDescent="0.25">
      <c r="A1092" s="108" t="s">
        <v>9308</v>
      </c>
      <c r="B1092" s="115" t="s">
        <v>8939</v>
      </c>
      <c r="C1092" s="115" t="s">
        <v>9338</v>
      </c>
      <c r="D1092" s="109" t="s">
        <v>10186</v>
      </c>
      <c r="E1092" s="106" t="s">
        <v>10187</v>
      </c>
      <c r="F1092" s="109" t="s">
        <v>9496</v>
      </c>
      <c r="G1092" s="115" t="s">
        <v>9324</v>
      </c>
      <c r="H1092" s="115" t="s">
        <v>9323</v>
      </c>
      <c r="I1092" s="109" t="s">
        <v>10172</v>
      </c>
      <c r="J1092" s="239" t="s">
        <v>10173</v>
      </c>
      <c r="K1092" s="109" t="s">
        <v>9440</v>
      </c>
      <c r="L1092" s="109" t="s">
        <v>9496</v>
      </c>
    </row>
    <row r="1093" spans="1:12" s="58" customFormat="1" ht="14.85" customHeight="1" x14ac:dyDescent="0.25">
      <c r="A1093" s="108" t="s">
        <v>9308</v>
      </c>
      <c r="B1093" s="115" t="s">
        <v>8939</v>
      </c>
      <c r="C1093" s="115" t="s">
        <v>9338</v>
      </c>
      <c r="D1093" s="109" t="s">
        <v>10188</v>
      </c>
      <c r="E1093" s="106" t="s">
        <v>10189</v>
      </c>
      <c r="F1093" s="109" t="s">
        <v>9496</v>
      </c>
      <c r="G1093" s="115" t="s">
        <v>9324</v>
      </c>
      <c r="H1093" s="115" t="s">
        <v>9323</v>
      </c>
      <c r="I1093" s="109" t="s">
        <v>10168</v>
      </c>
      <c r="J1093" s="239" t="s">
        <v>10169</v>
      </c>
      <c r="K1093" s="109" t="s">
        <v>9440</v>
      </c>
      <c r="L1093" s="109" t="s">
        <v>9496</v>
      </c>
    </row>
    <row r="1094" spans="1:12" s="58" customFormat="1" ht="14.85" customHeight="1" x14ac:dyDescent="0.25">
      <c r="A1094" s="108" t="s">
        <v>9308</v>
      </c>
      <c r="B1094" s="115" t="s">
        <v>8939</v>
      </c>
      <c r="C1094" s="115" t="s">
        <v>9338</v>
      </c>
      <c r="D1094" s="109" t="s">
        <v>10188</v>
      </c>
      <c r="E1094" s="106" t="s">
        <v>10189</v>
      </c>
      <c r="F1094" s="109" t="s">
        <v>9496</v>
      </c>
      <c r="G1094" s="115" t="s">
        <v>9324</v>
      </c>
      <c r="H1094" s="115" t="s">
        <v>9323</v>
      </c>
      <c r="I1094" s="109" t="s">
        <v>10170</v>
      </c>
      <c r="J1094" s="239" t="s">
        <v>10171</v>
      </c>
      <c r="K1094" s="109" t="s">
        <v>9440</v>
      </c>
      <c r="L1094" s="109" t="s">
        <v>9496</v>
      </c>
    </row>
    <row r="1095" spans="1:12" s="58" customFormat="1" ht="14.85" customHeight="1" x14ac:dyDescent="0.25">
      <c r="A1095" s="108" t="s">
        <v>9308</v>
      </c>
      <c r="B1095" s="115" t="s">
        <v>8939</v>
      </c>
      <c r="C1095" s="115" t="s">
        <v>9338</v>
      </c>
      <c r="D1095" s="109" t="s">
        <v>10188</v>
      </c>
      <c r="E1095" s="106" t="s">
        <v>10189</v>
      </c>
      <c r="F1095" s="109" t="s">
        <v>9496</v>
      </c>
      <c r="G1095" s="115" t="s">
        <v>9324</v>
      </c>
      <c r="H1095" s="115" t="s">
        <v>9323</v>
      </c>
      <c r="I1095" s="109" t="s">
        <v>10172</v>
      </c>
      <c r="J1095" s="239" t="s">
        <v>10173</v>
      </c>
      <c r="K1095" s="109" t="s">
        <v>9440</v>
      </c>
      <c r="L1095" s="109" t="s">
        <v>9496</v>
      </c>
    </row>
    <row r="1096" spans="1:12" s="58" customFormat="1" ht="14.85" customHeight="1" x14ac:dyDescent="0.25">
      <c r="A1096" s="108" t="s">
        <v>9308</v>
      </c>
      <c r="B1096" s="115" t="s">
        <v>8939</v>
      </c>
      <c r="C1096" s="115" t="s">
        <v>9338</v>
      </c>
      <c r="D1096" s="109" t="s">
        <v>10190</v>
      </c>
      <c r="E1096" s="106" t="s">
        <v>10191</v>
      </c>
      <c r="F1096" s="109" t="s">
        <v>9496</v>
      </c>
      <c r="G1096" s="115" t="s">
        <v>9324</v>
      </c>
      <c r="H1096" s="115" t="s">
        <v>9324</v>
      </c>
      <c r="I1096" s="109" t="s">
        <v>10168</v>
      </c>
      <c r="J1096" s="239" t="s">
        <v>10169</v>
      </c>
      <c r="K1096" s="109" t="s">
        <v>9440</v>
      </c>
      <c r="L1096" s="109" t="s">
        <v>9496</v>
      </c>
    </row>
    <row r="1097" spans="1:12" s="58" customFormat="1" ht="14.85" customHeight="1" x14ac:dyDescent="0.25">
      <c r="A1097" s="108" t="s">
        <v>9308</v>
      </c>
      <c r="B1097" s="115" t="s">
        <v>8939</v>
      </c>
      <c r="C1097" s="115" t="s">
        <v>9338</v>
      </c>
      <c r="D1097" s="109" t="s">
        <v>10190</v>
      </c>
      <c r="E1097" s="106" t="s">
        <v>10191</v>
      </c>
      <c r="F1097" s="109" t="s">
        <v>9496</v>
      </c>
      <c r="G1097" s="115" t="s">
        <v>9324</v>
      </c>
      <c r="H1097" s="115" t="s">
        <v>9324</v>
      </c>
      <c r="I1097" s="109" t="s">
        <v>10170</v>
      </c>
      <c r="J1097" s="239" t="s">
        <v>10171</v>
      </c>
      <c r="K1097" s="109" t="s">
        <v>9440</v>
      </c>
      <c r="L1097" s="109" t="s">
        <v>9496</v>
      </c>
    </row>
    <row r="1098" spans="1:12" s="58" customFormat="1" ht="14.85" customHeight="1" x14ac:dyDescent="0.25">
      <c r="A1098" s="108" t="s">
        <v>9308</v>
      </c>
      <c r="B1098" s="115" t="s">
        <v>8939</v>
      </c>
      <c r="C1098" s="115" t="s">
        <v>9338</v>
      </c>
      <c r="D1098" s="109" t="s">
        <v>10190</v>
      </c>
      <c r="E1098" s="106" t="s">
        <v>10191</v>
      </c>
      <c r="F1098" s="109" t="s">
        <v>9496</v>
      </c>
      <c r="G1098" s="115" t="s">
        <v>9324</v>
      </c>
      <c r="H1098" s="115" t="s">
        <v>9324</v>
      </c>
      <c r="I1098" s="109" t="s">
        <v>10172</v>
      </c>
      <c r="J1098" s="239" t="s">
        <v>10173</v>
      </c>
      <c r="K1098" s="109" t="s">
        <v>9440</v>
      </c>
      <c r="L1098" s="109" t="s">
        <v>9496</v>
      </c>
    </row>
    <row r="1099" spans="1:12" s="58" customFormat="1" ht="14.85" customHeight="1" x14ac:dyDescent="0.25">
      <c r="A1099" s="108" t="s">
        <v>9308</v>
      </c>
      <c r="B1099" s="115" t="s">
        <v>8939</v>
      </c>
      <c r="C1099" s="115" t="s">
        <v>9338</v>
      </c>
      <c r="D1099" s="109" t="s">
        <v>10192</v>
      </c>
      <c r="E1099" s="106" t="s">
        <v>10193</v>
      </c>
      <c r="F1099" s="109" t="s">
        <v>9496</v>
      </c>
      <c r="G1099" s="115" t="s">
        <v>9324</v>
      </c>
      <c r="H1099" s="115" t="s">
        <v>9323</v>
      </c>
      <c r="I1099" s="109" t="s">
        <v>10174</v>
      </c>
      <c r="J1099" s="239" t="s">
        <v>10175</v>
      </c>
      <c r="K1099" s="109" t="s">
        <v>9440</v>
      </c>
      <c r="L1099" s="109" t="s">
        <v>9496</v>
      </c>
    </row>
    <row r="1100" spans="1:12" s="58" customFormat="1" ht="14.85" customHeight="1" x14ac:dyDescent="0.25">
      <c r="A1100" s="108" t="s">
        <v>9308</v>
      </c>
      <c r="B1100" s="115" t="s">
        <v>8939</v>
      </c>
      <c r="C1100" s="115" t="s">
        <v>9338</v>
      </c>
      <c r="D1100" s="109" t="s">
        <v>10194</v>
      </c>
      <c r="E1100" s="106" t="s">
        <v>10195</v>
      </c>
      <c r="F1100" s="109" t="s">
        <v>9496</v>
      </c>
      <c r="G1100" s="115" t="s">
        <v>9324</v>
      </c>
      <c r="H1100" s="115" t="s">
        <v>9323</v>
      </c>
      <c r="I1100" s="109" t="s">
        <v>10174</v>
      </c>
      <c r="J1100" s="239" t="s">
        <v>10175</v>
      </c>
      <c r="K1100" s="109" t="s">
        <v>9440</v>
      </c>
      <c r="L1100" s="109" t="s">
        <v>9496</v>
      </c>
    </row>
    <row r="1101" spans="1:12" s="58" customFormat="1" ht="14.85" customHeight="1" x14ac:dyDescent="0.25">
      <c r="A1101" s="108" t="s">
        <v>9308</v>
      </c>
      <c r="B1101" s="115" t="s">
        <v>8939</v>
      </c>
      <c r="C1101" s="115" t="s">
        <v>9338</v>
      </c>
      <c r="D1101" s="109" t="s">
        <v>10196</v>
      </c>
      <c r="E1101" s="106" t="s">
        <v>10197</v>
      </c>
      <c r="F1101" s="109" t="s">
        <v>9496</v>
      </c>
      <c r="G1101" s="115" t="s">
        <v>9324</v>
      </c>
      <c r="H1101" s="115" t="s">
        <v>9324</v>
      </c>
      <c r="I1101" s="109" t="s">
        <v>10174</v>
      </c>
      <c r="J1101" s="239" t="s">
        <v>10175</v>
      </c>
      <c r="K1101" s="109" t="s">
        <v>9440</v>
      </c>
      <c r="L1101" s="109" t="s">
        <v>9496</v>
      </c>
    </row>
    <row r="1102" spans="1:12" s="58" customFormat="1" ht="14.85" customHeight="1" x14ac:dyDescent="0.25">
      <c r="A1102" s="108" t="s">
        <v>9308</v>
      </c>
      <c r="B1102" s="115" t="s">
        <v>8939</v>
      </c>
      <c r="C1102" s="115" t="s">
        <v>9338</v>
      </c>
      <c r="D1102" s="109" t="s">
        <v>10198</v>
      </c>
      <c r="E1102" s="106" t="s">
        <v>10199</v>
      </c>
      <c r="F1102" s="109" t="s">
        <v>9496</v>
      </c>
      <c r="G1102" s="115" t="s">
        <v>9324</v>
      </c>
      <c r="H1102" s="115" t="s">
        <v>9323</v>
      </c>
      <c r="I1102" s="109" t="s">
        <v>10051</v>
      </c>
      <c r="J1102" s="239" t="s">
        <v>10052</v>
      </c>
      <c r="K1102" s="109" t="s">
        <v>9440</v>
      </c>
      <c r="L1102" s="109" t="s">
        <v>9496</v>
      </c>
    </row>
    <row r="1103" spans="1:12" s="58" customFormat="1" ht="14.85" customHeight="1" x14ac:dyDescent="0.25">
      <c r="A1103" s="108" t="s">
        <v>9308</v>
      </c>
      <c r="B1103" s="115" t="s">
        <v>8939</v>
      </c>
      <c r="C1103" s="115" t="s">
        <v>9338</v>
      </c>
      <c r="D1103" s="109" t="s">
        <v>10198</v>
      </c>
      <c r="E1103" s="106" t="s">
        <v>10199</v>
      </c>
      <c r="F1103" s="109" t="s">
        <v>9496</v>
      </c>
      <c r="G1103" s="115" t="s">
        <v>9324</v>
      </c>
      <c r="H1103" s="115" t="s">
        <v>9323</v>
      </c>
      <c r="I1103" s="109" t="s">
        <v>10057</v>
      </c>
      <c r="J1103" s="239" t="s">
        <v>10058</v>
      </c>
      <c r="K1103" s="109" t="s">
        <v>9440</v>
      </c>
      <c r="L1103" s="109" t="s">
        <v>9496</v>
      </c>
    </row>
    <row r="1104" spans="1:12" s="58" customFormat="1" ht="14.85" customHeight="1" x14ac:dyDescent="0.25">
      <c r="A1104" s="108" t="s">
        <v>9308</v>
      </c>
      <c r="B1104" s="115" t="s">
        <v>8939</v>
      </c>
      <c r="C1104" s="115" t="s">
        <v>9338</v>
      </c>
      <c r="D1104" s="109" t="s">
        <v>10198</v>
      </c>
      <c r="E1104" s="106" t="s">
        <v>10199</v>
      </c>
      <c r="F1104" s="109" t="s">
        <v>9496</v>
      </c>
      <c r="G1104" s="115" t="s">
        <v>9324</v>
      </c>
      <c r="H1104" s="115" t="s">
        <v>9323</v>
      </c>
      <c r="I1104" s="109" t="s">
        <v>10025</v>
      </c>
      <c r="J1104" s="239" t="s">
        <v>10026</v>
      </c>
      <c r="K1104" s="109" t="s">
        <v>9440</v>
      </c>
      <c r="L1104" s="109" t="s">
        <v>9496</v>
      </c>
    </row>
    <row r="1105" spans="1:12" s="58" customFormat="1" ht="14.85" customHeight="1" x14ac:dyDescent="0.25">
      <c r="A1105" s="108" t="s">
        <v>9308</v>
      </c>
      <c r="B1105" s="115" t="s">
        <v>8939</v>
      </c>
      <c r="C1105" s="115" t="s">
        <v>9338</v>
      </c>
      <c r="D1105" s="109" t="s">
        <v>10198</v>
      </c>
      <c r="E1105" s="106" t="s">
        <v>10199</v>
      </c>
      <c r="F1105" s="109" t="s">
        <v>9496</v>
      </c>
      <c r="G1105" s="115" t="s">
        <v>9324</v>
      </c>
      <c r="H1105" s="115" t="s">
        <v>9323</v>
      </c>
      <c r="I1105" s="109" t="s">
        <v>10061</v>
      </c>
      <c r="J1105" s="239" t="s">
        <v>10062</v>
      </c>
      <c r="K1105" s="109" t="s">
        <v>9440</v>
      </c>
      <c r="L1105" s="109" t="s">
        <v>9496</v>
      </c>
    </row>
    <row r="1106" spans="1:12" s="58" customFormat="1" ht="14.85" customHeight="1" x14ac:dyDescent="0.25">
      <c r="A1106" s="108" t="s">
        <v>9308</v>
      </c>
      <c r="B1106" s="115" t="s">
        <v>8939</v>
      </c>
      <c r="C1106" s="115" t="s">
        <v>9338</v>
      </c>
      <c r="D1106" s="109" t="s">
        <v>10198</v>
      </c>
      <c r="E1106" s="106" t="s">
        <v>10199</v>
      </c>
      <c r="F1106" s="109" t="s">
        <v>9496</v>
      </c>
      <c r="G1106" s="115" t="s">
        <v>9324</v>
      </c>
      <c r="H1106" s="115" t="s">
        <v>9323</v>
      </c>
      <c r="I1106" s="109" t="s">
        <v>10027</v>
      </c>
      <c r="J1106" s="239" t="s">
        <v>10028</v>
      </c>
      <c r="K1106" s="109" t="s">
        <v>9440</v>
      </c>
      <c r="L1106" s="109" t="s">
        <v>9496</v>
      </c>
    </row>
    <row r="1107" spans="1:12" s="58" customFormat="1" ht="14.85" customHeight="1" x14ac:dyDescent="0.25">
      <c r="A1107" s="108" t="s">
        <v>9308</v>
      </c>
      <c r="B1107" s="115" t="s">
        <v>8939</v>
      </c>
      <c r="C1107" s="115" t="s">
        <v>9338</v>
      </c>
      <c r="D1107" s="109" t="s">
        <v>10200</v>
      </c>
      <c r="E1107" s="106" t="s">
        <v>10201</v>
      </c>
      <c r="F1107" s="109" t="s">
        <v>9496</v>
      </c>
      <c r="G1107" s="115" t="s">
        <v>9324</v>
      </c>
      <c r="H1107" s="115" t="s">
        <v>9323</v>
      </c>
      <c r="I1107" s="109" t="s">
        <v>10057</v>
      </c>
      <c r="J1107" s="239" t="s">
        <v>10058</v>
      </c>
      <c r="K1107" s="109" t="s">
        <v>9440</v>
      </c>
      <c r="L1107" s="109" t="s">
        <v>9496</v>
      </c>
    </row>
    <row r="1108" spans="1:12" s="58" customFormat="1" ht="14.85" customHeight="1" x14ac:dyDescent="0.25">
      <c r="A1108" s="108" t="s">
        <v>9308</v>
      </c>
      <c r="B1108" s="115" t="s">
        <v>8939</v>
      </c>
      <c r="C1108" s="115" t="s">
        <v>9338</v>
      </c>
      <c r="D1108" s="109" t="s">
        <v>10200</v>
      </c>
      <c r="E1108" s="106" t="s">
        <v>10201</v>
      </c>
      <c r="F1108" s="109" t="s">
        <v>9496</v>
      </c>
      <c r="G1108" s="115" t="s">
        <v>9324</v>
      </c>
      <c r="H1108" s="115" t="s">
        <v>9323</v>
      </c>
      <c r="I1108" s="109" t="s">
        <v>10025</v>
      </c>
      <c r="J1108" s="239" t="s">
        <v>10026</v>
      </c>
      <c r="K1108" s="109" t="s">
        <v>9440</v>
      </c>
      <c r="L1108" s="109" t="s">
        <v>9496</v>
      </c>
    </row>
    <row r="1109" spans="1:12" s="58" customFormat="1" ht="14.85" customHeight="1" x14ac:dyDescent="0.25">
      <c r="A1109" s="108" t="s">
        <v>9308</v>
      </c>
      <c r="B1109" s="115" t="s">
        <v>8939</v>
      </c>
      <c r="C1109" s="115" t="s">
        <v>9338</v>
      </c>
      <c r="D1109" s="109" t="s">
        <v>10200</v>
      </c>
      <c r="E1109" s="106" t="s">
        <v>10201</v>
      </c>
      <c r="F1109" s="109" t="s">
        <v>9496</v>
      </c>
      <c r="G1109" s="115" t="s">
        <v>9324</v>
      </c>
      <c r="H1109" s="115" t="s">
        <v>9323</v>
      </c>
      <c r="I1109" s="109" t="s">
        <v>10061</v>
      </c>
      <c r="J1109" s="239" t="s">
        <v>10062</v>
      </c>
      <c r="K1109" s="109" t="s">
        <v>9440</v>
      </c>
      <c r="L1109" s="109" t="s">
        <v>9496</v>
      </c>
    </row>
    <row r="1110" spans="1:12" s="58" customFormat="1" ht="14.85" customHeight="1" x14ac:dyDescent="0.25">
      <c r="A1110" s="108" t="s">
        <v>9308</v>
      </c>
      <c r="B1110" s="115" t="s">
        <v>8939</v>
      </c>
      <c r="C1110" s="115" t="s">
        <v>9338</v>
      </c>
      <c r="D1110" s="109" t="s">
        <v>10200</v>
      </c>
      <c r="E1110" s="106" t="s">
        <v>10201</v>
      </c>
      <c r="F1110" s="109" t="s">
        <v>9496</v>
      </c>
      <c r="G1110" s="115" t="s">
        <v>9324</v>
      </c>
      <c r="H1110" s="115" t="s">
        <v>9323</v>
      </c>
      <c r="I1110" s="109" t="s">
        <v>10027</v>
      </c>
      <c r="J1110" s="239" t="s">
        <v>10028</v>
      </c>
      <c r="K1110" s="109" t="s">
        <v>9440</v>
      </c>
      <c r="L1110" s="109" t="s">
        <v>9496</v>
      </c>
    </row>
    <row r="1111" spans="1:12" s="58" customFormat="1" ht="14.85" customHeight="1" x14ac:dyDescent="0.25">
      <c r="A1111" s="108" t="s">
        <v>9308</v>
      </c>
      <c r="B1111" s="115" t="s">
        <v>8939</v>
      </c>
      <c r="C1111" s="115" t="s">
        <v>9338</v>
      </c>
      <c r="D1111" s="109" t="s">
        <v>10202</v>
      </c>
      <c r="E1111" s="106" t="s">
        <v>10203</v>
      </c>
      <c r="F1111" s="109" t="s">
        <v>9496</v>
      </c>
      <c r="G1111" s="115" t="s">
        <v>9324</v>
      </c>
      <c r="H1111" s="115" t="s">
        <v>9323</v>
      </c>
      <c r="I1111" s="109" t="s">
        <v>10090</v>
      </c>
      <c r="J1111" s="239" t="s">
        <v>10091</v>
      </c>
      <c r="K1111" s="109" t="s">
        <v>9440</v>
      </c>
      <c r="L1111" s="109" t="s">
        <v>9496</v>
      </c>
    </row>
    <row r="1112" spans="1:12" s="58" customFormat="1" ht="14.85" customHeight="1" x14ac:dyDescent="0.25">
      <c r="A1112" s="108" t="s">
        <v>9308</v>
      </c>
      <c r="B1112" s="115" t="s">
        <v>8939</v>
      </c>
      <c r="C1112" s="115" t="s">
        <v>9338</v>
      </c>
      <c r="D1112" s="109" t="s">
        <v>10202</v>
      </c>
      <c r="E1112" s="106" t="s">
        <v>10203</v>
      </c>
      <c r="F1112" s="109" t="s">
        <v>9496</v>
      </c>
      <c r="G1112" s="115" t="s">
        <v>9324</v>
      </c>
      <c r="H1112" s="115" t="s">
        <v>9323</v>
      </c>
      <c r="I1112" s="109" t="s">
        <v>10168</v>
      </c>
      <c r="J1112" s="239" t="s">
        <v>10169</v>
      </c>
      <c r="K1112" s="109" t="s">
        <v>9440</v>
      </c>
      <c r="L1112" s="109" t="s">
        <v>9496</v>
      </c>
    </row>
    <row r="1113" spans="1:12" s="58" customFormat="1" ht="14.85" customHeight="1" x14ac:dyDescent="0.25">
      <c r="A1113" s="108" t="s">
        <v>9308</v>
      </c>
      <c r="B1113" s="115" t="s">
        <v>8939</v>
      </c>
      <c r="C1113" s="115" t="s">
        <v>9338</v>
      </c>
      <c r="D1113" s="109" t="s">
        <v>10202</v>
      </c>
      <c r="E1113" s="106" t="s">
        <v>10203</v>
      </c>
      <c r="F1113" s="109" t="s">
        <v>9496</v>
      </c>
      <c r="G1113" s="115" t="s">
        <v>9324</v>
      </c>
      <c r="H1113" s="115" t="s">
        <v>9323</v>
      </c>
      <c r="I1113" s="109" t="s">
        <v>10170</v>
      </c>
      <c r="J1113" s="239" t="s">
        <v>10171</v>
      </c>
      <c r="K1113" s="109" t="s">
        <v>9440</v>
      </c>
      <c r="L1113" s="109" t="s">
        <v>9496</v>
      </c>
    </row>
    <row r="1114" spans="1:12" s="58" customFormat="1" ht="14.85" customHeight="1" x14ac:dyDescent="0.25">
      <c r="A1114" s="108" t="s">
        <v>9308</v>
      </c>
      <c r="B1114" s="115" t="s">
        <v>8939</v>
      </c>
      <c r="C1114" s="115" t="s">
        <v>9338</v>
      </c>
      <c r="D1114" s="109" t="s">
        <v>10202</v>
      </c>
      <c r="E1114" s="106" t="s">
        <v>10203</v>
      </c>
      <c r="F1114" s="109" t="s">
        <v>9496</v>
      </c>
      <c r="G1114" s="115" t="s">
        <v>9324</v>
      </c>
      <c r="H1114" s="115" t="s">
        <v>9323</v>
      </c>
      <c r="I1114" s="109" t="s">
        <v>10092</v>
      </c>
      <c r="J1114" s="239" t="s">
        <v>10093</v>
      </c>
      <c r="K1114" s="109" t="s">
        <v>9440</v>
      </c>
      <c r="L1114" s="109" t="s">
        <v>9496</v>
      </c>
    </row>
    <row r="1115" spans="1:12" s="165" customFormat="1" ht="14.85" customHeight="1" x14ac:dyDescent="0.25">
      <c r="A1115" s="108" t="s">
        <v>13514</v>
      </c>
      <c r="B1115" s="164" t="s">
        <v>8939</v>
      </c>
      <c r="C1115" s="166" t="s">
        <v>9338</v>
      </c>
      <c r="D1115" s="167" t="s">
        <v>13429</v>
      </c>
      <c r="E1115" s="244" t="s">
        <v>10207</v>
      </c>
      <c r="F1115" s="167" t="s">
        <v>9496</v>
      </c>
      <c r="G1115" s="166" t="s">
        <v>9324</v>
      </c>
      <c r="H1115" s="166" t="s">
        <v>9323</v>
      </c>
      <c r="I1115" s="167" t="s">
        <v>10168</v>
      </c>
      <c r="J1115" s="243" t="s">
        <v>10169</v>
      </c>
      <c r="K1115" s="167" t="s">
        <v>9440</v>
      </c>
      <c r="L1115" s="167" t="s">
        <v>9496</v>
      </c>
    </row>
    <row r="1116" spans="1:12" s="165" customFormat="1" ht="14.85" customHeight="1" x14ac:dyDescent="0.25">
      <c r="A1116" s="108" t="s">
        <v>13514</v>
      </c>
      <c r="B1116" s="164" t="s">
        <v>8939</v>
      </c>
      <c r="C1116" s="166" t="s">
        <v>9338</v>
      </c>
      <c r="D1116" s="167" t="s">
        <v>13429</v>
      </c>
      <c r="E1116" s="244" t="s">
        <v>10207</v>
      </c>
      <c r="F1116" s="167" t="s">
        <v>9496</v>
      </c>
      <c r="G1116" s="166" t="s">
        <v>9324</v>
      </c>
      <c r="H1116" s="166" t="s">
        <v>9323</v>
      </c>
      <c r="I1116" s="167" t="s">
        <v>10170</v>
      </c>
      <c r="J1116" s="243" t="s">
        <v>10171</v>
      </c>
      <c r="K1116" s="167" t="s">
        <v>9440</v>
      </c>
      <c r="L1116" s="167" t="s">
        <v>9496</v>
      </c>
    </row>
    <row r="1117" spans="1:12" s="165" customFormat="1" ht="14.85" customHeight="1" x14ac:dyDescent="0.25">
      <c r="A1117" s="108" t="s">
        <v>13514</v>
      </c>
      <c r="B1117" s="164" t="s">
        <v>8939</v>
      </c>
      <c r="C1117" s="166" t="s">
        <v>9338</v>
      </c>
      <c r="D1117" s="167" t="s">
        <v>13429</v>
      </c>
      <c r="E1117" s="244" t="s">
        <v>10207</v>
      </c>
      <c r="F1117" s="167" t="s">
        <v>9496</v>
      </c>
      <c r="G1117" s="166" t="s">
        <v>9324</v>
      </c>
      <c r="H1117" s="166" t="s">
        <v>9323</v>
      </c>
      <c r="I1117" s="167" t="s">
        <v>10172</v>
      </c>
      <c r="J1117" s="243" t="s">
        <v>10173</v>
      </c>
      <c r="K1117" s="167" t="s">
        <v>9440</v>
      </c>
      <c r="L1117" s="167" t="s">
        <v>9496</v>
      </c>
    </row>
    <row r="1118" spans="1:12" s="165" customFormat="1" ht="14.85" customHeight="1" x14ac:dyDescent="0.25">
      <c r="A1118" s="108" t="s">
        <v>13514</v>
      </c>
      <c r="B1118" s="164" t="s">
        <v>8939</v>
      </c>
      <c r="C1118" s="166" t="s">
        <v>9338</v>
      </c>
      <c r="D1118" s="167" t="s">
        <v>13429</v>
      </c>
      <c r="E1118" s="244" t="s">
        <v>10207</v>
      </c>
      <c r="F1118" s="167" t="s">
        <v>9496</v>
      </c>
      <c r="G1118" s="166" t="s">
        <v>9324</v>
      </c>
      <c r="H1118" s="166" t="s">
        <v>9323</v>
      </c>
      <c r="I1118" s="167" t="s">
        <v>10174</v>
      </c>
      <c r="J1118" s="243" t="s">
        <v>10175</v>
      </c>
      <c r="K1118" s="167" t="s">
        <v>9440</v>
      </c>
      <c r="L1118" s="167" t="s">
        <v>9496</v>
      </c>
    </row>
    <row r="1119" spans="1:12" s="165" customFormat="1" ht="14.85" customHeight="1" x14ac:dyDescent="0.25">
      <c r="A1119" s="108" t="s">
        <v>13514</v>
      </c>
      <c r="B1119" s="164" t="s">
        <v>8939</v>
      </c>
      <c r="C1119" s="166" t="s">
        <v>9338</v>
      </c>
      <c r="D1119" s="167" t="s">
        <v>13429</v>
      </c>
      <c r="E1119" s="244" t="s">
        <v>10207</v>
      </c>
      <c r="F1119" s="167" t="s">
        <v>9496</v>
      </c>
      <c r="G1119" s="166" t="s">
        <v>9324</v>
      </c>
      <c r="H1119" s="166" t="s">
        <v>9323</v>
      </c>
      <c r="I1119" s="167" t="s">
        <v>10162</v>
      </c>
      <c r="J1119" s="243" t="s">
        <v>10163</v>
      </c>
      <c r="K1119" s="167" t="s">
        <v>9440</v>
      </c>
      <c r="L1119" s="167" t="s">
        <v>9496</v>
      </c>
    </row>
    <row r="1120" spans="1:12" s="58" customFormat="1" ht="14.85" customHeight="1" x14ac:dyDescent="0.25">
      <c r="A1120" s="108" t="s">
        <v>9308</v>
      </c>
      <c r="B1120" s="115" t="s">
        <v>8939</v>
      </c>
      <c r="C1120" s="115" t="s">
        <v>9338</v>
      </c>
      <c r="D1120" s="109" t="s">
        <v>10204</v>
      </c>
      <c r="E1120" s="106" t="s">
        <v>10205</v>
      </c>
      <c r="F1120" s="109" t="s">
        <v>9496</v>
      </c>
      <c r="G1120" s="115" t="s">
        <v>9324</v>
      </c>
      <c r="H1120" s="115" t="s">
        <v>9323</v>
      </c>
      <c r="I1120" s="109" t="s">
        <v>10057</v>
      </c>
      <c r="J1120" s="239" t="s">
        <v>10058</v>
      </c>
      <c r="K1120" s="109" t="s">
        <v>9440</v>
      </c>
      <c r="L1120" s="109" t="s">
        <v>9496</v>
      </c>
    </row>
    <row r="1121" spans="1:12" s="58" customFormat="1" ht="14.85" customHeight="1" x14ac:dyDescent="0.25">
      <c r="A1121" s="108" t="s">
        <v>9308</v>
      </c>
      <c r="B1121" s="115" t="s">
        <v>8939</v>
      </c>
      <c r="C1121" s="115" t="s">
        <v>9338</v>
      </c>
      <c r="D1121" s="109" t="s">
        <v>10204</v>
      </c>
      <c r="E1121" s="106" t="s">
        <v>10205</v>
      </c>
      <c r="F1121" s="109" t="s">
        <v>9496</v>
      </c>
      <c r="G1121" s="115" t="s">
        <v>9324</v>
      </c>
      <c r="H1121" s="115" t="s">
        <v>9323</v>
      </c>
      <c r="I1121" s="109" t="s">
        <v>10025</v>
      </c>
      <c r="J1121" s="239" t="s">
        <v>10026</v>
      </c>
      <c r="K1121" s="109" t="s">
        <v>9440</v>
      </c>
      <c r="L1121" s="109" t="s">
        <v>9496</v>
      </c>
    </row>
    <row r="1122" spans="1:12" s="58" customFormat="1" ht="14.85" customHeight="1" x14ac:dyDescent="0.25">
      <c r="A1122" s="108" t="s">
        <v>9308</v>
      </c>
      <c r="B1122" s="115" t="s">
        <v>8939</v>
      </c>
      <c r="C1122" s="115" t="s">
        <v>9338</v>
      </c>
      <c r="D1122" s="109" t="s">
        <v>10204</v>
      </c>
      <c r="E1122" s="106" t="s">
        <v>10205</v>
      </c>
      <c r="F1122" s="109" t="s">
        <v>9496</v>
      </c>
      <c r="G1122" s="115" t="s">
        <v>9324</v>
      </c>
      <c r="H1122" s="115" t="s">
        <v>9323</v>
      </c>
      <c r="I1122" s="109" t="s">
        <v>10170</v>
      </c>
      <c r="J1122" s="239" t="s">
        <v>10171</v>
      </c>
      <c r="K1122" s="109" t="s">
        <v>9440</v>
      </c>
      <c r="L1122" s="109" t="s">
        <v>9496</v>
      </c>
    </row>
    <row r="1123" spans="1:12" s="58" customFormat="1" ht="14.85" customHeight="1" x14ac:dyDescent="0.25">
      <c r="A1123" s="108" t="s">
        <v>9308</v>
      </c>
      <c r="B1123" s="115" t="s">
        <v>8939</v>
      </c>
      <c r="C1123" s="115" t="s">
        <v>9338</v>
      </c>
      <c r="D1123" s="109" t="s">
        <v>10204</v>
      </c>
      <c r="E1123" s="106" t="s">
        <v>10205</v>
      </c>
      <c r="F1123" s="109" t="s">
        <v>9496</v>
      </c>
      <c r="G1123" s="115" t="s">
        <v>9324</v>
      </c>
      <c r="H1123" s="115" t="s">
        <v>9323</v>
      </c>
      <c r="I1123" s="109" t="s">
        <v>10027</v>
      </c>
      <c r="J1123" s="239" t="s">
        <v>10028</v>
      </c>
      <c r="K1123" s="109" t="s">
        <v>9440</v>
      </c>
      <c r="L1123" s="109" t="s">
        <v>9496</v>
      </c>
    </row>
    <row r="1124" spans="1:12" s="58" customFormat="1" ht="14.85" customHeight="1" x14ac:dyDescent="0.25">
      <c r="A1124" s="108" t="s">
        <v>13511</v>
      </c>
      <c r="B1124" s="300" t="s">
        <v>8939</v>
      </c>
      <c r="C1124" s="169" t="s">
        <v>9338</v>
      </c>
      <c r="D1124" s="163" t="s">
        <v>10206</v>
      </c>
      <c r="E1124" s="301" t="s">
        <v>10207</v>
      </c>
      <c r="F1124" s="163" t="s">
        <v>9496</v>
      </c>
      <c r="G1124" s="169" t="s">
        <v>9324</v>
      </c>
      <c r="H1124" s="169" t="s">
        <v>9323</v>
      </c>
      <c r="I1124" s="163" t="s">
        <v>10168</v>
      </c>
      <c r="J1124" s="242" t="s">
        <v>10169</v>
      </c>
      <c r="K1124" s="163" t="s">
        <v>9440</v>
      </c>
      <c r="L1124" s="163" t="s">
        <v>9496</v>
      </c>
    </row>
    <row r="1125" spans="1:12" s="58" customFormat="1" ht="14.85" customHeight="1" x14ac:dyDescent="0.25">
      <c r="A1125" s="108" t="s">
        <v>13511</v>
      </c>
      <c r="B1125" s="300" t="s">
        <v>8939</v>
      </c>
      <c r="C1125" s="169" t="s">
        <v>9338</v>
      </c>
      <c r="D1125" s="163" t="s">
        <v>10206</v>
      </c>
      <c r="E1125" s="301" t="s">
        <v>10207</v>
      </c>
      <c r="F1125" s="163" t="s">
        <v>9496</v>
      </c>
      <c r="G1125" s="169" t="s">
        <v>9324</v>
      </c>
      <c r="H1125" s="169" t="s">
        <v>9323</v>
      </c>
      <c r="I1125" s="163" t="s">
        <v>10170</v>
      </c>
      <c r="J1125" s="242" t="s">
        <v>10171</v>
      </c>
      <c r="K1125" s="163" t="s">
        <v>9440</v>
      </c>
      <c r="L1125" s="163" t="s">
        <v>9496</v>
      </c>
    </row>
    <row r="1126" spans="1:12" s="58" customFormat="1" ht="14.85" customHeight="1" x14ac:dyDescent="0.25">
      <c r="A1126" s="108" t="s">
        <v>13511</v>
      </c>
      <c r="B1126" s="300" t="s">
        <v>8939</v>
      </c>
      <c r="C1126" s="169" t="s">
        <v>9338</v>
      </c>
      <c r="D1126" s="163" t="s">
        <v>10206</v>
      </c>
      <c r="E1126" s="301" t="s">
        <v>10207</v>
      </c>
      <c r="F1126" s="163" t="s">
        <v>9496</v>
      </c>
      <c r="G1126" s="169" t="s">
        <v>9324</v>
      </c>
      <c r="H1126" s="169" t="s">
        <v>9323</v>
      </c>
      <c r="I1126" s="163" t="s">
        <v>10172</v>
      </c>
      <c r="J1126" s="242" t="s">
        <v>10173</v>
      </c>
      <c r="K1126" s="163" t="s">
        <v>9440</v>
      </c>
      <c r="L1126" s="163" t="s">
        <v>9496</v>
      </c>
    </row>
    <row r="1127" spans="1:12" s="58" customFormat="1" ht="14.85" customHeight="1" x14ac:dyDescent="0.25">
      <c r="A1127" s="108" t="s">
        <v>13511</v>
      </c>
      <c r="B1127" s="300" t="s">
        <v>8939</v>
      </c>
      <c r="C1127" s="169" t="s">
        <v>9338</v>
      </c>
      <c r="D1127" s="163" t="s">
        <v>10206</v>
      </c>
      <c r="E1127" s="301" t="s">
        <v>10207</v>
      </c>
      <c r="F1127" s="163" t="s">
        <v>9496</v>
      </c>
      <c r="G1127" s="169" t="s">
        <v>9324</v>
      </c>
      <c r="H1127" s="169" t="s">
        <v>9323</v>
      </c>
      <c r="I1127" s="163" t="s">
        <v>10174</v>
      </c>
      <c r="J1127" s="242" t="s">
        <v>10175</v>
      </c>
      <c r="K1127" s="163" t="s">
        <v>9440</v>
      </c>
      <c r="L1127" s="163" t="s">
        <v>9496</v>
      </c>
    </row>
    <row r="1128" spans="1:12" s="58" customFormat="1" ht="14.85" customHeight="1" x14ac:dyDescent="0.25">
      <c r="A1128" s="108" t="s">
        <v>9308</v>
      </c>
      <c r="B1128" s="115" t="s">
        <v>8939</v>
      </c>
      <c r="C1128" s="115" t="s">
        <v>9338</v>
      </c>
      <c r="D1128" s="109" t="s">
        <v>10208</v>
      </c>
      <c r="E1128" s="106" t="s">
        <v>10209</v>
      </c>
      <c r="F1128" s="109" t="s">
        <v>9496</v>
      </c>
      <c r="G1128" s="115" t="s">
        <v>9324</v>
      </c>
      <c r="H1128" s="115" t="s">
        <v>9323</v>
      </c>
      <c r="I1128" s="109" t="s">
        <v>10057</v>
      </c>
      <c r="J1128" s="239" t="s">
        <v>10058</v>
      </c>
      <c r="K1128" s="109" t="s">
        <v>9440</v>
      </c>
      <c r="L1128" s="109" t="s">
        <v>9496</v>
      </c>
    </row>
    <row r="1129" spans="1:12" s="58" customFormat="1" ht="14.85" customHeight="1" x14ac:dyDescent="0.25">
      <c r="A1129" s="108" t="s">
        <v>9308</v>
      </c>
      <c r="B1129" s="115" t="s">
        <v>8939</v>
      </c>
      <c r="C1129" s="115" t="s">
        <v>9338</v>
      </c>
      <c r="D1129" s="109" t="s">
        <v>10208</v>
      </c>
      <c r="E1129" s="106" t="s">
        <v>10209</v>
      </c>
      <c r="F1129" s="109" t="s">
        <v>9496</v>
      </c>
      <c r="G1129" s="115" t="s">
        <v>9324</v>
      </c>
      <c r="H1129" s="115" t="s">
        <v>9323</v>
      </c>
      <c r="I1129" s="109" t="s">
        <v>10025</v>
      </c>
      <c r="J1129" s="239" t="s">
        <v>10026</v>
      </c>
      <c r="K1129" s="109" t="s">
        <v>9440</v>
      </c>
      <c r="L1129" s="109" t="s">
        <v>9496</v>
      </c>
    </row>
    <row r="1130" spans="1:12" s="58" customFormat="1" ht="14.85" customHeight="1" x14ac:dyDescent="0.25">
      <c r="A1130" s="108" t="s">
        <v>9308</v>
      </c>
      <c r="B1130" s="115" t="s">
        <v>8939</v>
      </c>
      <c r="C1130" s="115" t="s">
        <v>9338</v>
      </c>
      <c r="D1130" s="109" t="s">
        <v>10208</v>
      </c>
      <c r="E1130" s="106" t="s">
        <v>10209</v>
      </c>
      <c r="F1130" s="109" t="s">
        <v>9496</v>
      </c>
      <c r="G1130" s="115" t="s">
        <v>9324</v>
      </c>
      <c r="H1130" s="115" t="s">
        <v>9323</v>
      </c>
      <c r="I1130" s="109" t="s">
        <v>10027</v>
      </c>
      <c r="J1130" s="239" t="s">
        <v>10028</v>
      </c>
      <c r="K1130" s="109" t="s">
        <v>9440</v>
      </c>
      <c r="L1130" s="109" t="s">
        <v>9496</v>
      </c>
    </row>
    <row r="1131" spans="1:12" s="58" customFormat="1" ht="14.85" customHeight="1" x14ac:dyDescent="0.25">
      <c r="A1131" s="108" t="s">
        <v>9308</v>
      </c>
      <c r="B1131" s="115" t="s">
        <v>8939</v>
      </c>
      <c r="C1131" s="115" t="s">
        <v>9338</v>
      </c>
      <c r="D1131" s="109" t="s">
        <v>10210</v>
      </c>
      <c r="E1131" s="106" t="s">
        <v>10211</v>
      </c>
      <c r="F1131" s="109" t="s">
        <v>9496</v>
      </c>
      <c r="G1131" s="115" t="s">
        <v>9324</v>
      </c>
      <c r="H1131" s="115" t="s">
        <v>9323</v>
      </c>
      <c r="I1131" s="109" t="s">
        <v>10168</v>
      </c>
      <c r="J1131" s="239" t="s">
        <v>10169</v>
      </c>
      <c r="K1131" s="109" t="s">
        <v>9440</v>
      </c>
      <c r="L1131" s="109" t="s">
        <v>9496</v>
      </c>
    </row>
    <row r="1132" spans="1:12" s="58" customFormat="1" ht="14.85" customHeight="1" x14ac:dyDescent="0.25">
      <c r="A1132" s="108" t="s">
        <v>9308</v>
      </c>
      <c r="B1132" s="115" t="s">
        <v>8939</v>
      </c>
      <c r="C1132" s="115" t="s">
        <v>9338</v>
      </c>
      <c r="D1132" s="109" t="s">
        <v>10210</v>
      </c>
      <c r="E1132" s="106" t="s">
        <v>10211</v>
      </c>
      <c r="F1132" s="109" t="s">
        <v>9496</v>
      </c>
      <c r="G1132" s="115" t="s">
        <v>9324</v>
      </c>
      <c r="H1132" s="115" t="s">
        <v>9323</v>
      </c>
      <c r="I1132" s="109" t="s">
        <v>10170</v>
      </c>
      <c r="J1132" s="239" t="s">
        <v>10171</v>
      </c>
      <c r="K1132" s="109" t="s">
        <v>9440</v>
      </c>
      <c r="L1132" s="109" t="s">
        <v>9496</v>
      </c>
    </row>
    <row r="1133" spans="1:12" s="58" customFormat="1" ht="14.85" customHeight="1" x14ac:dyDescent="0.25">
      <c r="A1133" s="108" t="s">
        <v>9308</v>
      </c>
      <c r="B1133" s="115" t="s">
        <v>8939</v>
      </c>
      <c r="C1133" s="115" t="s">
        <v>9338</v>
      </c>
      <c r="D1133" s="109" t="s">
        <v>10210</v>
      </c>
      <c r="E1133" s="106" t="s">
        <v>10211</v>
      </c>
      <c r="F1133" s="109" t="s">
        <v>9496</v>
      </c>
      <c r="G1133" s="115" t="s">
        <v>9324</v>
      </c>
      <c r="H1133" s="115" t="s">
        <v>9323</v>
      </c>
      <c r="I1133" s="109" t="s">
        <v>10172</v>
      </c>
      <c r="J1133" s="239" t="s">
        <v>10173</v>
      </c>
      <c r="K1133" s="109" t="s">
        <v>9440</v>
      </c>
      <c r="L1133" s="109" t="s">
        <v>9496</v>
      </c>
    </row>
    <row r="1134" spans="1:12" s="58" customFormat="1" ht="14.85" customHeight="1" x14ac:dyDescent="0.25">
      <c r="A1134" s="108" t="s">
        <v>9308</v>
      </c>
      <c r="B1134" s="115" t="s">
        <v>8939</v>
      </c>
      <c r="C1134" s="115" t="s">
        <v>9338</v>
      </c>
      <c r="D1134" s="109" t="s">
        <v>10210</v>
      </c>
      <c r="E1134" s="106" t="s">
        <v>10211</v>
      </c>
      <c r="F1134" s="109" t="s">
        <v>9496</v>
      </c>
      <c r="G1134" s="115" t="s">
        <v>9324</v>
      </c>
      <c r="H1134" s="115" t="s">
        <v>9323</v>
      </c>
      <c r="I1134" s="109" t="s">
        <v>10162</v>
      </c>
      <c r="J1134" s="239" t="s">
        <v>10163</v>
      </c>
      <c r="K1134" s="109" t="s">
        <v>9440</v>
      </c>
      <c r="L1134" s="109" t="s">
        <v>9496</v>
      </c>
    </row>
    <row r="1135" spans="1:12" s="58" customFormat="1" ht="14.85" customHeight="1" x14ac:dyDescent="0.25">
      <c r="A1135" s="108" t="s">
        <v>9308</v>
      </c>
      <c r="B1135" s="115" t="s">
        <v>8939</v>
      </c>
      <c r="C1135" s="115" t="s">
        <v>9338</v>
      </c>
      <c r="D1135" s="109" t="s">
        <v>10212</v>
      </c>
      <c r="E1135" s="106" t="s">
        <v>10213</v>
      </c>
      <c r="F1135" s="109" t="s">
        <v>9496</v>
      </c>
      <c r="G1135" s="115" t="s">
        <v>9324</v>
      </c>
      <c r="H1135" s="115" t="s">
        <v>9323</v>
      </c>
      <c r="I1135" s="109" t="s">
        <v>10170</v>
      </c>
      <c r="J1135" s="239" t="s">
        <v>10171</v>
      </c>
      <c r="K1135" s="109" t="s">
        <v>9440</v>
      </c>
      <c r="L1135" s="109" t="s">
        <v>9496</v>
      </c>
    </row>
    <row r="1136" spans="1:12" s="58" customFormat="1" ht="14.85" customHeight="1" x14ac:dyDescent="0.25">
      <c r="A1136" s="108" t="s">
        <v>9308</v>
      </c>
      <c r="B1136" s="115" t="s">
        <v>8939</v>
      </c>
      <c r="C1136" s="115" t="s">
        <v>9338</v>
      </c>
      <c r="D1136" s="109" t="s">
        <v>10212</v>
      </c>
      <c r="E1136" s="106" t="s">
        <v>10213</v>
      </c>
      <c r="F1136" s="109" t="s">
        <v>9496</v>
      </c>
      <c r="G1136" s="115" t="s">
        <v>9324</v>
      </c>
      <c r="H1136" s="115" t="s">
        <v>9323</v>
      </c>
      <c r="I1136" s="109" t="s">
        <v>10162</v>
      </c>
      <c r="J1136" s="239" t="s">
        <v>10163</v>
      </c>
      <c r="K1136" s="109" t="s">
        <v>9440</v>
      </c>
      <c r="L1136" s="109" t="s">
        <v>9496</v>
      </c>
    </row>
    <row r="1137" spans="1:12" s="58" customFormat="1" ht="14.85" customHeight="1" x14ac:dyDescent="0.25">
      <c r="A1137" s="108" t="s">
        <v>9308</v>
      </c>
      <c r="B1137" s="115" t="s">
        <v>8939</v>
      </c>
      <c r="C1137" s="115" t="s">
        <v>9338</v>
      </c>
      <c r="D1137" s="109" t="s">
        <v>10214</v>
      </c>
      <c r="E1137" s="106" t="s">
        <v>10215</v>
      </c>
      <c r="F1137" s="109" t="s">
        <v>9496</v>
      </c>
      <c r="G1137" s="115" t="s">
        <v>9324</v>
      </c>
      <c r="H1137" s="115" t="s">
        <v>9323</v>
      </c>
      <c r="I1137" s="109" t="s">
        <v>10170</v>
      </c>
      <c r="J1137" s="239" t="s">
        <v>10171</v>
      </c>
      <c r="K1137" s="109" t="s">
        <v>9440</v>
      </c>
      <c r="L1137" s="109" t="s">
        <v>9496</v>
      </c>
    </row>
    <row r="1138" spans="1:12" s="58" customFormat="1" ht="14.85" customHeight="1" x14ac:dyDescent="0.25">
      <c r="A1138" s="108" t="s">
        <v>9308</v>
      </c>
      <c r="B1138" s="115" t="s">
        <v>8939</v>
      </c>
      <c r="C1138" s="115" t="s">
        <v>9338</v>
      </c>
      <c r="D1138" s="109" t="s">
        <v>10216</v>
      </c>
      <c r="E1138" s="106" t="s">
        <v>10217</v>
      </c>
      <c r="F1138" s="109" t="s">
        <v>9496</v>
      </c>
      <c r="G1138" s="115" t="s">
        <v>9324</v>
      </c>
      <c r="H1138" s="115" t="s">
        <v>9324</v>
      </c>
      <c r="I1138" s="109" t="s">
        <v>10170</v>
      </c>
      <c r="J1138" s="239" t="s">
        <v>10171</v>
      </c>
      <c r="K1138" s="109" t="s">
        <v>9440</v>
      </c>
      <c r="L1138" s="109" t="s">
        <v>9496</v>
      </c>
    </row>
    <row r="1139" spans="1:12" s="58" customFormat="1" ht="14.85" customHeight="1" x14ac:dyDescent="0.25">
      <c r="A1139" s="108" t="s">
        <v>9308</v>
      </c>
      <c r="B1139" s="115" t="s">
        <v>8939</v>
      </c>
      <c r="C1139" s="115" t="s">
        <v>9338</v>
      </c>
      <c r="D1139" s="109" t="s">
        <v>10218</v>
      </c>
      <c r="E1139" s="106" t="s">
        <v>10219</v>
      </c>
      <c r="F1139" s="109" t="s">
        <v>9496</v>
      </c>
      <c r="G1139" s="115" t="s">
        <v>9324</v>
      </c>
      <c r="H1139" s="115" t="s">
        <v>9323</v>
      </c>
      <c r="I1139" s="109" t="s">
        <v>10090</v>
      </c>
      <c r="J1139" s="239" t="s">
        <v>10091</v>
      </c>
      <c r="K1139" s="109" t="s">
        <v>9440</v>
      </c>
      <c r="L1139" s="109" t="s">
        <v>9496</v>
      </c>
    </row>
    <row r="1140" spans="1:12" s="58" customFormat="1" ht="14.85" customHeight="1" x14ac:dyDescent="0.25">
      <c r="A1140" s="108" t="s">
        <v>9308</v>
      </c>
      <c r="B1140" s="115" t="s">
        <v>8939</v>
      </c>
      <c r="C1140" s="115" t="s">
        <v>9338</v>
      </c>
      <c r="D1140" s="109" t="s">
        <v>10218</v>
      </c>
      <c r="E1140" s="106" t="s">
        <v>10219</v>
      </c>
      <c r="F1140" s="109" t="s">
        <v>9496</v>
      </c>
      <c r="G1140" s="115" t="s">
        <v>9324</v>
      </c>
      <c r="H1140" s="115" t="s">
        <v>9323</v>
      </c>
      <c r="I1140" s="109" t="s">
        <v>10170</v>
      </c>
      <c r="J1140" s="239" t="s">
        <v>10171</v>
      </c>
      <c r="K1140" s="109" t="s">
        <v>9440</v>
      </c>
      <c r="L1140" s="109" t="s">
        <v>9496</v>
      </c>
    </row>
    <row r="1141" spans="1:12" s="58" customFormat="1" ht="14.85" customHeight="1" x14ac:dyDescent="0.25">
      <c r="A1141" s="108" t="s">
        <v>9308</v>
      </c>
      <c r="B1141" s="115" t="s">
        <v>8939</v>
      </c>
      <c r="C1141" s="115" t="s">
        <v>9338</v>
      </c>
      <c r="D1141" s="109" t="s">
        <v>10218</v>
      </c>
      <c r="E1141" s="106" t="s">
        <v>10219</v>
      </c>
      <c r="F1141" s="109" t="s">
        <v>9496</v>
      </c>
      <c r="G1141" s="115" t="s">
        <v>9324</v>
      </c>
      <c r="H1141" s="115" t="s">
        <v>9323</v>
      </c>
      <c r="I1141" s="109" t="s">
        <v>10092</v>
      </c>
      <c r="J1141" s="239" t="s">
        <v>10093</v>
      </c>
      <c r="K1141" s="109" t="s">
        <v>9440</v>
      </c>
      <c r="L1141" s="109" t="s">
        <v>9496</v>
      </c>
    </row>
    <row r="1142" spans="1:12" s="58" customFormat="1" ht="14.85" customHeight="1" x14ac:dyDescent="0.25">
      <c r="A1142" s="108" t="s">
        <v>9308</v>
      </c>
      <c r="B1142" s="115" t="s">
        <v>8939</v>
      </c>
      <c r="C1142" s="115" t="s">
        <v>9338</v>
      </c>
      <c r="D1142" s="109" t="s">
        <v>10220</v>
      </c>
      <c r="E1142" s="106" t="s">
        <v>10221</v>
      </c>
      <c r="F1142" s="109" t="s">
        <v>9496</v>
      </c>
      <c r="G1142" s="115" t="s">
        <v>9324</v>
      </c>
      <c r="H1142" s="115" t="s">
        <v>9323</v>
      </c>
      <c r="I1142" s="109" t="s">
        <v>10090</v>
      </c>
      <c r="J1142" s="239" t="s">
        <v>10091</v>
      </c>
      <c r="K1142" s="109" t="s">
        <v>9440</v>
      </c>
      <c r="L1142" s="109" t="s">
        <v>9496</v>
      </c>
    </row>
    <row r="1143" spans="1:12" s="58" customFormat="1" ht="14.85" customHeight="1" x14ac:dyDescent="0.25">
      <c r="A1143" s="108" t="s">
        <v>9308</v>
      </c>
      <c r="B1143" s="115" t="s">
        <v>8939</v>
      </c>
      <c r="C1143" s="115" t="s">
        <v>9338</v>
      </c>
      <c r="D1143" s="109" t="s">
        <v>10220</v>
      </c>
      <c r="E1143" s="106" t="s">
        <v>10221</v>
      </c>
      <c r="F1143" s="109" t="s">
        <v>9496</v>
      </c>
      <c r="G1143" s="115" t="s">
        <v>9324</v>
      </c>
      <c r="H1143" s="115" t="s">
        <v>9323</v>
      </c>
      <c r="I1143" s="109" t="s">
        <v>10174</v>
      </c>
      <c r="J1143" s="239" t="s">
        <v>10175</v>
      </c>
      <c r="K1143" s="109" t="s">
        <v>9440</v>
      </c>
      <c r="L1143" s="109" t="s">
        <v>9496</v>
      </c>
    </row>
    <row r="1144" spans="1:12" s="58" customFormat="1" ht="14.85" customHeight="1" x14ac:dyDescent="0.25">
      <c r="A1144" s="108" t="s">
        <v>9308</v>
      </c>
      <c r="B1144" s="115" t="s">
        <v>8939</v>
      </c>
      <c r="C1144" s="115" t="s">
        <v>9338</v>
      </c>
      <c r="D1144" s="109" t="s">
        <v>10220</v>
      </c>
      <c r="E1144" s="106" t="s">
        <v>10221</v>
      </c>
      <c r="F1144" s="109" t="s">
        <v>9496</v>
      </c>
      <c r="G1144" s="115" t="s">
        <v>9324</v>
      </c>
      <c r="H1144" s="115" t="s">
        <v>9323</v>
      </c>
      <c r="I1144" s="109" t="s">
        <v>10092</v>
      </c>
      <c r="J1144" s="239" t="s">
        <v>10093</v>
      </c>
      <c r="K1144" s="109" t="s">
        <v>9440</v>
      </c>
      <c r="L1144" s="109" t="s">
        <v>9496</v>
      </c>
    </row>
    <row r="1145" spans="1:12" s="58" customFormat="1" ht="14.85" customHeight="1" x14ac:dyDescent="0.25">
      <c r="A1145" s="108" t="s">
        <v>9308</v>
      </c>
      <c r="B1145" s="115" t="s">
        <v>8939</v>
      </c>
      <c r="C1145" s="115" t="s">
        <v>9338</v>
      </c>
      <c r="D1145" s="109" t="s">
        <v>10222</v>
      </c>
      <c r="E1145" s="106" t="s">
        <v>10223</v>
      </c>
      <c r="F1145" s="109" t="s">
        <v>9496</v>
      </c>
      <c r="G1145" s="115" t="s">
        <v>9324</v>
      </c>
      <c r="H1145" s="115" t="s">
        <v>9323</v>
      </c>
      <c r="I1145" s="109" t="s">
        <v>10090</v>
      </c>
      <c r="J1145" s="239" t="s">
        <v>10091</v>
      </c>
      <c r="K1145" s="109" t="s">
        <v>9440</v>
      </c>
      <c r="L1145" s="109" t="s">
        <v>9496</v>
      </c>
    </row>
    <row r="1146" spans="1:12" s="58" customFormat="1" ht="14.85" customHeight="1" x14ac:dyDescent="0.25">
      <c r="A1146" s="108" t="s">
        <v>9308</v>
      </c>
      <c r="B1146" s="115" t="s">
        <v>8939</v>
      </c>
      <c r="C1146" s="115" t="s">
        <v>9338</v>
      </c>
      <c r="D1146" s="109" t="s">
        <v>10222</v>
      </c>
      <c r="E1146" s="106" t="s">
        <v>10223</v>
      </c>
      <c r="F1146" s="109" t="s">
        <v>9496</v>
      </c>
      <c r="G1146" s="115" t="s">
        <v>9324</v>
      </c>
      <c r="H1146" s="115" t="s">
        <v>9323</v>
      </c>
      <c r="I1146" s="109" t="s">
        <v>10172</v>
      </c>
      <c r="J1146" s="239" t="s">
        <v>10173</v>
      </c>
      <c r="K1146" s="109" t="s">
        <v>9440</v>
      </c>
      <c r="L1146" s="109" t="s">
        <v>9496</v>
      </c>
    </row>
    <row r="1147" spans="1:12" s="58" customFormat="1" ht="14.85" customHeight="1" x14ac:dyDescent="0.25">
      <c r="A1147" s="108" t="s">
        <v>9308</v>
      </c>
      <c r="B1147" s="115" t="s">
        <v>8939</v>
      </c>
      <c r="C1147" s="115" t="s">
        <v>9338</v>
      </c>
      <c r="D1147" s="109" t="s">
        <v>10222</v>
      </c>
      <c r="E1147" s="106" t="s">
        <v>10223</v>
      </c>
      <c r="F1147" s="109" t="s">
        <v>9496</v>
      </c>
      <c r="G1147" s="115" t="s">
        <v>9324</v>
      </c>
      <c r="H1147" s="115" t="s">
        <v>9323</v>
      </c>
      <c r="I1147" s="109" t="s">
        <v>10092</v>
      </c>
      <c r="J1147" s="239" t="s">
        <v>10093</v>
      </c>
      <c r="K1147" s="109" t="s">
        <v>9440</v>
      </c>
      <c r="L1147" s="109" t="s">
        <v>9496</v>
      </c>
    </row>
    <row r="1148" spans="1:12" s="58" customFormat="1" ht="14.85" customHeight="1" x14ac:dyDescent="0.25">
      <c r="A1148" s="108" t="s">
        <v>9308</v>
      </c>
      <c r="B1148" s="115" t="s">
        <v>8939</v>
      </c>
      <c r="C1148" s="115" t="s">
        <v>9338</v>
      </c>
      <c r="D1148" s="109" t="s">
        <v>10224</v>
      </c>
      <c r="E1148" s="106" t="s">
        <v>10225</v>
      </c>
      <c r="F1148" s="109" t="s">
        <v>9496</v>
      </c>
      <c r="G1148" s="115" t="s">
        <v>9324</v>
      </c>
      <c r="H1148" s="115" t="s">
        <v>9323</v>
      </c>
      <c r="I1148" s="109" t="s">
        <v>10226</v>
      </c>
      <c r="J1148" s="239" t="s">
        <v>10227</v>
      </c>
      <c r="K1148" s="109" t="s">
        <v>9440</v>
      </c>
      <c r="L1148" s="109" t="s">
        <v>9496</v>
      </c>
    </row>
    <row r="1149" spans="1:12" s="58" customFormat="1" ht="14.85" customHeight="1" x14ac:dyDescent="0.25">
      <c r="A1149" s="108" t="s">
        <v>9308</v>
      </c>
      <c r="B1149" s="115" t="s">
        <v>8939</v>
      </c>
      <c r="C1149" s="115" t="s">
        <v>9338</v>
      </c>
      <c r="D1149" s="109" t="s">
        <v>10224</v>
      </c>
      <c r="E1149" s="106" t="s">
        <v>10225</v>
      </c>
      <c r="F1149" s="109" t="s">
        <v>9496</v>
      </c>
      <c r="G1149" s="115" t="s">
        <v>9324</v>
      </c>
      <c r="H1149" s="115" t="s">
        <v>9323</v>
      </c>
      <c r="I1149" s="109" t="s">
        <v>10049</v>
      </c>
      <c r="J1149" s="239" t="s">
        <v>10050</v>
      </c>
      <c r="K1149" s="109" t="s">
        <v>9440</v>
      </c>
      <c r="L1149" s="109" t="s">
        <v>9496</v>
      </c>
    </row>
    <row r="1150" spans="1:12" s="58" customFormat="1" ht="14.85" customHeight="1" x14ac:dyDescent="0.25">
      <c r="A1150" s="108" t="s">
        <v>9308</v>
      </c>
      <c r="B1150" s="115" t="s">
        <v>8939</v>
      </c>
      <c r="C1150" s="115" t="s">
        <v>9338</v>
      </c>
      <c r="D1150" s="109" t="s">
        <v>10224</v>
      </c>
      <c r="E1150" s="106" t="s">
        <v>10225</v>
      </c>
      <c r="F1150" s="109" t="s">
        <v>9496</v>
      </c>
      <c r="G1150" s="115" t="s">
        <v>9324</v>
      </c>
      <c r="H1150" s="115" t="s">
        <v>9323</v>
      </c>
      <c r="I1150" s="109" t="s">
        <v>10051</v>
      </c>
      <c r="J1150" s="239" t="s">
        <v>10052</v>
      </c>
      <c r="K1150" s="109" t="s">
        <v>9440</v>
      </c>
      <c r="L1150" s="109" t="s">
        <v>9496</v>
      </c>
    </row>
    <row r="1151" spans="1:12" s="58" customFormat="1" ht="14.85" customHeight="1" x14ac:dyDescent="0.25">
      <c r="A1151" s="108" t="s">
        <v>9308</v>
      </c>
      <c r="B1151" s="115" t="s">
        <v>8939</v>
      </c>
      <c r="C1151" s="115" t="s">
        <v>9338</v>
      </c>
      <c r="D1151" s="109" t="s">
        <v>10224</v>
      </c>
      <c r="E1151" s="106" t="s">
        <v>10225</v>
      </c>
      <c r="F1151" s="109" t="s">
        <v>9496</v>
      </c>
      <c r="G1151" s="115" t="s">
        <v>9324</v>
      </c>
      <c r="H1151" s="115" t="s">
        <v>9323</v>
      </c>
      <c r="I1151" s="109" t="s">
        <v>10023</v>
      </c>
      <c r="J1151" s="239" t="s">
        <v>10024</v>
      </c>
      <c r="K1151" s="109" t="s">
        <v>9440</v>
      </c>
      <c r="L1151" s="109" t="s">
        <v>9496</v>
      </c>
    </row>
    <row r="1152" spans="1:12" s="58" customFormat="1" ht="14.85" customHeight="1" x14ac:dyDescent="0.25">
      <c r="A1152" s="108" t="s">
        <v>9308</v>
      </c>
      <c r="B1152" s="115" t="s">
        <v>8939</v>
      </c>
      <c r="C1152" s="115" t="s">
        <v>9338</v>
      </c>
      <c r="D1152" s="109" t="s">
        <v>10224</v>
      </c>
      <c r="E1152" s="106" t="s">
        <v>10225</v>
      </c>
      <c r="F1152" s="109" t="s">
        <v>9496</v>
      </c>
      <c r="G1152" s="115" t="s">
        <v>9324</v>
      </c>
      <c r="H1152" s="115" t="s">
        <v>9323</v>
      </c>
      <c r="I1152" s="109" t="s">
        <v>10053</v>
      </c>
      <c r="J1152" s="239" t="s">
        <v>10054</v>
      </c>
      <c r="K1152" s="109" t="s">
        <v>9440</v>
      </c>
      <c r="L1152" s="109" t="s">
        <v>9496</v>
      </c>
    </row>
    <row r="1153" spans="1:12" s="58" customFormat="1" ht="14.85" customHeight="1" x14ac:dyDescent="0.25">
      <c r="A1153" s="108" t="s">
        <v>9308</v>
      </c>
      <c r="B1153" s="115" t="s">
        <v>8939</v>
      </c>
      <c r="C1153" s="115" t="s">
        <v>9338</v>
      </c>
      <c r="D1153" s="109" t="s">
        <v>10224</v>
      </c>
      <c r="E1153" s="106" t="s">
        <v>10225</v>
      </c>
      <c r="F1153" s="109" t="s">
        <v>9496</v>
      </c>
      <c r="G1153" s="115" t="s">
        <v>9324</v>
      </c>
      <c r="H1153" s="115" t="s">
        <v>9323</v>
      </c>
      <c r="I1153" s="109" t="s">
        <v>10055</v>
      </c>
      <c r="J1153" s="239" t="s">
        <v>10056</v>
      </c>
      <c r="K1153" s="109" t="s">
        <v>9440</v>
      </c>
      <c r="L1153" s="109" t="s">
        <v>9496</v>
      </c>
    </row>
    <row r="1154" spans="1:12" s="58" customFormat="1" ht="14.85" customHeight="1" x14ac:dyDescent="0.25">
      <c r="A1154" s="108" t="s">
        <v>9308</v>
      </c>
      <c r="B1154" s="115" t="s">
        <v>8939</v>
      </c>
      <c r="C1154" s="115" t="s">
        <v>9338</v>
      </c>
      <c r="D1154" s="109" t="s">
        <v>10224</v>
      </c>
      <c r="E1154" s="106" t="s">
        <v>10225</v>
      </c>
      <c r="F1154" s="109" t="s">
        <v>9496</v>
      </c>
      <c r="G1154" s="115" t="s">
        <v>9324</v>
      </c>
      <c r="H1154" s="115" t="s">
        <v>9323</v>
      </c>
      <c r="I1154" s="109" t="s">
        <v>10059</v>
      </c>
      <c r="J1154" s="239" t="s">
        <v>10060</v>
      </c>
      <c r="K1154" s="109" t="s">
        <v>9440</v>
      </c>
      <c r="L1154" s="109" t="s">
        <v>9496</v>
      </c>
    </row>
    <row r="1155" spans="1:12" s="58" customFormat="1" ht="14.85" customHeight="1" x14ac:dyDescent="0.25">
      <c r="A1155" s="108" t="s">
        <v>9308</v>
      </c>
      <c r="B1155" s="115" t="s">
        <v>8939</v>
      </c>
      <c r="C1155" s="115" t="s">
        <v>9338</v>
      </c>
      <c r="D1155" s="109" t="s">
        <v>10224</v>
      </c>
      <c r="E1155" s="106" t="s">
        <v>10225</v>
      </c>
      <c r="F1155" s="109" t="s">
        <v>9496</v>
      </c>
      <c r="G1155" s="115" t="s">
        <v>9324</v>
      </c>
      <c r="H1155" s="115" t="s">
        <v>9323</v>
      </c>
      <c r="I1155" s="109" t="s">
        <v>10061</v>
      </c>
      <c r="J1155" s="239" t="s">
        <v>10062</v>
      </c>
      <c r="K1155" s="109" t="s">
        <v>9440</v>
      </c>
      <c r="L1155" s="109" t="s">
        <v>9496</v>
      </c>
    </row>
    <row r="1156" spans="1:12" s="58" customFormat="1" ht="14.85" customHeight="1" x14ac:dyDescent="0.25">
      <c r="A1156" s="108" t="s">
        <v>9308</v>
      </c>
      <c r="B1156" s="115" t="s">
        <v>8939</v>
      </c>
      <c r="C1156" s="115" t="s">
        <v>9338</v>
      </c>
      <c r="D1156" s="109" t="s">
        <v>10224</v>
      </c>
      <c r="E1156" s="106" t="s">
        <v>10225</v>
      </c>
      <c r="F1156" s="109" t="s">
        <v>9496</v>
      </c>
      <c r="G1156" s="115" t="s">
        <v>9324</v>
      </c>
      <c r="H1156" s="115" t="s">
        <v>9323</v>
      </c>
      <c r="I1156" s="109" t="s">
        <v>10027</v>
      </c>
      <c r="J1156" s="239" t="s">
        <v>10028</v>
      </c>
      <c r="K1156" s="109" t="s">
        <v>9440</v>
      </c>
      <c r="L1156" s="109" t="s">
        <v>9496</v>
      </c>
    </row>
    <row r="1157" spans="1:12" s="58" customFormat="1" ht="14.85" customHeight="1" x14ac:dyDescent="0.25">
      <c r="A1157" s="108" t="s">
        <v>9308</v>
      </c>
      <c r="B1157" s="115" t="s">
        <v>8939</v>
      </c>
      <c r="C1157" s="115" t="s">
        <v>9338</v>
      </c>
      <c r="D1157" s="109" t="s">
        <v>10228</v>
      </c>
      <c r="E1157" s="106" t="s">
        <v>10229</v>
      </c>
      <c r="F1157" s="109" t="s">
        <v>9496</v>
      </c>
      <c r="G1157" s="115" t="s">
        <v>9324</v>
      </c>
      <c r="H1157" s="115" t="s">
        <v>9323</v>
      </c>
      <c r="I1157" s="109" t="s">
        <v>10023</v>
      </c>
      <c r="J1157" s="239" t="s">
        <v>10024</v>
      </c>
      <c r="K1157" s="109" t="s">
        <v>9440</v>
      </c>
      <c r="L1157" s="109" t="s">
        <v>9496</v>
      </c>
    </row>
    <row r="1158" spans="1:12" s="58" customFormat="1" ht="14.85" customHeight="1" x14ac:dyDescent="0.25">
      <c r="A1158" s="108" t="s">
        <v>9308</v>
      </c>
      <c r="B1158" s="115" t="s">
        <v>8939</v>
      </c>
      <c r="C1158" s="115" t="s">
        <v>9338</v>
      </c>
      <c r="D1158" s="109" t="s">
        <v>10228</v>
      </c>
      <c r="E1158" s="106" t="s">
        <v>10229</v>
      </c>
      <c r="F1158" s="109" t="s">
        <v>9496</v>
      </c>
      <c r="G1158" s="115" t="s">
        <v>9324</v>
      </c>
      <c r="H1158" s="115" t="s">
        <v>9323</v>
      </c>
      <c r="I1158" s="109" t="s">
        <v>10061</v>
      </c>
      <c r="J1158" s="239" t="s">
        <v>10062</v>
      </c>
      <c r="K1158" s="109" t="s">
        <v>9440</v>
      </c>
      <c r="L1158" s="109" t="s">
        <v>9496</v>
      </c>
    </row>
    <row r="1159" spans="1:12" s="58" customFormat="1" ht="14.85" customHeight="1" x14ac:dyDescent="0.25">
      <c r="A1159" s="108" t="s">
        <v>9308</v>
      </c>
      <c r="B1159" s="115" t="s">
        <v>8939</v>
      </c>
      <c r="C1159" s="115" t="s">
        <v>9338</v>
      </c>
      <c r="D1159" s="109" t="s">
        <v>10228</v>
      </c>
      <c r="E1159" s="106" t="s">
        <v>10229</v>
      </c>
      <c r="F1159" s="109" t="s">
        <v>9496</v>
      </c>
      <c r="G1159" s="115" t="s">
        <v>9324</v>
      </c>
      <c r="H1159" s="115" t="s">
        <v>9323</v>
      </c>
      <c r="I1159" s="109" t="s">
        <v>10027</v>
      </c>
      <c r="J1159" s="239" t="s">
        <v>10028</v>
      </c>
      <c r="K1159" s="109" t="s">
        <v>9440</v>
      </c>
      <c r="L1159" s="109" t="s">
        <v>9496</v>
      </c>
    </row>
    <row r="1160" spans="1:12" s="58" customFormat="1" ht="14.85" customHeight="1" x14ac:dyDescent="0.25">
      <c r="A1160" s="108" t="s">
        <v>9308</v>
      </c>
      <c r="B1160" s="115" t="s">
        <v>8939</v>
      </c>
      <c r="C1160" s="115" t="s">
        <v>9338</v>
      </c>
      <c r="D1160" s="109" t="s">
        <v>10230</v>
      </c>
      <c r="E1160" s="106" t="s">
        <v>10231</v>
      </c>
      <c r="F1160" s="109" t="s">
        <v>9496</v>
      </c>
      <c r="G1160" s="115" t="s">
        <v>9324</v>
      </c>
      <c r="H1160" s="115" t="s">
        <v>9324</v>
      </c>
      <c r="I1160" s="109" t="s">
        <v>10051</v>
      </c>
      <c r="J1160" s="239" t="s">
        <v>10052</v>
      </c>
      <c r="K1160" s="109" t="s">
        <v>9440</v>
      </c>
      <c r="L1160" s="109" t="s">
        <v>9496</v>
      </c>
    </row>
    <row r="1161" spans="1:12" s="103" customFormat="1" ht="14.85" customHeight="1" x14ac:dyDescent="0.25">
      <c r="A1161" s="108" t="s">
        <v>9308</v>
      </c>
      <c r="B1161" s="115" t="s">
        <v>8939</v>
      </c>
      <c r="C1161" s="115" t="s">
        <v>9338</v>
      </c>
      <c r="D1161" s="109" t="s">
        <v>10230</v>
      </c>
      <c r="E1161" s="106" t="s">
        <v>10231</v>
      </c>
      <c r="F1161" s="109" t="s">
        <v>9496</v>
      </c>
      <c r="G1161" s="115" t="s">
        <v>9324</v>
      </c>
      <c r="H1161" s="115" t="s">
        <v>9324</v>
      </c>
      <c r="I1161" s="109" t="s">
        <v>10023</v>
      </c>
      <c r="J1161" s="239" t="s">
        <v>10024</v>
      </c>
      <c r="K1161" s="109" t="s">
        <v>9440</v>
      </c>
      <c r="L1161" s="109" t="s">
        <v>9496</v>
      </c>
    </row>
    <row r="1162" spans="1:12" s="103" customFormat="1" ht="14.85" customHeight="1" x14ac:dyDescent="0.25">
      <c r="A1162" s="108" t="s">
        <v>9308</v>
      </c>
      <c r="B1162" s="115" t="s">
        <v>8939</v>
      </c>
      <c r="C1162" s="115" t="s">
        <v>9338</v>
      </c>
      <c r="D1162" s="109" t="s">
        <v>10230</v>
      </c>
      <c r="E1162" s="106" t="s">
        <v>10231</v>
      </c>
      <c r="F1162" s="109" t="s">
        <v>9496</v>
      </c>
      <c r="G1162" s="115" t="s">
        <v>9324</v>
      </c>
      <c r="H1162" s="115" t="s">
        <v>9324</v>
      </c>
      <c r="I1162" s="109" t="s">
        <v>10059</v>
      </c>
      <c r="J1162" s="239" t="s">
        <v>10060</v>
      </c>
      <c r="K1162" s="109" t="s">
        <v>9440</v>
      </c>
      <c r="L1162" s="109" t="s">
        <v>9496</v>
      </c>
    </row>
    <row r="1163" spans="1:12" s="58" customFormat="1" ht="14.85" customHeight="1" x14ac:dyDescent="0.25">
      <c r="A1163" s="108" t="s">
        <v>9308</v>
      </c>
      <c r="B1163" s="115" t="s">
        <v>8939</v>
      </c>
      <c r="C1163" s="115" t="s">
        <v>9338</v>
      </c>
      <c r="D1163" s="109" t="s">
        <v>10230</v>
      </c>
      <c r="E1163" s="106" t="s">
        <v>10231</v>
      </c>
      <c r="F1163" s="109" t="s">
        <v>9496</v>
      </c>
      <c r="G1163" s="115" t="s">
        <v>9324</v>
      </c>
      <c r="H1163" s="115" t="s">
        <v>9324</v>
      </c>
      <c r="I1163" s="109" t="s">
        <v>10027</v>
      </c>
      <c r="J1163" s="239" t="s">
        <v>10028</v>
      </c>
      <c r="K1163" s="109" t="s">
        <v>9440</v>
      </c>
      <c r="L1163" s="109" t="s">
        <v>9496</v>
      </c>
    </row>
    <row r="1164" spans="1:12" s="58" customFormat="1" ht="14.85" customHeight="1" x14ac:dyDescent="0.25">
      <c r="A1164" s="108" t="s">
        <v>9308</v>
      </c>
      <c r="B1164" s="115" t="s">
        <v>8939</v>
      </c>
      <c r="C1164" s="115" t="s">
        <v>9338</v>
      </c>
      <c r="D1164" s="109" t="s">
        <v>10232</v>
      </c>
      <c r="E1164" s="106" t="s">
        <v>10233</v>
      </c>
      <c r="F1164" s="109" t="s">
        <v>9496</v>
      </c>
      <c r="G1164" s="115" t="s">
        <v>9324</v>
      </c>
      <c r="H1164" s="115" t="s">
        <v>9323</v>
      </c>
      <c r="I1164" s="109" t="s">
        <v>10226</v>
      </c>
      <c r="J1164" s="239" t="s">
        <v>10227</v>
      </c>
      <c r="K1164" s="109" t="s">
        <v>9440</v>
      </c>
      <c r="L1164" s="109" t="s">
        <v>9496</v>
      </c>
    </row>
    <row r="1165" spans="1:12" s="58" customFormat="1" ht="14.85" customHeight="1" x14ac:dyDescent="0.25">
      <c r="A1165" s="108" t="s">
        <v>9308</v>
      </c>
      <c r="B1165" s="115" t="s">
        <v>8939</v>
      </c>
      <c r="C1165" s="115" t="s">
        <v>9338</v>
      </c>
      <c r="D1165" s="109" t="s">
        <v>10232</v>
      </c>
      <c r="E1165" s="106" t="s">
        <v>10233</v>
      </c>
      <c r="F1165" s="109" t="s">
        <v>9496</v>
      </c>
      <c r="G1165" s="115" t="s">
        <v>9324</v>
      </c>
      <c r="H1165" s="115" t="s">
        <v>9323</v>
      </c>
      <c r="I1165" s="109" t="s">
        <v>10049</v>
      </c>
      <c r="J1165" s="239" t="s">
        <v>10050</v>
      </c>
      <c r="K1165" s="109" t="s">
        <v>9440</v>
      </c>
      <c r="L1165" s="109" t="s">
        <v>9496</v>
      </c>
    </row>
    <row r="1166" spans="1:12" s="58" customFormat="1" ht="14.85" customHeight="1" x14ac:dyDescent="0.25">
      <c r="A1166" s="108" t="s">
        <v>9308</v>
      </c>
      <c r="B1166" s="115" t="s">
        <v>8939</v>
      </c>
      <c r="C1166" s="115" t="s">
        <v>9338</v>
      </c>
      <c r="D1166" s="109" t="s">
        <v>10232</v>
      </c>
      <c r="E1166" s="106" t="s">
        <v>10233</v>
      </c>
      <c r="F1166" s="109" t="s">
        <v>9496</v>
      </c>
      <c r="G1166" s="115" t="s">
        <v>9324</v>
      </c>
      <c r="H1166" s="115" t="s">
        <v>9323</v>
      </c>
      <c r="I1166" s="109" t="s">
        <v>10051</v>
      </c>
      <c r="J1166" s="239" t="s">
        <v>10052</v>
      </c>
      <c r="K1166" s="109" t="s">
        <v>9440</v>
      </c>
      <c r="L1166" s="109" t="s">
        <v>9496</v>
      </c>
    </row>
    <row r="1167" spans="1:12" s="58" customFormat="1" ht="14.85" customHeight="1" x14ac:dyDescent="0.25">
      <c r="A1167" s="108" t="s">
        <v>9308</v>
      </c>
      <c r="B1167" s="115" t="s">
        <v>8939</v>
      </c>
      <c r="C1167" s="115" t="s">
        <v>9338</v>
      </c>
      <c r="D1167" s="109" t="s">
        <v>10232</v>
      </c>
      <c r="E1167" s="106" t="s">
        <v>10233</v>
      </c>
      <c r="F1167" s="109" t="s">
        <v>9496</v>
      </c>
      <c r="G1167" s="115" t="s">
        <v>9324</v>
      </c>
      <c r="H1167" s="115" t="s">
        <v>9323</v>
      </c>
      <c r="I1167" s="109" t="s">
        <v>10023</v>
      </c>
      <c r="J1167" s="239" t="s">
        <v>10024</v>
      </c>
      <c r="K1167" s="109" t="s">
        <v>9440</v>
      </c>
      <c r="L1167" s="109" t="s">
        <v>9496</v>
      </c>
    </row>
    <row r="1168" spans="1:12" s="58" customFormat="1" ht="14.85" customHeight="1" x14ac:dyDescent="0.25">
      <c r="A1168" s="108" t="s">
        <v>9308</v>
      </c>
      <c r="B1168" s="115" t="s">
        <v>8939</v>
      </c>
      <c r="C1168" s="115" t="s">
        <v>9338</v>
      </c>
      <c r="D1168" s="109" t="s">
        <v>10232</v>
      </c>
      <c r="E1168" s="106" t="s">
        <v>10233</v>
      </c>
      <c r="F1168" s="109" t="s">
        <v>9496</v>
      </c>
      <c r="G1168" s="115" t="s">
        <v>9324</v>
      </c>
      <c r="H1168" s="115" t="s">
        <v>9323</v>
      </c>
      <c r="I1168" s="109" t="s">
        <v>10053</v>
      </c>
      <c r="J1168" s="239" t="s">
        <v>10054</v>
      </c>
      <c r="K1168" s="109" t="s">
        <v>9440</v>
      </c>
      <c r="L1168" s="109" t="s">
        <v>9496</v>
      </c>
    </row>
    <row r="1169" spans="1:12" s="58" customFormat="1" ht="14.85" customHeight="1" x14ac:dyDescent="0.25">
      <c r="A1169" s="108" t="s">
        <v>9308</v>
      </c>
      <c r="B1169" s="115" t="s">
        <v>8939</v>
      </c>
      <c r="C1169" s="115" t="s">
        <v>9338</v>
      </c>
      <c r="D1169" s="109" t="s">
        <v>10232</v>
      </c>
      <c r="E1169" s="106" t="s">
        <v>10233</v>
      </c>
      <c r="F1169" s="109" t="s">
        <v>9496</v>
      </c>
      <c r="G1169" s="115" t="s">
        <v>9324</v>
      </c>
      <c r="H1169" s="115" t="s">
        <v>9323</v>
      </c>
      <c r="I1169" s="109" t="s">
        <v>10057</v>
      </c>
      <c r="J1169" s="239" t="s">
        <v>10058</v>
      </c>
      <c r="K1169" s="109" t="s">
        <v>9440</v>
      </c>
      <c r="L1169" s="109" t="s">
        <v>9496</v>
      </c>
    </row>
    <row r="1170" spans="1:12" s="58" customFormat="1" ht="14.85" customHeight="1" x14ac:dyDescent="0.25">
      <c r="A1170" s="108" t="s">
        <v>9308</v>
      </c>
      <c r="B1170" s="115" t="s">
        <v>8939</v>
      </c>
      <c r="C1170" s="115" t="s">
        <v>9338</v>
      </c>
      <c r="D1170" s="109" t="s">
        <v>10232</v>
      </c>
      <c r="E1170" s="106" t="s">
        <v>10233</v>
      </c>
      <c r="F1170" s="109" t="s">
        <v>9496</v>
      </c>
      <c r="G1170" s="115" t="s">
        <v>9324</v>
      </c>
      <c r="H1170" s="115" t="s">
        <v>9323</v>
      </c>
      <c r="I1170" s="109" t="s">
        <v>10059</v>
      </c>
      <c r="J1170" s="239" t="s">
        <v>10060</v>
      </c>
      <c r="K1170" s="109" t="s">
        <v>9440</v>
      </c>
      <c r="L1170" s="109" t="s">
        <v>9496</v>
      </c>
    </row>
    <row r="1171" spans="1:12" s="58" customFormat="1" ht="14.85" customHeight="1" x14ac:dyDescent="0.25">
      <c r="A1171" s="108" t="s">
        <v>9308</v>
      </c>
      <c r="B1171" s="115" t="s">
        <v>8939</v>
      </c>
      <c r="C1171" s="115" t="s">
        <v>9338</v>
      </c>
      <c r="D1171" s="109" t="s">
        <v>10232</v>
      </c>
      <c r="E1171" s="106" t="s">
        <v>10233</v>
      </c>
      <c r="F1171" s="109" t="s">
        <v>9496</v>
      </c>
      <c r="G1171" s="115" t="s">
        <v>9324</v>
      </c>
      <c r="H1171" s="115" t="s">
        <v>9323</v>
      </c>
      <c r="I1171" s="109" t="s">
        <v>10061</v>
      </c>
      <c r="J1171" s="239" t="s">
        <v>10062</v>
      </c>
      <c r="K1171" s="109" t="s">
        <v>9440</v>
      </c>
      <c r="L1171" s="109" t="s">
        <v>9496</v>
      </c>
    </row>
    <row r="1172" spans="1:12" s="58" customFormat="1" ht="14.85" customHeight="1" x14ac:dyDescent="0.25">
      <c r="A1172" s="108" t="s">
        <v>9308</v>
      </c>
      <c r="B1172" s="115" t="s">
        <v>8939</v>
      </c>
      <c r="C1172" s="115" t="s">
        <v>9338</v>
      </c>
      <c r="D1172" s="109" t="s">
        <v>10232</v>
      </c>
      <c r="E1172" s="106" t="s">
        <v>10233</v>
      </c>
      <c r="F1172" s="109" t="s">
        <v>9496</v>
      </c>
      <c r="G1172" s="115" t="s">
        <v>9324</v>
      </c>
      <c r="H1172" s="115" t="s">
        <v>9323</v>
      </c>
      <c r="I1172" s="109" t="s">
        <v>10027</v>
      </c>
      <c r="J1172" s="239" t="s">
        <v>10028</v>
      </c>
      <c r="K1172" s="109" t="s">
        <v>9440</v>
      </c>
      <c r="L1172" s="109" t="s">
        <v>9496</v>
      </c>
    </row>
    <row r="1173" spans="1:12" s="58" customFormat="1" ht="14.85" customHeight="1" x14ac:dyDescent="0.25">
      <c r="A1173" s="108" t="s">
        <v>9308</v>
      </c>
      <c r="B1173" s="115" t="s">
        <v>8939</v>
      </c>
      <c r="C1173" s="115" t="s">
        <v>9338</v>
      </c>
      <c r="D1173" s="109" t="s">
        <v>10234</v>
      </c>
      <c r="E1173" s="106" t="s">
        <v>10235</v>
      </c>
      <c r="F1173" s="109" t="s">
        <v>9496</v>
      </c>
      <c r="G1173" s="115" t="s">
        <v>9324</v>
      </c>
      <c r="H1173" s="115" t="s">
        <v>9323</v>
      </c>
      <c r="I1173" s="109" t="s">
        <v>10090</v>
      </c>
      <c r="J1173" s="239" t="s">
        <v>10091</v>
      </c>
      <c r="K1173" s="109" t="s">
        <v>9440</v>
      </c>
      <c r="L1173" s="109" t="s">
        <v>9496</v>
      </c>
    </row>
    <row r="1174" spans="1:12" s="58" customFormat="1" ht="14.85" customHeight="1" x14ac:dyDescent="0.25">
      <c r="A1174" s="108" t="s">
        <v>9308</v>
      </c>
      <c r="B1174" s="115" t="s">
        <v>8939</v>
      </c>
      <c r="C1174" s="115" t="s">
        <v>9338</v>
      </c>
      <c r="D1174" s="109" t="s">
        <v>10234</v>
      </c>
      <c r="E1174" s="106" t="s">
        <v>10235</v>
      </c>
      <c r="F1174" s="109" t="s">
        <v>9496</v>
      </c>
      <c r="G1174" s="115" t="s">
        <v>9324</v>
      </c>
      <c r="H1174" s="115" t="s">
        <v>9323</v>
      </c>
      <c r="I1174" s="109" t="s">
        <v>10051</v>
      </c>
      <c r="J1174" s="239" t="s">
        <v>10052</v>
      </c>
      <c r="K1174" s="109" t="s">
        <v>9440</v>
      </c>
      <c r="L1174" s="109" t="s">
        <v>9496</v>
      </c>
    </row>
    <row r="1175" spans="1:12" s="58" customFormat="1" ht="14.85" customHeight="1" x14ac:dyDescent="0.25">
      <c r="A1175" s="108" t="s">
        <v>9308</v>
      </c>
      <c r="B1175" s="115" t="s">
        <v>8939</v>
      </c>
      <c r="C1175" s="115" t="s">
        <v>9338</v>
      </c>
      <c r="D1175" s="109" t="s">
        <v>10234</v>
      </c>
      <c r="E1175" s="106" t="s">
        <v>10235</v>
      </c>
      <c r="F1175" s="109" t="s">
        <v>9496</v>
      </c>
      <c r="G1175" s="115" t="s">
        <v>9324</v>
      </c>
      <c r="H1175" s="115" t="s">
        <v>9323</v>
      </c>
      <c r="I1175" s="109" t="s">
        <v>10023</v>
      </c>
      <c r="J1175" s="239" t="s">
        <v>10024</v>
      </c>
      <c r="K1175" s="109" t="s">
        <v>9440</v>
      </c>
      <c r="L1175" s="109" t="s">
        <v>9496</v>
      </c>
    </row>
    <row r="1176" spans="1:12" s="58" customFormat="1" ht="14.85" customHeight="1" x14ac:dyDescent="0.25">
      <c r="A1176" s="108" t="s">
        <v>9308</v>
      </c>
      <c r="B1176" s="115" t="s">
        <v>8939</v>
      </c>
      <c r="C1176" s="115" t="s">
        <v>9338</v>
      </c>
      <c r="D1176" s="109" t="s">
        <v>10234</v>
      </c>
      <c r="E1176" s="106" t="s">
        <v>10235</v>
      </c>
      <c r="F1176" s="109" t="s">
        <v>9496</v>
      </c>
      <c r="G1176" s="115" t="s">
        <v>9324</v>
      </c>
      <c r="H1176" s="115" t="s">
        <v>9323</v>
      </c>
      <c r="I1176" s="109" t="s">
        <v>10092</v>
      </c>
      <c r="J1176" s="239" t="s">
        <v>10093</v>
      </c>
      <c r="K1176" s="109" t="s">
        <v>9440</v>
      </c>
      <c r="L1176" s="109" t="s">
        <v>9496</v>
      </c>
    </row>
    <row r="1177" spans="1:12" s="58" customFormat="1" ht="14.85" customHeight="1" x14ac:dyDescent="0.25">
      <c r="A1177" s="108" t="s">
        <v>9308</v>
      </c>
      <c r="B1177" s="115" t="s">
        <v>8939</v>
      </c>
      <c r="C1177" s="115" t="s">
        <v>9338</v>
      </c>
      <c r="D1177" s="109" t="s">
        <v>10234</v>
      </c>
      <c r="E1177" s="106" t="s">
        <v>10235</v>
      </c>
      <c r="F1177" s="109" t="s">
        <v>9496</v>
      </c>
      <c r="G1177" s="115" t="s">
        <v>9324</v>
      </c>
      <c r="H1177" s="115" t="s">
        <v>9323</v>
      </c>
      <c r="I1177" s="109" t="s">
        <v>10061</v>
      </c>
      <c r="J1177" s="239" t="s">
        <v>10062</v>
      </c>
      <c r="K1177" s="109" t="s">
        <v>9440</v>
      </c>
      <c r="L1177" s="109" t="s">
        <v>9496</v>
      </c>
    </row>
    <row r="1178" spans="1:12" s="58" customFormat="1" ht="14.85" customHeight="1" x14ac:dyDescent="0.25">
      <c r="A1178" s="108" t="s">
        <v>9308</v>
      </c>
      <c r="B1178" s="115" t="s">
        <v>8939</v>
      </c>
      <c r="C1178" s="115" t="s">
        <v>9338</v>
      </c>
      <c r="D1178" s="109" t="s">
        <v>10234</v>
      </c>
      <c r="E1178" s="106" t="s">
        <v>10235</v>
      </c>
      <c r="F1178" s="109" t="s">
        <v>9496</v>
      </c>
      <c r="G1178" s="115" t="s">
        <v>9324</v>
      </c>
      <c r="H1178" s="115" t="s">
        <v>9323</v>
      </c>
      <c r="I1178" s="109" t="s">
        <v>10027</v>
      </c>
      <c r="J1178" s="239" t="s">
        <v>10028</v>
      </c>
      <c r="K1178" s="109" t="s">
        <v>9440</v>
      </c>
      <c r="L1178" s="109" t="s">
        <v>9496</v>
      </c>
    </row>
    <row r="1179" spans="1:12" s="58" customFormat="1" ht="14.85" customHeight="1" x14ac:dyDescent="0.25">
      <c r="A1179" s="108" t="s">
        <v>9308</v>
      </c>
      <c r="B1179" s="115" t="s">
        <v>8939</v>
      </c>
      <c r="C1179" s="115" t="s">
        <v>9338</v>
      </c>
      <c r="D1179" s="109" t="s">
        <v>10236</v>
      </c>
      <c r="E1179" s="106" t="s">
        <v>10237</v>
      </c>
      <c r="F1179" s="109" t="s">
        <v>9496</v>
      </c>
      <c r="G1179" s="115" t="s">
        <v>9324</v>
      </c>
      <c r="H1179" s="115" t="s">
        <v>9324</v>
      </c>
      <c r="I1179" s="109" t="s">
        <v>10023</v>
      </c>
      <c r="J1179" s="239" t="s">
        <v>10024</v>
      </c>
      <c r="K1179" s="109" t="s">
        <v>9440</v>
      </c>
      <c r="L1179" s="109" t="s">
        <v>9496</v>
      </c>
    </row>
    <row r="1180" spans="1:12" s="58" customFormat="1" ht="14.85" customHeight="1" x14ac:dyDescent="0.25">
      <c r="A1180" s="108" t="s">
        <v>9308</v>
      </c>
      <c r="B1180" s="115" t="s">
        <v>8939</v>
      </c>
      <c r="C1180" s="115" t="s">
        <v>9338</v>
      </c>
      <c r="D1180" s="109" t="s">
        <v>10236</v>
      </c>
      <c r="E1180" s="106" t="s">
        <v>10237</v>
      </c>
      <c r="F1180" s="109" t="s">
        <v>9496</v>
      </c>
      <c r="G1180" s="115" t="s">
        <v>9324</v>
      </c>
      <c r="H1180" s="115" t="s">
        <v>9324</v>
      </c>
      <c r="I1180" s="109" t="s">
        <v>10053</v>
      </c>
      <c r="J1180" s="239" t="s">
        <v>10054</v>
      </c>
      <c r="K1180" s="109" t="s">
        <v>9440</v>
      </c>
      <c r="L1180" s="109" t="s">
        <v>9496</v>
      </c>
    </row>
    <row r="1181" spans="1:12" s="58" customFormat="1" ht="14.85" customHeight="1" x14ac:dyDescent="0.25">
      <c r="A1181" s="108" t="s">
        <v>9308</v>
      </c>
      <c r="B1181" s="115" t="s">
        <v>8939</v>
      </c>
      <c r="C1181" s="115" t="s">
        <v>9338</v>
      </c>
      <c r="D1181" s="109" t="s">
        <v>10236</v>
      </c>
      <c r="E1181" s="106" t="s">
        <v>10237</v>
      </c>
      <c r="F1181" s="109" t="s">
        <v>9496</v>
      </c>
      <c r="G1181" s="115" t="s">
        <v>9324</v>
      </c>
      <c r="H1181" s="115" t="s">
        <v>9324</v>
      </c>
      <c r="I1181" s="109" t="s">
        <v>10061</v>
      </c>
      <c r="J1181" s="239" t="s">
        <v>10062</v>
      </c>
      <c r="K1181" s="109" t="s">
        <v>9440</v>
      </c>
      <c r="L1181" s="109" t="s">
        <v>9496</v>
      </c>
    </row>
    <row r="1182" spans="1:12" s="58" customFormat="1" ht="14.85" customHeight="1" x14ac:dyDescent="0.25">
      <c r="A1182" s="108" t="s">
        <v>9308</v>
      </c>
      <c r="B1182" s="115" t="s">
        <v>8939</v>
      </c>
      <c r="C1182" s="115" t="s">
        <v>9338</v>
      </c>
      <c r="D1182" s="109" t="s">
        <v>10236</v>
      </c>
      <c r="E1182" s="106" t="s">
        <v>10237</v>
      </c>
      <c r="F1182" s="109" t="s">
        <v>9496</v>
      </c>
      <c r="G1182" s="115" t="s">
        <v>9324</v>
      </c>
      <c r="H1182" s="115" t="s">
        <v>9324</v>
      </c>
      <c r="I1182" s="109" t="s">
        <v>10027</v>
      </c>
      <c r="J1182" s="239" t="s">
        <v>10028</v>
      </c>
      <c r="K1182" s="109" t="s">
        <v>9440</v>
      </c>
      <c r="L1182" s="109" t="s">
        <v>9496</v>
      </c>
    </row>
    <row r="1183" spans="1:12" s="58" customFormat="1" ht="14.85" customHeight="1" x14ac:dyDescent="0.25">
      <c r="A1183" s="108" t="s">
        <v>9308</v>
      </c>
      <c r="B1183" s="115" t="s">
        <v>8939</v>
      </c>
      <c r="C1183" s="115" t="s">
        <v>9338</v>
      </c>
      <c r="D1183" s="109" t="s">
        <v>10238</v>
      </c>
      <c r="E1183" s="106" t="s">
        <v>10239</v>
      </c>
      <c r="F1183" s="109" t="s">
        <v>9496</v>
      </c>
      <c r="G1183" s="115" t="s">
        <v>9324</v>
      </c>
      <c r="H1183" s="115" t="s">
        <v>9323</v>
      </c>
      <c r="I1183" s="109" t="s">
        <v>10049</v>
      </c>
      <c r="J1183" s="239" t="s">
        <v>10050</v>
      </c>
      <c r="K1183" s="109" t="s">
        <v>9440</v>
      </c>
      <c r="L1183" s="109" t="s">
        <v>9496</v>
      </c>
    </row>
    <row r="1184" spans="1:12" s="58" customFormat="1" ht="14.85" customHeight="1" x14ac:dyDescent="0.25">
      <c r="A1184" s="108" t="s">
        <v>9308</v>
      </c>
      <c r="B1184" s="115" t="s">
        <v>8939</v>
      </c>
      <c r="C1184" s="115" t="s">
        <v>9338</v>
      </c>
      <c r="D1184" s="109" t="s">
        <v>10238</v>
      </c>
      <c r="E1184" s="106" t="s">
        <v>10239</v>
      </c>
      <c r="F1184" s="109" t="s">
        <v>9496</v>
      </c>
      <c r="G1184" s="115" t="s">
        <v>9324</v>
      </c>
      <c r="H1184" s="115" t="s">
        <v>9323</v>
      </c>
      <c r="I1184" s="109" t="s">
        <v>10051</v>
      </c>
      <c r="J1184" s="239" t="s">
        <v>10052</v>
      </c>
      <c r="K1184" s="109" t="s">
        <v>9440</v>
      </c>
      <c r="L1184" s="109" t="s">
        <v>9496</v>
      </c>
    </row>
    <row r="1185" spans="1:12" s="58" customFormat="1" ht="14.85" customHeight="1" x14ac:dyDescent="0.25">
      <c r="A1185" s="108" t="s">
        <v>9308</v>
      </c>
      <c r="B1185" s="115" t="s">
        <v>8939</v>
      </c>
      <c r="C1185" s="115" t="s">
        <v>9338</v>
      </c>
      <c r="D1185" s="109" t="s">
        <v>10238</v>
      </c>
      <c r="E1185" s="106" t="s">
        <v>10239</v>
      </c>
      <c r="F1185" s="109" t="s">
        <v>9496</v>
      </c>
      <c r="G1185" s="115" t="s">
        <v>9324</v>
      </c>
      <c r="H1185" s="115" t="s">
        <v>9323</v>
      </c>
      <c r="I1185" s="109" t="s">
        <v>10023</v>
      </c>
      <c r="J1185" s="239" t="s">
        <v>10024</v>
      </c>
      <c r="K1185" s="109" t="s">
        <v>9440</v>
      </c>
      <c r="L1185" s="109" t="s">
        <v>9496</v>
      </c>
    </row>
    <row r="1186" spans="1:12" s="58" customFormat="1" ht="14.85" customHeight="1" x14ac:dyDescent="0.25">
      <c r="A1186" s="108" t="s">
        <v>9308</v>
      </c>
      <c r="B1186" s="115" t="s">
        <v>8939</v>
      </c>
      <c r="C1186" s="115" t="s">
        <v>9338</v>
      </c>
      <c r="D1186" s="109" t="s">
        <v>10238</v>
      </c>
      <c r="E1186" s="106" t="s">
        <v>10239</v>
      </c>
      <c r="F1186" s="109" t="s">
        <v>9496</v>
      </c>
      <c r="G1186" s="115" t="s">
        <v>9324</v>
      </c>
      <c r="H1186" s="115" t="s">
        <v>9323</v>
      </c>
      <c r="I1186" s="109" t="s">
        <v>10053</v>
      </c>
      <c r="J1186" s="239" t="s">
        <v>10054</v>
      </c>
      <c r="K1186" s="109" t="s">
        <v>9440</v>
      </c>
      <c r="L1186" s="109" t="s">
        <v>9496</v>
      </c>
    </row>
    <row r="1187" spans="1:12" s="58" customFormat="1" ht="14.85" customHeight="1" x14ac:dyDescent="0.25">
      <c r="A1187" s="108" t="s">
        <v>9308</v>
      </c>
      <c r="B1187" s="115" t="s">
        <v>8939</v>
      </c>
      <c r="C1187" s="115" t="s">
        <v>9338</v>
      </c>
      <c r="D1187" s="109" t="s">
        <v>10238</v>
      </c>
      <c r="E1187" s="106" t="s">
        <v>10239</v>
      </c>
      <c r="F1187" s="109" t="s">
        <v>9496</v>
      </c>
      <c r="G1187" s="115" t="s">
        <v>9324</v>
      </c>
      <c r="H1187" s="115" t="s">
        <v>9323</v>
      </c>
      <c r="I1187" s="109" t="s">
        <v>10061</v>
      </c>
      <c r="J1187" s="239" t="s">
        <v>10062</v>
      </c>
      <c r="K1187" s="109" t="s">
        <v>9440</v>
      </c>
      <c r="L1187" s="109" t="s">
        <v>9496</v>
      </c>
    </row>
    <row r="1188" spans="1:12" s="58" customFormat="1" ht="14.85" customHeight="1" x14ac:dyDescent="0.25">
      <c r="A1188" s="108" t="s">
        <v>9308</v>
      </c>
      <c r="B1188" s="115" t="s">
        <v>8939</v>
      </c>
      <c r="C1188" s="115" t="s">
        <v>9338</v>
      </c>
      <c r="D1188" s="109" t="s">
        <v>10238</v>
      </c>
      <c r="E1188" s="106" t="s">
        <v>10239</v>
      </c>
      <c r="F1188" s="109" t="s">
        <v>9496</v>
      </c>
      <c r="G1188" s="115" t="s">
        <v>9324</v>
      </c>
      <c r="H1188" s="115" t="s">
        <v>9323</v>
      </c>
      <c r="I1188" s="109" t="s">
        <v>10027</v>
      </c>
      <c r="J1188" s="239" t="s">
        <v>10028</v>
      </c>
      <c r="K1188" s="109" t="s">
        <v>9440</v>
      </c>
      <c r="L1188" s="109" t="s">
        <v>9496</v>
      </c>
    </row>
    <row r="1189" spans="1:12" s="58" customFormat="1" ht="14.85" customHeight="1" x14ac:dyDescent="0.25">
      <c r="A1189" s="108" t="s">
        <v>9308</v>
      </c>
      <c r="B1189" s="115" t="s">
        <v>8939</v>
      </c>
      <c r="C1189" s="115" t="s">
        <v>9338</v>
      </c>
      <c r="D1189" s="109" t="s">
        <v>10240</v>
      </c>
      <c r="E1189" s="106" t="s">
        <v>10241</v>
      </c>
      <c r="F1189" s="109" t="s">
        <v>9496</v>
      </c>
      <c r="G1189" s="115" t="s">
        <v>9324</v>
      </c>
      <c r="H1189" s="115" t="s">
        <v>9323</v>
      </c>
      <c r="I1189" s="109" t="s">
        <v>10049</v>
      </c>
      <c r="J1189" s="239" t="s">
        <v>10050</v>
      </c>
      <c r="K1189" s="109" t="s">
        <v>9440</v>
      </c>
      <c r="L1189" s="109" t="s">
        <v>9496</v>
      </c>
    </row>
    <row r="1190" spans="1:12" s="58" customFormat="1" ht="14.85" customHeight="1" x14ac:dyDescent="0.25">
      <c r="A1190" s="108" t="s">
        <v>9308</v>
      </c>
      <c r="B1190" s="115" t="s">
        <v>8939</v>
      </c>
      <c r="C1190" s="115" t="s">
        <v>9338</v>
      </c>
      <c r="D1190" s="109" t="s">
        <v>10240</v>
      </c>
      <c r="E1190" s="106" t="s">
        <v>10241</v>
      </c>
      <c r="F1190" s="109" t="s">
        <v>9496</v>
      </c>
      <c r="G1190" s="115" t="s">
        <v>9324</v>
      </c>
      <c r="H1190" s="115" t="s">
        <v>9323</v>
      </c>
      <c r="I1190" s="109" t="s">
        <v>10051</v>
      </c>
      <c r="J1190" s="239" t="s">
        <v>10052</v>
      </c>
      <c r="K1190" s="109" t="s">
        <v>9440</v>
      </c>
      <c r="L1190" s="109" t="s">
        <v>9496</v>
      </c>
    </row>
    <row r="1191" spans="1:12" s="58" customFormat="1" ht="14.85" customHeight="1" x14ac:dyDescent="0.25">
      <c r="A1191" s="108" t="s">
        <v>9308</v>
      </c>
      <c r="B1191" s="115" t="s">
        <v>8939</v>
      </c>
      <c r="C1191" s="115" t="s">
        <v>9338</v>
      </c>
      <c r="D1191" s="109" t="s">
        <v>10240</v>
      </c>
      <c r="E1191" s="106" t="s">
        <v>10241</v>
      </c>
      <c r="F1191" s="109" t="s">
        <v>9496</v>
      </c>
      <c r="G1191" s="115" t="s">
        <v>9324</v>
      </c>
      <c r="H1191" s="115" t="s">
        <v>9323</v>
      </c>
      <c r="I1191" s="109" t="s">
        <v>10023</v>
      </c>
      <c r="J1191" s="239" t="s">
        <v>10024</v>
      </c>
      <c r="K1191" s="109" t="s">
        <v>9440</v>
      </c>
      <c r="L1191" s="109" t="s">
        <v>9496</v>
      </c>
    </row>
    <row r="1192" spans="1:12" s="58" customFormat="1" ht="14.85" customHeight="1" x14ac:dyDescent="0.25">
      <c r="A1192" s="108" t="s">
        <v>9308</v>
      </c>
      <c r="B1192" s="115" t="s">
        <v>8939</v>
      </c>
      <c r="C1192" s="115" t="s">
        <v>9338</v>
      </c>
      <c r="D1192" s="109" t="s">
        <v>10240</v>
      </c>
      <c r="E1192" s="106" t="s">
        <v>10241</v>
      </c>
      <c r="F1192" s="109" t="s">
        <v>9496</v>
      </c>
      <c r="G1192" s="115" t="s">
        <v>9324</v>
      </c>
      <c r="H1192" s="115" t="s">
        <v>9323</v>
      </c>
      <c r="I1192" s="109" t="s">
        <v>10053</v>
      </c>
      <c r="J1192" s="239" t="s">
        <v>10054</v>
      </c>
      <c r="K1192" s="109" t="s">
        <v>9440</v>
      </c>
      <c r="L1192" s="109" t="s">
        <v>9496</v>
      </c>
    </row>
    <row r="1193" spans="1:12" s="58" customFormat="1" ht="14.85" customHeight="1" x14ac:dyDescent="0.25">
      <c r="A1193" s="108" t="s">
        <v>9308</v>
      </c>
      <c r="B1193" s="115" t="s">
        <v>8939</v>
      </c>
      <c r="C1193" s="115" t="s">
        <v>9338</v>
      </c>
      <c r="D1193" s="109" t="s">
        <v>10240</v>
      </c>
      <c r="E1193" s="106" t="s">
        <v>10241</v>
      </c>
      <c r="F1193" s="109" t="s">
        <v>9496</v>
      </c>
      <c r="G1193" s="115" t="s">
        <v>9324</v>
      </c>
      <c r="H1193" s="115" t="s">
        <v>9323</v>
      </c>
      <c r="I1193" s="109" t="s">
        <v>10059</v>
      </c>
      <c r="J1193" s="239" t="s">
        <v>10060</v>
      </c>
      <c r="K1193" s="109" t="s">
        <v>9440</v>
      </c>
      <c r="L1193" s="109" t="s">
        <v>9496</v>
      </c>
    </row>
    <row r="1194" spans="1:12" s="58" customFormat="1" ht="14.85" customHeight="1" x14ac:dyDescent="0.25">
      <c r="A1194" s="108" t="s">
        <v>9308</v>
      </c>
      <c r="B1194" s="115" t="s">
        <v>8939</v>
      </c>
      <c r="C1194" s="115" t="s">
        <v>9338</v>
      </c>
      <c r="D1194" s="109" t="s">
        <v>10240</v>
      </c>
      <c r="E1194" s="106" t="s">
        <v>10241</v>
      </c>
      <c r="F1194" s="109" t="s">
        <v>9496</v>
      </c>
      <c r="G1194" s="115" t="s">
        <v>9324</v>
      </c>
      <c r="H1194" s="115" t="s">
        <v>9323</v>
      </c>
      <c r="I1194" s="109" t="s">
        <v>10061</v>
      </c>
      <c r="J1194" s="239" t="s">
        <v>10062</v>
      </c>
      <c r="K1194" s="109" t="s">
        <v>9440</v>
      </c>
      <c r="L1194" s="109" t="s">
        <v>9496</v>
      </c>
    </row>
    <row r="1195" spans="1:12" s="58" customFormat="1" ht="14.85" customHeight="1" x14ac:dyDescent="0.25">
      <c r="A1195" s="108" t="s">
        <v>9308</v>
      </c>
      <c r="B1195" s="115" t="s">
        <v>8939</v>
      </c>
      <c r="C1195" s="115" t="s">
        <v>9338</v>
      </c>
      <c r="D1195" s="109" t="s">
        <v>10240</v>
      </c>
      <c r="E1195" s="106" t="s">
        <v>10241</v>
      </c>
      <c r="F1195" s="109" t="s">
        <v>9496</v>
      </c>
      <c r="G1195" s="115" t="s">
        <v>9324</v>
      </c>
      <c r="H1195" s="115" t="s">
        <v>9323</v>
      </c>
      <c r="I1195" s="109" t="s">
        <v>10027</v>
      </c>
      <c r="J1195" s="239" t="s">
        <v>10028</v>
      </c>
      <c r="K1195" s="109" t="s">
        <v>9440</v>
      </c>
      <c r="L1195" s="109" t="s">
        <v>9496</v>
      </c>
    </row>
    <row r="1196" spans="1:12" s="58" customFormat="1" ht="14.85" customHeight="1" x14ac:dyDescent="0.25">
      <c r="A1196" s="108" t="s">
        <v>9308</v>
      </c>
      <c r="B1196" s="115" t="s">
        <v>8939</v>
      </c>
      <c r="C1196" s="115" t="s">
        <v>9338</v>
      </c>
      <c r="D1196" s="109" t="s">
        <v>10242</v>
      </c>
      <c r="E1196" s="106" t="s">
        <v>10243</v>
      </c>
      <c r="F1196" s="109" t="s">
        <v>9496</v>
      </c>
      <c r="G1196" s="115" t="s">
        <v>9324</v>
      </c>
      <c r="H1196" s="115" t="s">
        <v>9323</v>
      </c>
      <c r="I1196" s="109" t="s">
        <v>10226</v>
      </c>
      <c r="J1196" s="239" t="s">
        <v>10227</v>
      </c>
      <c r="K1196" s="109" t="s">
        <v>9440</v>
      </c>
      <c r="L1196" s="109" t="s">
        <v>9496</v>
      </c>
    </row>
    <row r="1197" spans="1:12" s="58" customFormat="1" ht="14.85" customHeight="1" x14ac:dyDescent="0.25">
      <c r="A1197" s="108" t="s">
        <v>9308</v>
      </c>
      <c r="B1197" s="115" t="s">
        <v>8939</v>
      </c>
      <c r="C1197" s="115" t="s">
        <v>9338</v>
      </c>
      <c r="D1197" s="109" t="s">
        <v>10242</v>
      </c>
      <c r="E1197" s="106" t="s">
        <v>10243</v>
      </c>
      <c r="F1197" s="109" t="s">
        <v>9496</v>
      </c>
      <c r="G1197" s="115" t="s">
        <v>9324</v>
      </c>
      <c r="H1197" s="115" t="s">
        <v>9323</v>
      </c>
      <c r="I1197" s="109" t="s">
        <v>10023</v>
      </c>
      <c r="J1197" s="239" t="s">
        <v>10024</v>
      </c>
      <c r="K1197" s="109" t="s">
        <v>9440</v>
      </c>
      <c r="L1197" s="109" t="s">
        <v>9496</v>
      </c>
    </row>
    <row r="1198" spans="1:12" s="58" customFormat="1" ht="14.85" customHeight="1" x14ac:dyDescent="0.25">
      <c r="A1198" s="108" t="s">
        <v>9308</v>
      </c>
      <c r="B1198" s="115" t="s">
        <v>8939</v>
      </c>
      <c r="C1198" s="115" t="s">
        <v>9338</v>
      </c>
      <c r="D1198" s="109" t="s">
        <v>10242</v>
      </c>
      <c r="E1198" s="106" t="s">
        <v>10243</v>
      </c>
      <c r="F1198" s="109" t="s">
        <v>9496</v>
      </c>
      <c r="G1198" s="115" t="s">
        <v>9324</v>
      </c>
      <c r="H1198" s="115" t="s">
        <v>9323</v>
      </c>
      <c r="I1198" s="109" t="s">
        <v>10053</v>
      </c>
      <c r="J1198" s="239" t="s">
        <v>10054</v>
      </c>
      <c r="K1198" s="109" t="s">
        <v>9440</v>
      </c>
      <c r="L1198" s="109" t="s">
        <v>9496</v>
      </c>
    </row>
    <row r="1199" spans="1:12" s="58" customFormat="1" ht="14.85" customHeight="1" x14ac:dyDescent="0.25">
      <c r="A1199" s="108" t="s">
        <v>9308</v>
      </c>
      <c r="B1199" s="115" t="s">
        <v>8939</v>
      </c>
      <c r="C1199" s="115" t="s">
        <v>9338</v>
      </c>
      <c r="D1199" s="109" t="s">
        <v>10242</v>
      </c>
      <c r="E1199" s="106" t="s">
        <v>10243</v>
      </c>
      <c r="F1199" s="109" t="s">
        <v>9496</v>
      </c>
      <c r="G1199" s="115" t="s">
        <v>9324</v>
      </c>
      <c r="H1199" s="115" t="s">
        <v>9323</v>
      </c>
      <c r="I1199" s="109" t="s">
        <v>10061</v>
      </c>
      <c r="J1199" s="239" t="s">
        <v>10062</v>
      </c>
      <c r="K1199" s="109" t="s">
        <v>9440</v>
      </c>
      <c r="L1199" s="109" t="s">
        <v>9496</v>
      </c>
    </row>
    <row r="1200" spans="1:12" s="58" customFormat="1" ht="14.85" customHeight="1" x14ac:dyDescent="0.25">
      <c r="A1200" s="108" t="s">
        <v>9308</v>
      </c>
      <c r="B1200" s="115" t="s">
        <v>8939</v>
      </c>
      <c r="C1200" s="115" t="s">
        <v>9338</v>
      </c>
      <c r="D1200" s="109" t="s">
        <v>10242</v>
      </c>
      <c r="E1200" s="106" t="s">
        <v>10243</v>
      </c>
      <c r="F1200" s="109" t="s">
        <v>9496</v>
      </c>
      <c r="G1200" s="115" t="s">
        <v>9324</v>
      </c>
      <c r="H1200" s="115" t="s">
        <v>9323</v>
      </c>
      <c r="I1200" s="109" t="s">
        <v>10027</v>
      </c>
      <c r="J1200" s="239" t="s">
        <v>10028</v>
      </c>
      <c r="K1200" s="109" t="s">
        <v>9440</v>
      </c>
      <c r="L1200" s="109" t="s">
        <v>9496</v>
      </c>
    </row>
    <row r="1201" spans="1:12" s="58" customFormat="1" ht="14.85" customHeight="1" x14ac:dyDescent="0.25">
      <c r="A1201" s="108" t="s">
        <v>9308</v>
      </c>
      <c r="B1201" s="115" t="s">
        <v>8939</v>
      </c>
      <c r="C1201" s="115" t="s">
        <v>9338</v>
      </c>
      <c r="D1201" s="109" t="s">
        <v>10244</v>
      </c>
      <c r="E1201" s="106" t="s">
        <v>10245</v>
      </c>
      <c r="F1201" s="109" t="s">
        <v>9496</v>
      </c>
      <c r="G1201" s="115" t="s">
        <v>9324</v>
      </c>
      <c r="H1201" s="115" t="s">
        <v>9324</v>
      </c>
      <c r="I1201" s="109" t="s">
        <v>10226</v>
      </c>
      <c r="J1201" s="239" t="s">
        <v>10227</v>
      </c>
      <c r="K1201" s="109" t="s">
        <v>9440</v>
      </c>
      <c r="L1201" s="109" t="s">
        <v>9496</v>
      </c>
    </row>
    <row r="1202" spans="1:12" s="58" customFormat="1" ht="14.85" customHeight="1" x14ac:dyDescent="0.25">
      <c r="A1202" s="108" t="s">
        <v>9308</v>
      </c>
      <c r="B1202" s="115" t="s">
        <v>8939</v>
      </c>
      <c r="C1202" s="115" t="s">
        <v>9338</v>
      </c>
      <c r="D1202" s="109" t="s">
        <v>10244</v>
      </c>
      <c r="E1202" s="106" t="s">
        <v>10245</v>
      </c>
      <c r="F1202" s="109" t="s">
        <v>9496</v>
      </c>
      <c r="G1202" s="115" t="s">
        <v>9324</v>
      </c>
      <c r="H1202" s="115" t="s">
        <v>9324</v>
      </c>
      <c r="I1202" s="109" t="s">
        <v>10061</v>
      </c>
      <c r="J1202" s="239" t="s">
        <v>10062</v>
      </c>
      <c r="K1202" s="109" t="s">
        <v>9440</v>
      </c>
      <c r="L1202" s="109" t="s">
        <v>9496</v>
      </c>
    </row>
    <row r="1203" spans="1:12" s="58" customFormat="1" ht="14.85" customHeight="1" x14ac:dyDescent="0.25">
      <c r="A1203" s="108" t="s">
        <v>9308</v>
      </c>
      <c r="B1203" s="115" t="s">
        <v>8939</v>
      </c>
      <c r="C1203" s="115" t="s">
        <v>9338</v>
      </c>
      <c r="D1203" s="109" t="s">
        <v>10244</v>
      </c>
      <c r="E1203" s="106" t="s">
        <v>10245</v>
      </c>
      <c r="F1203" s="109" t="s">
        <v>9496</v>
      </c>
      <c r="G1203" s="115" t="s">
        <v>9324</v>
      </c>
      <c r="H1203" s="115" t="s">
        <v>9324</v>
      </c>
      <c r="I1203" s="109" t="s">
        <v>10027</v>
      </c>
      <c r="J1203" s="239" t="s">
        <v>10028</v>
      </c>
      <c r="K1203" s="109" t="s">
        <v>9440</v>
      </c>
      <c r="L1203" s="109" t="s">
        <v>9496</v>
      </c>
    </row>
    <row r="1204" spans="1:12" s="58" customFormat="1" ht="14.85" customHeight="1" x14ac:dyDescent="0.25">
      <c r="A1204" s="108" t="s">
        <v>9308</v>
      </c>
      <c r="B1204" s="115" t="s">
        <v>8939</v>
      </c>
      <c r="C1204" s="115" t="s">
        <v>9338</v>
      </c>
      <c r="D1204" s="109" t="s">
        <v>10246</v>
      </c>
      <c r="E1204" s="106" t="s">
        <v>10247</v>
      </c>
      <c r="F1204" s="109" t="s">
        <v>9496</v>
      </c>
      <c r="G1204" s="115" t="s">
        <v>9324</v>
      </c>
      <c r="H1204" s="115" t="s">
        <v>9323</v>
      </c>
      <c r="I1204" s="109" t="s">
        <v>10090</v>
      </c>
      <c r="J1204" s="239" t="s">
        <v>10091</v>
      </c>
      <c r="K1204" s="109" t="s">
        <v>9440</v>
      </c>
      <c r="L1204" s="109" t="s">
        <v>9496</v>
      </c>
    </row>
    <row r="1205" spans="1:12" s="58" customFormat="1" ht="14.85" customHeight="1" x14ac:dyDescent="0.25">
      <c r="A1205" s="108" t="s">
        <v>9308</v>
      </c>
      <c r="B1205" s="115" t="s">
        <v>8939</v>
      </c>
      <c r="C1205" s="115" t="s">
        <v>9338</v>
      </c>
      <c r="D1205" s="109" t="s">
        <v>10246</v>
      </c>
      <c r="E1205" s="106" t="s">
        <v>10247</v>
      </c>
      <c r="F1205" s="109" t="s">
        <v>9496</v>
      </c>
      <c r="G1205" s="115" t="s">
        <v>9324</v>
      </c>
      <c r="H1205" s="115" t="s">
        <v>9323</v>
      </c>
      <c r="I1205" s="109" t="s">
        <v>10023</v>
      </c>
      <c r="J1205" s="239" t="s">
        <v>10024</v>
      </c>
      <c r="K1205" s="109" t="s">
        <v>9440</v>
      </c>
      <c r="L1205" s="109" t="s">
        <v>9496</v>
      </c>
    </row>
    <row r="1206" spans="1:12" s="58" customFormat="1" ht="14.85" customHeight="1" x14ac:dyDescent="0.25">
      <c r="A1206" s="108" t="s">
        <v>9308</v>
      </c>
      <c r="B1206" s="115" t="s">
        <v>8939</v>
      </c>
      <c r="C1206" s="115" t="s">
        <v>9338</v>
      </c>
      <c r="D1206" s="109" t="s">
        <v>10246</v>
      </c>
      <c r="E1206" s="106" t="s">
        <v>10247</v>
      </c>
      <c r="F1206" s="109" t="s">
        <v>9496</v>
      </c>
      <c r="G1206" s="115" t="s">
        <v>9324</v>
      </c>
      <c r="H1206" s="115" t="s">
        <v>9323</v>
      </c>
      <c r="I1206" s="109" t="s">
        <v>10053</v>
      </c>
      <c r="J1206" s="239" t="s">
        <v>10054</v>
      </c>
      <c r="K1206" s="109" t="s">
        <v>9440</v>
      </c>
      <c r="L1206" s="109" t="s">
        <v>9496</v>
      </c>
    </row>
    <row r="1207" spans="1:12" s="58" customFormat="1" ht="14.85" customHeight="1" x14ac:dyDescent="0.25">
      <c r="A1207" s="108" t="s">
        <v>9308</v>
      </c>
      <c r="B1207" s="115" t="s">
        <v>8939</v>
      </c>
      <c r="C1207" s="115" t="s">
        <v>9338</v>
      </c>
      <c r="D1207" s="109" t="s">
        <v>10246</v>
      </c>
      <c r="E1207" s="106" t="s">
        <v>10247</v>
      </c>
      <c r="F1207" s="109" t="s">
        <v>9496</v>
      </c>
      <c r="G1207" s="115" t="s">
        <v>9324</v>
      </c>
      <c r="H1207" s="115" t="s">
        <v>9323</v>
      </c>
      <c r="I1207" s="109" t="s">
        <v>10092</v>
      </c>
      <c r="J1207" s="239" t="s">
        <v>10093</v>
      </c>
      <c r="K1207" s="109" t="s">
        <v>9440</v>
      </c>
      <c r="L1207" s="109" t="s">
        <v>9496</v>
      </c>
    </row>
    <row r="1208" spans="1:12" s="58" customFormat="1" ht="14.85" customHeight="1" x14ac:dyDescent="0.25">
      <c r="A1208" s="108" t="s">
        <v>9308</v>
      </c>
      <c r="B1208" s="115" t="s">
        <v>8939</v>
      </c>
      <c r="C1208" s="115" t="s">
        <v>9338</v>
      </c>
      <c r="D1208" s="109" t="s">
        <v>10246</v>
      </c>
      <c r="E1208" s="106" t="s">
        <v>10247</v>
      </c>
      <c r="F1208" s="109" t="s">
        <v>9496</v>
      </c>
      <c r="G1208" s="115" t="s">
        <v>9324</v>
      </c>
      <c r="H1208" s="115" t="s">
        <v>9323</v>
      </c>
      <c r="I1208" s="109" t="s">
        <v>10061</v>
      </c>
      <c r="J1208" s="239" t="s">
        <v>10062</v>
      </c>
      <c r="K1208" s="109" t="s">
        <v>9440</v>
      </c>
      <c r="L1208" s="109" t="s">
        <v>9496</v>
      </c>
    </row>
    <row r="1209" spans="1:12" s="58" customFormat="1" ht="14.85" customHeight="1" x14ac:dyDescent="0.25">
      <c r="A1209" s="108" t="s">
        <v>9308</v>
      </c>
      <c r="B1209" s="115" t="s">
        <v>8939</v>
      </c>
      <c r="C1209" s="115" t="s">
        <v>9338</v>
      </c>
      <c r="D1209" s="109" t="s">
        <v>10246</v>
      </c>
      <c r="E1209" s="106" t="s">
        <v>10247</v>
      </c>
      <c r="F1209" s="109" t="s">
        <v>9496</v>
      </c>
      <c r="G1209" s="115" t="s">
        <v>9324</v>
      </c>
      <c r="H1209" s="115" t="s">
        <v>9323</v>
      </c>
      <c r="I1209" s="109" t="s">
        <v>10027</v>
      </c>
      <c r="J1209" s="239" t="s">
        <v>10028</v>
      </c>
      <c r="K1209" s="109" t="s">
        <v>9440</v>
      </c>
      <c r="L1209" s="109" t="s">
        <v>9496</v>
      </c>
    </row>
    <row r="1210" spans="1:12" s="58" customFormat="1" ht="14.85" customHeight="1" x14ac:dyDescent="0.25">
      <c r="A1210" s="108" t="s">
        <v>9308</v>
      </c>
      <c r="B1210" s="115" t="s">
        <v>8939</v>
      </c>
      <c r="C1210" s="115" t="s">
        <v>9338</v>
      </c>
      <c r="D1210" s="109" t="s">
        <v>10248</v>
      </c>
      <c r="E1210" s="106" t="s">
        <v>10249</v>
      </c>
      <c r="F1210" s="109" t="s">
        <v>9496</v>
      </c>
      <c r="G1210" s="115" t="s">
        <v>9324</v>
      </c>
      <c r="H1210" s="115" t="s">
        <v>9323</v>
      </c>
      <c r="I1210" s="109" t="s">
        <v>10049</v>
      </c>
      <c r="J1210" s="239" t="s">
        <v>10050</v>
      </c>
      <c r="K1210" s="109" t="s">
        <v>9440</v>
      </c>
      <c r="L1210" s="109" t="s">
        <v>9496</v>
      </c>
    </row>
    <row r="1211" spans="1:12" s="58" customFormat="1" ht="14.85" customHeight="1" x14ac:dyDescent="0.25">
      <c r="A1211" s="108" t="s">
        <v>9308</v>
      </c>
      <c r="B1211" s="115" t="s">
        <v>8939</v>
      </c>
      <c r="C1211" s="115" t="s">
        <v>9338</v>
      </c>
      <c r="D1211" s="109" t="s">
        <v>10248</v>
      </c>
      <c r="E1211" s="106" t="s">
        <v>10249</v>
      </c>
      <c r="F1211" s="109" t="s">
        <v>9496</v>
      </c>
      <c r="G1211" s="115" t="s">
        <v>9324</v>
      </c>
      <c r="H1211" s="115" t="s">
        <v>9323</v>
      </c>
      <c r="I1211" s="109" t="s">
        <v>10023</v>
      </c>
      <c r="J1211" s="239" t="s">
        <v>10024</v>
      </c>
      <c r="K1211" s="109" t="s">
        <v>9440</v>
      </c>
      <c r="L1211" s="109" t="s">
        <v>9496</v>
      </c>
    </row>
    <row r="1212" spans="1:12" s="58" customFormat="1" ht="14.85" customHeight="1" x14ac:dyDescent="0.25">
      <c r="A1212" s="108" t="s">
        <v>9308</v>
      </c>
      <c r="B1212" s="115" t="s">
        <v>8939</v>
      </c>
      <c r="C1212" s="115" t="s">
        <v>9338</v>
      </c>
      <c r="D1212" s="109" t="s">
        <v>10248</v>
      </c>
      <c r="E1212" s="106" t="s">
        <v>10249</v>
      </c>
      <c r="F1212" s="109" t="s">
        <v>9496</v>
      </c>
      <c r="G1212" s="115" t="s">
        <v>9324</v>
      </c>
      <c r="H1212" s="115" t="s">
        <v>9323</v>
      </c>
      <c r="I1212" s="109" t="s">
        <v>10061</v>
      </c>
      <c r="J1212" s="239" t="s">
        <v>10062</v>
      </c>
      <c r="K1212" s="109" t="s">
        <v>9440</v>
      </c>
      <c r="L1212" s="109" t="s">
        <v>9496</v>
      </c>
    </row>
    <row r="1213" spans="1:12" s="58" customFormat="1" ht="14.85" customHeight="1" x14ac:dyDescent="0.25">
      <c r="A1213" s="108" t="s">
        <v>9308</v>
      </c>
      <c r="B1213" s="115" t="s">
        <v>8939</v>
      </c>
      <c r="C1213" s="115" t="s">
        <v>9338</v>
      </c>
      <c r="D1213" s="109" t="s">
        <v>10248</v>
      </c>
      <c r="E1213" s="106" t="s">
        <v>10249</v>
      </c>
      <c r="F1213" s="109" t="s">
        <v>9496</v>
      </c>
      <c r="G1213" s="115" t="s">
        <v>9324</v>
      </c>
      <c r="H1213" s="115" t="s">
        <v>9323</v>
      </c>
      <c r="I1213" s="109" t="s">
        <v>10027</v>
      </c>
      <c r="J1213" s="239" t="s">
        <v>10028</v>
      </c>
      <c r="K1213" s="109" t="s">
        <v>9440</v>
      </c>
      <c r="L1213" s="109" t="s">
        <v>9496</v>
      </c>
    </row>
    <row r="1214" spans="1:12" s="58" customFormat="1" ht="14.85" customHeight="1" x14ac:dyDescent="0.25">
      <c r="A1214" s="108" t="s">
        <v>9308</v>
      </c>
      <c r="B1214" s="115" t="s">
        <v>8939</v>
      </c>
      <c r="C1214" s="115" t="s">
        <v>9338</v>
      </c>
      <c r="D1214" s="109" t="s">
        <v>10250</v>
      </c>
      <c r="E1214" s="106" t="s">
        <v>10251</v>
      </c>
      <c r="F1214" s="109" t="s">
        <v>9496</v>
      </c>
      <c r="G1214" s="115" t="s">
        <v>9324</v>
      </c>
      <c r="H1214" s="115" t="s">
        <v>9323</v>
      </c>
      <c r="I1214" s="109" t="s">
        <v>10226</v>
      </c>
      <c r="J1214" s="239" t="s">
        <v>10227</v>
      </c>
      <c r="K1214" s="109" t="s">
        <v>9440</v>
      </c>
      <c r="L1214" s="109" t="s">
        <v>9496</v>
      </c>
    </row>
    <row r="1215" spans="1:12" s="58" customFormat="1" ht="14.85" customHeight="1" x14ac:dyDescent="0.25">
      <c r="A1215" s="108" t="s">
        <v>9308</v>
      </c>
      <c r="B1215" s="115" t="s">
        <v>8939</v>
      </c>
      <c r="C1215" s="115" t="s">
        <v>9338</v>
      </c>
      <c r="D1215" s="109" t="s">
        <v>10250</v>
      </c>
      <c r="E1215" s="106" t="s">
        <v>10251</v>
      </c>
      <c r="F1215" s="109" t="s">
        <v>9496</v>
      </c>
      <c r="G1215" s="115" t="s">
        <v>9324</v>
      </c>
      <c r="H1215" s="115" t="s">
        <v>9323</v>
      </c>
      <c r="I1215" s="109" t="s">
        <v>10049</v>
      </c>
      <c r="J1215" s="239" t="s">
        <v>10050</v>
      </c>
      <c r="K1215" s="109" t="s">
        <v>9440</v>
      </c>
      <c r="L1215" s="109" t="s">
        <v>9496</v>
      </c>
    </row>
    <row r="1216" spans="1:12" s="58" customFormat="1" ht="14.85" customHeight="1" x14ac:dyDescent="0.25">
      <c r="A1216" s="108" t="s">
        <v>9308</v>
      </c>
      <c r="B1216" s="115" t="s">
        <v>8939</v>
      </c>
      <c r="C1216" s="115" t="s">
        <v>9338</v>
      </c>
      <c r="D1216" s="109" t="s">
        <v>10250</v>
      </c>
      <c r="E1216" s="106" t="s">
        <v>10251</v>
      </c>
      <c r="F1216" s="109" t="s">
        <v>9496</v>
      </c>
      <c r="G1216" s="115" t="s">
        <v>9324</v>
      </c>
      <c r="H1216" s="115" t="s">
        <v>9323</v>
      </c>
      <c r="I1216" s="109" t="s">
        <v>10023</v>
      </c>
      <c r="J1216" s="239" t="s">
        <v>10024</v>
      </c>
      <c r="K1216" s="109" t="s">
        <v>9440</v>
      </c>
      <c r="L1216" s="109" t="s">
        <v>9496</v>
      </c>
    </row>
    <row r="1217" spans="1:12" s="58" customFormat="1" ht="14.85" customHeight="1" x14ac:dyDescent="0.25">
      <c r="A1217" s="108" t="s">
        <v>9308</v>
      </c>
      <c r="B1217" s="115" t="s">
        <v>8939</v>
      </c>
      <c r="C1217" s="115" t="s">
        <v>9338</v>
      </c>
      <c r="D1217" s="109" t="s">
        <v>10250</v>
      </c>
      <c r="E1217" s="106" t="s">
        <v>10251</v>
      </c>
      <c r="F1217" s="109" t="s">
        <v>9496</v>
      </c>
      <c r="G1217" s="115" t="s">
        <v>9324</v>
      </c>
      <c r="H1217" s="115" t="s">
        <v>9323</v>
      </c>
      <c r="I1217" s="109" t="s">
        <v>10053</v>
      </c>
      <c r="J1217" s="239" t="s">
        <v>10054</v>
      </c>
      <c r="K1217" s="109" t="s">
        <v>9440</v>
      </c>
      <c r="L1217" s="109" t="s">
        <v>9496</v>
      </c>
    </row>
    <row r="1218" spans="1:12" s="58" customFormat="1" ht="14.85" customHeight="1" x14ac:dyDescent="0.25">
      <c r="A1218" s="108" t="s">
        <v>9308</v>
      </c>
      <c r="B1218" s="115" t="s">
        <v>8939</v>
      </c>
      <c r="C1218" s="115" t="s">
        <v>9338</v>
      </c>
      <c r="D1218" s="109" t="s">
        <v>10250</v>
      </c>
      <c r="E1218" s="106" t="s">
        <v>10251</v>
      </c>
      <c r="F1218" s="109" t="s">
        <v>9496</v>
      </c>
      <c r="G1218" s="115" t="s">
        <v>9324</v>
      </c>
      <c r="H1218" s="115" t="s">
        <v>9323</v>
      </c>
      <c r="I1218" s="109" t="s">
        <v>10061</v>
      </c>
      <c r="J1218" s="239" t="s">
        <v>10062</v>
      </c>
      <c r="K1218" s="109" t="s">
        <v>9440</v>
      </c>
      <c r="L1218" s="109" t="s">
        <v>9496</v>
      </c>
    </row>
    <row r="1219" spans="1:12" s="58" customFormat="1" ht="14.85" customHeight="1" x14ac:dyDescent="0.25">
      <c r="A1219" s="108" t="s">
        <v>9308</v>
      </c>
      <c r="B1219" s="115" t="s">
        <v>8939</v>
      </c>
      <c r="C1219" s="115" t="s">
        <v>9338</v>
      </c>
      <c r="D1219" s="109" t="s">
        <v>10250</v>
      </c>
      <c r="E1219" s="106" t="s">
        <v>10251</v>
      </c>
      <c r="F1219" s="109" t="s">
        <v>9496</v>
      </c>
      <c r="G1219" s="115" t="s">
        <v>9324</v>
      </c>
      <c r="H1219" s="115" t="s">
        <v>9323</v>
      </c>
      <c r="I1219" s="109" t="s">
        <v>10027</v>
      </c>
      <c r="J1219" s="239" t="s">
        <v>10028</v>
      </c>
      <c r="K1219" s="109" t="s">
        <v>9440</v>
      </c>
      <c r="L1219" s="109" t="s">
        <v>9496</v>
      </c>
    </row>
    <row r="1220" spans="1:12" s="58" customFormat="1" ht="14.85" customHeight="1" x14ac:dyDescent="0.25">
      <c r="A1220" s="108" t="s">
        <v>9308</v>
      </c>
      <c r="B1220" s="115" t="s">
        <v>8939</v>
      </c>
      <c r="C1220" s="115" t="s">
        <v>9338</v>
      </c>
      <c r="D1220" s="109" t="s">
        <v>10252</v>
      </c>
      <c r="E1220" s="106" t="s">
        <v>10253</v>
      </c>
      <c r="F1220" s="109" t="s">
        <v>9496</v>
      </c>
      <c r="G1220" s="115" t="s">
        <v>9324</v>
      </c>
      <c r="H1220" s="115" t="s">
        <v>9323</v>
      </c>
      <c r="I1220" s="109" t="s">
        <v>10023</v>
      </c>
      <c r="J1220" s="239" t="s">
        <v>10024</v>
      </c>
      <c r="K1220" s="109" t="s">
        <v>9440</v>
      </c>
      <c r="L1220" s="109" t="s">
        <v>9496</v>
      </c>
    </row>
    <row r="1221" spans="1:12" s="58" customFormat="1" ht="14.85" customHeight="1" x14ac:dyDescent="0.25">
      <c r="A1221" s="108" t="s">
        <v>9308</v>
      </c>
      <c r="B1221" s="115" t="s">
        <v>8939</v>
      </c>
      <c r="C1221" s="115" t="s">
        <v>9338</v>
      </c>
      <c r="D1221" s="109" t="s">
        <v>10252</v>
      </c>
      <c r="E1221" s="106" t="s">
        <v>10253</v>
      </c>
      <c r="F1221" s="109" t="s">
        <v>9496</v>
      </c>
      <c r="G1221" s="115" t="s">
        <v>9324</v>
      </c>
      <c r="H1221" s="115" t="s">
        <v>9323</v>
      </c>
      <c r="I1221" s="109" t="s">
        <v>10059</v>
      </c>
      <c r="J1221" s="239" t="s">
        <v>10060</v>
      </c>
      <c r="K1221" s="109" t="s">
        <v>9440</v>
      </c>
      <c r="L1221" s="109" t="s">
        <v>9496</v>
      </c>
    </row>
    <row r="1222" spans="1:12" s="58" customFormat="1" ht="14.85" customHeight="1" x14ac:dyDescent="0.25">
      <c r="A1222" s="108" t="s">
        <v>9308</v>
      </c>
      <c r="B1222" s="115" t="s">
        <v>8939</v>
      </c>
      <c r="C1222" s="115" t="s">
        <v>9338</v>
      </c>
      <c r="D1222" s="109" t="s">
        <v>10252</v>
      </c>
      <c r="E1222" s="106" t="s">
        <v>10253</v>
      </c>
      <c r="F1222" s="109" t="s">
        <v>9496</v>
      </c>
      <c r="G1222" s="115" t="s">
        <v>9324</v>
      </c>
      <c r="H1222" s="115" t="s">
        <v>9323</v>
      </c>
      <c r="I1222" s="109" t="s">
        <v>10061</v>
      </c>
      <c r="J1222" s="239" t="s">
        <v>10062</v>
      </c>
      <c r="K1222" s="109" t="s">
        <v>9440</v>
      </c>
      <c r="L1222" s="109" t="s">
        <v>9496</v>
      </c>
    </row>
    <row r="1223" spans="1:12" s="58" customFormat="1" ht="14.85" customHeight="1" x14ac:dyDescent="0.25">
      <c r="A1223" s="108" t="s">
        <v>9308</v>
      </c>
      <c r="B1223" s="115" t="s">
        <v>8939</v>
      </c>
      <c r="C1223" s="115" t="s">
        <v>9338</v>
      </c>
      <c r="D1223" s="109" t="s">
        <v>10252</v>
      </c>
      <c r="E1223" s="106" t="s">
        <v>10253</v>
      </c>
      <c r="F1223" s="109" t="s">
        <v>9496</v>
      </c>
      <c r="G1223" s="115" t="s">
        <v>9324</v>
      </c>
      <c r="H1223" s="115" t="s">
        <v>9323</v>
      </c>
      <c r="I1223" s="109" t="s">
        <v>10027</v>
      </c>
      <c r="J1223" s="239" t="s">
        <v>10028</v>
      </c>
      <c r="K1223" s="109" t="s">
        <v>9440</v>
      </c>
      <c r="L1223" s="109" t="s">
        <v>9496</v>
      </c>
    </row>
    <row r="1224" spans="1:12" s="58" customFormat="1" ht="14.85" customHeight="1" x14ac:dyDescent="0.25">
      <c r="A1224" s="108" t="s">
        <v>9308</v>
      </c>
      <c r="B1224" s="115" t="s">
        <v>8939</v>
      </c>
      <c r="C1224" s="115" t="s">
        <v>9338</v>
      </c>
      <c r="D1224" s="109" t="s">
        <v>10254</v>
      </c>
      <c r="E1224" s="106" t="s">
        <v>10255</v>
      </c>
      <c r="F1224" s="109" t="s">
        <v>9496</v>
      </c>
      <c r="G1224" s="115" t="s">
        <v>9324</v>
      </c>
      <c r="H1224" s="115" t="s">
        <v>9323</v>
      </c>
      <c r="I1224" s="109" t="s">
        <v>10023</v>
      </c>
      <c r="J1224" s="239" t="s">
        <v>10024</v>
      </c>
      <c r="K1224" s="109" t="s">
        <v>9440</v>
      </c>
      <c r="L1224" s="109" t="s">
        <v>9496</v>
      </c>
    </row>
    <row r="1225" spans="1:12" s="58" customFormat="1" ht="14.85" customHeight="1" x14ac:dyDescent="0.25">
      <c r="A1225" s="108" t="s">
        <v>9308</v>
      </c>
      <c r="B1225" s="115" t="s">
        <v>8939</v>
      </c>
      <c r="C1225" s="115" t="s">
        <v>9338</v>
      </c>
      <c r="D1225" s="109" t="s">
        <v>10254</v>
      </c>
      <c r="E1225" s="106" t="s">
        <v>10255</v>
      </c>
      <c r="F1225" s="109" t="s">
        <v>9496</v>
      </c>
      <c r="G1225" s="115" t="s">
        <v>9324</v>
      </c>
      <c r="H1225" s="115" t="s">
        <v>9323</v>
      </c>
      <c r="I1225" s="109" t="s">
        <v>10061</v>
      </c>
      <c r="J1225" s="239" t="s">
        <v>10062</v>
      </c>
      <c r="K1225" s="109" t="s">
        <v>9440</v>
      </c>
      <c r="L1225" s="109" t="s">
        <v>9496</v>
      </c>
    </row>
    <row r="1226" spans="1:12" s="58" customFormat="1" ht="14.85" customHeight="1" x14ac:dyDescent="0.25">
      <c r="A1226" s="108" t="s">
        <v>9308</v>
      </c>
      <c r="B1226" s="115" t="s">
        <v>8939</v>
      </c>
      <c r="C1226" s="115" t="s">
        <v>9338</v>
      </c>
      <c r="D1226" s="109" t="s">
        <v>10254</v>
      </c>
      <c r="E1226" s="106" t="s">
        <v>10255</v>
      </c>
      <c r="F1226" s="109" t="s">
        <v>9496</v>
      </c>
      <c r="G1226" s="115" t="s">
        <v>9324</v>
      </c>
      <c r="H1226" s="115" t="s">
        <v>9323</v>
      </c>
      <c r="I1226" s="109" t="s">
        <v>10027</v>
      </c>
      <c r="J1226" s="239" t="s">
        <v>10028</v>
      </c>
      <c r="K1226" s="109" t="s">
        <v>9440</v>
      </c>
      <c r="L1226" s="109" t="s">
        <v>9496</v>
      </c>
    </row>
    <row r="1227" spans="1:12" s="58" customFormat="1" ht="14.85" customHeight="1" x14ac:dyDescent="0.25">
      <c r="A1227" s="108" t="s">
        <v>9308</v>
      </c>
      <c r="B1227" s="115" t="s">
        <v>8939</v>
      </c>
      <c r="C1227" s="115" t="s">
        <v>9338</v>
      </c>
      <c r="D1227" s="109" t="s">
        <v>10256</v>
      </c>
      <c r="E1227" s="106" t="s">
        <v>10257</v>
      </c>
      <c r="F1227" s="109" t="s">
        <v>9496</v>
      </c>
      <c r="G1227" s="115" t="s">
        <v>9324</v>
      </c>
      <c r="H1227" s="115" t="s">
        <v>9323</v>
      </c>
      <c r="I1227" s="109" t="s">
        <v>10051</v>
      </c>
      <c r="J1227" s="239" t="s">
        <v>10052</v>
      </c>
      <c r="K1227" s="109" t="s">
        <v>9440</v>
      </c>
      <c r="L1227" s="109" t="s">
        <v>9496</v>
      </c>
    </row>
    <row r="1228" spans="1:12" s="58" customFormat="1" ht="14.85" customHeight="1" x14ac:dyDescent="0.25">
      <c r="A1228" s="108" t="s">
        <v>9308</v>
      </c>
      <c r="B1228" s="115" t="s">
        <v>8939</v>
      </c>
      <c r="C1228" s="115" t="s">
        <v>9338</v>
      </c>
      <c r="D1228" s="109" t="s">
        <v>10256</v>
      </c>
      <c r="E1228" s="106" t="s">
        <v>10257</v>
      </c>
      <c r="F1228" s="109" t="s">
        <v>9496</v>
      </c>
      <c r="G1228" s="115" t="s">
        <v>9324</v>
      </c>
      <c r="H1228" s="115" t="s">
        <v>9323</v>
      </c>
      <c r="I1228" s="109" t="s">
        <v>10023</v>
      </c>
      <c r="J1228" s="239" t="s">
        <v>10024</v>
      </c>
      <c r="K1228" s="109" t="s">
        <v>9440</v>
      </c>
      <c r="L1228" s="109" t="s">
        <v>9496</v>
      </c>
    </row>
    <row r="1229" spans="1:12" s="58" customFormat="1" ht="14.85" customHeight="1" x14ac:dyDescent="0.25">
      <c r="A1229" s="108" t="s">
        <v>9308</v>
      </c>
      <c r="B1229" s="115" t="s">
        <v>8939</v>
      </c>
      <c r="C1229" s="115" t="s">
        <v>9338</v>
      </c>
      <c r="D1229" s="109" t="s">
        <v>10256</v>
      </c>
      <c r="E1229" s="106" t="s">
        <v>10257</v>
      </c>
      <c r="F1229" s="109" t="s">
        <v>9496</v>
      </c>
      <c r="G1229" s="115" t="s">
        <v>9324</v>
      </c>
      <c r="H1229" s="115" t="s">
        <v>9323</v>
      </c>
      <c r="I1229" s="109" t="s">
        <v>10053</v>
      </c>
      <c r="J1229" s="239" t="s">
        <v>10054</v>
      </c>
      <c r="K1229" s="109" t="s">
        <v>9440</v>
      </c>
      <c r="L1229" s="109" t="s">
        <v>9496</v>
      </c>
    </row>
    <row r="1230" spans="1:12" s="58" customFormat="1" ht="14.85" customHeight="1" x14ac:dyDescent="0.25">
      <c r="A1230" s="108" t="s">
        <v>9308</v>
      </c>
      <c r="B1230" s="115" t="s">
        <v>8939</v>
      </c>
      <c r="C1230" s="115" t="s">
        <v>9338</v>
      </c>
      <c r="D1230" s="109" t="s">
        <v>10256</v>
      </c>
      <c r="E1230" s="106" t="s">
        <v>10257</v>
      </c>
      <c r="F1230" s="109" t="s">
        <v>9496</v>
      </c>
      <c r="G1230" s="115" t="s">
        <v>9324</v>
      </c>
      <c r="H1230" s="115" t="s">
        <v>9323</v>
      </c>
      <c r="I1230" s="109" t="s">
        <v>10059</v>
      </c>
      <c r="J1230" s="239" t="s">
        <v>10060</v>
      </c>
      <c r="K1230" s="109" t="s">
        <v>9440</v>
      </c>
      <c r="L1230" s="109" t="s">
        <v>9496</v>
      </c>
    </row>
    <row r="1231" spans="1:12" s="58" customFormat="1" ht="14.85" customHeight="1" x14ac:dyDescent="0.25">
      <c r="A1231" s="108" t="s">
        <v>9308</v>
      </c>
      <c r="B1231" s="115" t="s">
        <v>8939</v>
      </c>
      <c r="C1231" s="115" t="s">
        <v>9338</v>
      </c>
      <c r="D1231" s="109" t="s">
        <v>10256</v>
      </c>
      <c r="E1231" s="106" t="s">
        <v>10257</v>
      </c>
      <c r="F1231" s="109" t="s">
        <v>9496</v>
      </c>
      <c r="G1231" s="115" t="s">
        <v>9324</v>
      </c>
      <c r="H1231" s="115" t="s">
        <v>9323</v>
      </c>
      <c r="I1231" s="109" t="s">
        <v>10061</v>
      </c>
      <c r="J1231" s="239" t="s">
        <v>10062</v>
      </c>
      <c r="K1231" s="109" t="s">
        <v>9440</v>
      </c>
      <c r="L1231" s="109" t="s">
        <v>9496</v>
      </c>
    </row>
    <row r="1232" spans="1:12" s="58" customFormat="1" ht="14.85" customHeight="1" x14ac:dyDescent="0.25">
      <c r="A1232" s="108" t="s">
        <v>9308</v>
      </c>
      <c r="B1232" s="115" t="s">
        <v>8939</v>
      </c>
      <c r="C1232" s="115" t="s">
        <v>9338</v>
      </c>
      <c r="D1232" s="109" t="s">
        <v>10256</v>
      </c>
      <c r="E1232" s="106" t="s">
        <v>10257</v>
      </c>
      <c r="F1232" s="109" t="s">
        <v>9496</v>
      </c>
      <c r="G1232" s="115" t="s">
        <v>9324</v>
      </c>
      <c r="H1232" s="115" t="s">
        <v>9323</v>
      </c>
      <c r="I1232" s="109" t="s">
        <v>10027</v>
      </c>
      <c r="J1232" s="239" t="s">
        <v>10028</v>
      </c>
      <c r="K1232" s="109" t="s">
        <v>9440</v>
      </c>
      <c r="L1232" s="109" t="s">
        <v>9496</v>
      </c>
    </row>
    <row r="1233" spans="1:12" s="58" customFormat="1" ht="14.85" customHeight="1" x14ac:dyDescent="0.25">
      <c r="A1233" s="108" t="s">
        <v>9308</v>
      </c>
      <c r="B1233" s="115" t="s">
        <v>8939</v>
      </c>
      <c r="C1233" s="115" t="s">
        <v>9338</v>
      </c>
      <c r="D1233" s="109" t="s">
        <v>10258</v>
      </c>
      <c r="E1233" s="106" t="s">
        <v>10259</v>
      </c>
      <c r="F1233" s="109" t="s">
        <v>9496</v>
      </c>
      <c r="G1233" s="115" t="s">
        <v>9324</v>
      </c>
      <c r="H1233" s="115" t="s">
        <v>9323</v>
      </c>
      <c r="I1233" s="109" t="s">
        <v>10061</v>
      </c>
      <c r="J1233" s="239" t="s">
        <v>10062</v>
      </c>
      <c r="K1233" s="109" t="s">
        <v>9440</v>
      </c>
      <c r="L1233" s="109" t="s">
        <v>9496</v>
      </c>
    </row>
    <row r="1234" spans="1:12" s="58" customFormat="1" ht="14.85" customHeight="1" x14ac:dyDescent="0.25">
      <c r="A1234" s="108" t="s">
        <v>9308</v>
      </c>
      <c r="B1234" s="115" t="s">
        <v>8939</v>
      </c>
      <c r="C1234" s="115" t="s">
        <v>9338</v>
      </c>
      <c r="D1234" s="109" t="s">
        <v>10258</v>
      </c>
      <c r="E1234" s="106" t="s">
        <v>10259</v>
      </c>
      <c r="F1234" s="109" t="s">
        <v>9496</v>
      </c>
      <c r="G1234" s="115" t="s">
        <v>9324</v>
      </c>
      <c r="H1234" s="115" t="s">
        <v>9323</v>
      </c>
      <c r="I1234" s="109" t="s">
        <v>10027</v>
      </c>
      <c r="J1234" s="239" t="s">
        <v>10028</v>
      </c>
      <c r="K1234" s="109" t="s">
        <v>9440</v>
      </c>
      <c r="L1234" s="109" t="s">
        <v>9496</v>
      </c>
    </row>
    <row r="1235" spans="1:12" s="58" customFormat="1" ht="14.85" customHeight="1" x14ac:dyDescent="0.25">
      <c r="A1235" s="108" t="s">
        <v>9308</v>
      </c>
      <c r="B1235" s="115" t="s">
        <v>8939</v>
      </c>
      <c r="C1235" s="115" t="s">
        <v>9338</v>
      </c>
      <c r="D1235" s="109" t="s">
        <v>10260</v>
      </c>
      <c r="E1235" s="106" t="s">
        <v>10261</v>
      </c>
      <c r="F1235" s="109" t="s">
        <v>9496</v>
      </c>
      <c r="G1235" s="115" t="s">
        <v>9324</v>
      </c>
      <c r="H1235" s="115" t="s">
        <v>9323</v>
      </c>
      <c r="I1235" s="109" t="s">
        <v>10023</v>
      </c>
      <c r="J1235" s="239" t="s">
        <v>10024</v>
      </c>
      <c r="K1235" s="109" t="s">
        <v>9440</v>
      </c>
      <c r="L1235" s="109" t="s">
        <v>9496</v>
      </c>
    </row>
    <row r="1236" spans="1:12" s="58" customFormat="1" ht="14.85" customHeight="1" x14ac:dyDescent="0.25">
      <c r="A1236" s="108" t="s">
        <v>9308</v>
      </c>
      <c r="B1236" s="115" t="s">
        <v>8939</v>
      </c>
      <c r="C1236" s="115" t="s">
        <v>9338</v>
      </c>
      <c r="D1236" s="109" t="s">
        <v>10260</v>
      </c>
      <c r="E1236" s="106" t="s">
        <v>10261</v>
      </c>
      <c r="F1236" s="109" t="s">
        <v>9496</v>
      </c>
      <c r="G1236" s="115" t="s">
        <v>9324</v>
      </c>
      <c r="H1236" s="115" t="s">
        <v>9323</v>
      </c>
      <c r="I1236" s="109" t="s">
        <v>10061</v>
      </c>
      <c r="J1236" s="239" t="s">
        <v>10062</v>
      </c>
      <c r="K1236" s="109" t="s">
        <v>9440</v>
      </c>
      <c r="L1236" s="109" t="s">
        <v>9496</v>
      </c>
    </row>
    <row r="1237" spans="1:12" s="58" customFormat="1" ht="14.85" customHeight="1" x14ac:dyDescent="0.25">
      <c r="A1237" s="108" t="s">
        <v>9308</v>
      </c>
      <c r="B1237" s="115" t="s">
        <v>8939</v>
      </c>
      <c r="C1237" s="115" t="s">
        <v>9338</v>
      </c>
      <c r="D1237" s="109" t="s">
        <v>10260</v>
      </c>
      <c r="E1237" s="106" t="s">
        <v>10261</v>
      </c>
      <c r="F1237" s="109" t="s">
        <v>9496</v>
      </c>
      <c r="G1237" s="115" t="s">
        <v>9324</v>
      </c>
      <c r="H1237" s="115" t="s">
        <v>9323</v>
      </c>
      <c r="I1237" s="109" t="s">
        <v>10027</v>
      </c>
      <c r="J1237" s="239" t="s">
        <v>10028</v>
      </c>
      <c r="K1237" s="109" t="s">
        <v>9440</v>
      </c>
      <c r="L1237" s="109" t="s">
        <v>9496</v>
      </c>
    </row>
    <row r="1238" spans="1:12" s="58" customFormat="1" ht="14.85" customHeight="1" x14ac:dyDescent="0.25">
      <c r="A1238" s="108" t="s">
        <v>9308</v>
      </c>
      <c r="B1238" s="115" t="s">
        <v>8939</v>
      </c>
      <c r="C1238" s="115" t="s">
        <v>9338</v>
      </c>
      <c r="D1238" s="109" t="s">
        <v>10262</v>
      </c>
      <c r="E1238" s="106" t="s">
        <v>10263</v>
      </c>
      <c r="F1238" s="109" t="s">
        <v>9496</v>
      </c>
      <c r="G1238" s="115" t="s">
        <v>9324</v>
      </c>
      <c r="H1238" s="115" t="s">
        <v>9323</v>
      </c>
      <c r="I1238" s="109" t="s">
        <v>10226</v>
      </c>
      <c r="J1238" s="239" t="s">
        <v>10227</v>
      </c>
      <c r="K1238" s="109" t="s">
        <v>9440</v>
      </c>
      <c r="L1238" s="109" t="s">
        <v>9496</v>
      </c>
    </row>
    <row r="1239" spans="1:12" s="58" customFormat="1" ht="14.85" customHeight="1" x14ac:dyDescent="0.25">
      <c r="A1239" s="108" t="s">
        <v>9308</v>
      </c>
      <c r="B1239" s="115" t="s">
        <v>8939</v>
      </c>
      <c r="C1239" s="115" t="s">
        <v>9338</v>
      </c>
      <c r="D1239" s="109" t="s">
        <v>10262</v>
      </c>
      <c r="E1239" s="106" t="s">
        <v>10263</v>
      </c>
      <c r="F1239" s="109" t="s">
        <v>9496</v>
      </c>
      <c r="G1239" s="115" t="s">
        <v>9324</v>
      </c>
      <c r="H1239" s="115" t="s">
        <v>9323</v>
      </c>
      <c r="I1239" s="109" t="s">
        <v>10049</v>
      </c>
      <c r="J1239" s="239" t="s">
        <v>10050</v>
      </c>
      <c r="K1239" s="109" t="s">
        <v>9440</v>
      </c>
      <c r="L1239" s="109" t="s">
        <v>9496</v>
      </c>
    </row>
    <row r="1240" spans="1:12" s="58" customFormat="1" ht="14.85" customHeight="1" x14ac:dyDescent="0.25">
      <c r="A1240" s="108" t="s">
        <v>9308</v>
      </c>
      <c r="B1240" s="115" t="s">
        <v>8939</v>
      </c>
      <c r="C1240" s="115" t="s">
        <v>9338</v>
      </c>
      <c r="D1240" s="109" t="s">
        <v>10262</v>
      </c>
      <c r="E1240" s="106" t="s">
        <v>10263</v>
      </c>
      <c r="F1240" s="109" t="s">
        <v>9496</v>
      </c>
      <c r="G1240" s="115" t="s">
        <v>9324</v>
      </c>
      <c r="H1240" s="115" t="s">
        <v>9323</v>
      </c>
      <c r="I1240" s="109" t="s">
        <v>10051</v>
      </c>
      <c r="J1240" s="239" t="s">
        <v>10052</v>
      </c>
      <c r="K1240" s="109" t="s">
        <v>9440</v>
      </c>
      <c r="L1240" s="109" t="s">
        <v>9496</v>
      </c>
    </row>
    <row r="1241" spans="1:12" s="58" customFormat="1" ht="14.85" customHeight="1" x14ac:dyDescent="0.25">
      <c r="A1241" s="108" t="s">
        <v>9308</v>
      </c>
      <c r="B1241" s="115" t="s">
        <v>8939</v>
      </c>
      <c r="C1241" s="115" t="s">
        <v>9338</v>
      </c>
      <c r="D1241" s="109" t="s">
        <v>10262</v>
      </c>
      <c r="E1241" s="106" t="s">
        <v>10263</v>
      </c>
      <c r="F1241" s="109" t="s">
        <v>9496</v>
      </c>
      <c r="G1241" s="115" t="s">
        <v>9324</v>
      </c>
      <c r="H1241" s="115" t="s">
        <v>9323</v>
      </c>
      <c r="I1241" s="109" t="s">
        <v>10023</v>
      </c>
      <c r="J1241" s="239" t="s">
        <v>10024</v>
      </c>
      <c r="K1241" s="109" t="s">
        <v>9440</v>
      </c>
      <c r="L1241" s="109" t="s">
        <v>9496</v>
      </c>
    </row>
    <row r="1242" spans="1:12" s="58" customFormat="1" ht="14.85" customHeight="1" x14ac:dyDescent="0.25">
      <c r="A1242" s="108" t="s">
        <v>9308</v>
      </c>
      <c r="B1242" s="115" t="s">
        <v>8939</v>
      </c>
      <c r="C1242" s="115" t="s">
        <v>9338</v>
      </c>
      <c r="D1242" s="109" t="s">
        <v>10262</v>
      </c>
      <c r="E1242" s="106" t="s">
        <v>10263</v>
      </c>
      <c r="F1242" s="109" t="s">
        <v>9496</v>
      </c>
      <c r="G1242" s="115" t="s">
        <v>9324</v>
      </c>
      <c r="H1242" s="115" t="s">
        <v>9323</v>
      </c>
      <c r="I1242" s="109" t="s">
        <v>10053</v>
      </c>
      <c r="J1242" s="239" t="s">
        <v>10054</v>
      </c>
      <c r="K1242" s="109" t="s">
        <v>9440</v>
      </c>
      <c r="L1242" s="109" t="s">
        <v>9496</v>
      </c>
    </row>
    <row r="1243" spans="1:12" s="58" customFormat="1" ht="14.85" customHeight="1" x14ac:dyDescent="0.25">
      <c r="A1243" s="108" t="s">
        <v>9308</v>
      </c>
      <c r="B1243" s="115" t="s">
        <v>8939</v>
      </c>
      <c r="C1243" s="115" t="s">
        <v>9338</v>
      </c>
      <c r="D1243" s="109" t="s">
        <v>10262</v>
      </c>
      <c r="E1243" s="106" t="s">
        <v>10263</v>
      </c>
      <c r="F1243" s="109" t="s">
        <v>9496</v>
      </c>
      <c r="G1243" s="115" t="s">
        <v>9324</v>
      </c>
      <c r="H1243" s="115" t="s">
        <v>9323</v>
      </c>
      <c r="I1243" s="109" t="s">
        <v>10059</v>
      </c>
      <c r="J1243" s="239" t="s">
        <v>10060</v>
      </c>
      <c r="K1243" s="109" t="s">
        <v>9440</v>
      </c>
      <c r="L1243" s="109" t="s">
        <v>9496</v>
      </c>
    </row>
    <row r="1244" spans="1:12" s="58" customFormat="1" ht="14.85" customHeight="1" x14ac:dyDescent="0.25">
      <c r="A1244" s="108" t="s">
        <v>9308</v>
      </c>
      <c r="B1244" s="115" t="s">
        <v>8939</v>
      </c>
      <c r="C1244" s="115" t="s">
        <v>9338</v>
      </c>
      <c r="D1244" s="109" t="s">
        <v>10262</v>
      </c>
      <c r="E1244" s="106" t="s">
        <v>10263</v>
      </c>
      <c r="F1244" s="109" t="s">
        <v>9496</v>
      </c>
      <c r="G1244" s="115" t="s">
        <v>9324</v>
      </c>
      <c r="H1244" s="115" t="s">
        <v>9323</v>
      </c>
      <c r="I1244" s="109" t="s">
        <v>10061</v>
      </c>
      <c r="J1244" s="239" t="s">
        <v>10062</v>
      </c>
      <c r="K1244" s="109" t="s">
        <v>9440</v>
      </c>
      <c r="L1244" s="109" t="s">
        <v>9496</v>
      </c>
    </row>
    <row r="1245" spans="1:12" s="58" customFormat="1" ht="14.85" customHeight="1" x14ac:dyDescent="0.25">
      <c r="A1245" s="108" t="s">
        <v>9308</v>
      </c>
      <c r="B1245" s="115" t="s">
        <v>8939</v>
      </c>
      <c r="C1245" s="115" t="s">
        <v>9338</v>
      </c>
      <c r="D1245" s="109" t="s">
        <v>10262</v>
      </c>
      <c r="E1245" s="106" t="s">
        <v>10263</v>
      </c>
      <c r="F1245" s="109" t="s">
        <v>9496</v>
      </c>
      <c r="G1245" s="115" t="s">
        <v>9324</v>
      </c>
      <c r="H1245" s="115" t="s">
        <v>9323</v>
      </c>
      <c r="I1245" s="109" t="s">
        <v>10027</v>
      </c>
      <c r="J1245" s="239" t="s">
        <v>10028</v>
      </c>
      <c r="K1245" s="109" t="s">
        <v>9440</v>
      </c>
      <c r="L1245" s="109" t="s">
        <v>9496</v>
      </c>
    </row>
    <row r="1246" spans="1:12" s="58" customFormat="1" ht="14.85" customHeight="1" x14ac:dyDescent="0.25">
      <c r="A1246" s="108" t="s">
        <v>9308</v>
      </c>
      <c r="B1246" s="115" t="s">
        <v>8939</v>
      </c>
      <c r="C1246" s="115" t="s">
        <v>9338</v>
      </c>
      <c r="D1246" s="109" t="s">
        <v>10264</v>
      </c>
      <c r="E1246" s="106" t="s">
        <v>10265</v>
      </c>
      <c r="F1246" s="109" t="s">
        <v>9496</v>
      </c>
      <c r="G1246" s="115" t="s">
        <v>9324</v>
      </c>
      <c r="H1246" s="115" t="s">
        <v>9324</v>
      </c>
      <c r="I1246" s="109" t="s">
        <v>10023</v>
      </c>
      <c r="J1246" s="239" t="s">
        <v>10024</v>
      </c>
      <c r="K1246" s="109" t="s">
        <v>9440</v>
      </c>
      <c r="L1246" s="109" t="s">
        <v>9496</v>
      </c>
    </row>
    <row r="1247" spans="1:12" s="58" customFormat="1" ht="14.85" customHeight="1" x14ac:dyDescent="0.25">
      <c r="A1247" s="108" t="s">
        <v>9308</v>
      </c>
      <c r="B1247" s="115" t="s">
        <v>8939</v>
      </c>
      <c r="C1247" s="115" t="s">
        <v>9338</v>
      </c>
      <c r="D1247" s="109" t="s">
        <v>10264</v>
      </c>
      <c r="E1247" s="106" t="s">
        <v>10265</v>
      </c>
      <c r="F1247" s="109" t="s">
        <v>9496</v>
      </c>
      <c r="G1247" s="115" t="s">
        <v>9324</v>
      </c>
      <c r="H1247" s="115" t="s">
        <v>9324</v>
      </c>
      <c r="I1247" s="109" t="s">
        <v>10059</v>
      </c>
      <c r="J1247" s="239" t="s">
        <v>10060</v>
      </c>
      <c r="K1247" s="109" t="s">
        <v>9440</v>
      </c>
      <c r="L1247" s="109" t="s">
        <v>9496</v>
      </c>
    </row>
    <row r="1248" spans="1:12" s="58" customFormat="1" ht="14.85" customHeight="1" x14ac:dyDescent="0.25">
      <c r="A1248" s="108" t="s">
        <v>9308</v>
      </c>
      <c r="B1248" s="115" t="s">
        <v>8939</v>
      </c>
      <c r="C1248" s="115" t="s">
        <v>9338</v>
      </c>
      <c r="D1248" s="109" t="s">
        <v>10264</v>
      </c>
      <c r="E1248" s="106" t="s">
        <v>10265</v>
      </c>
      <c r="F1248" s="109" t="s">
        <v>9496</v>
      </c>
      <c r="G1248" s="115" t="s">
        <v>9324</v>
      </c>
      <c r="H1248" s="115" t="s">
        <v>9324</v>
      </c>
      <c r="I1248" s="109" t="s">
        <v>10027</v>
      </c>
      <c r="J1248" s="239" t="s">
        <v>10028</v>
      </c>
      <c r="K1248" s="109" t="s">
        <v>9440</v>
      </c>
      <c r="L1248" s="109" t="s">
        <v>9496</v>
      </c>
    </row>
    <row r="1249" spans="1:12" s="58" customFormat="1" ht="14.85" customHeight="1" x14ac:dyDescent="0.25">
      <c r="A1249" s="108" t="s">
        <v>9308</v>
      </c>
      <c r="B1249" s="115" t="s">
        <v>8939</v>
      </c>
      <c r="C1249" s="115" t="s">
        <v>9338</v>
      </c>
      <c r="D1249" s="109" t="s">
        <v>10266</v>
      </c>
      <c r="E1249" s="106" t="s">
        <v>10267</v>
      </c>
      <c r="F1249" s="109" t="s">
        <v>9496</v>
      </c>
      <c r="G1249" s="115" t="s">
        <v>9324</v>
      </c>
      <c r="H1249" s="115" t="s">
        <v>9323</v>
      </c>
      <c r="I1249" s="109" t="s">
        <v>10059</v>
      </c>
      <c r="J1249" s="239" t="s">
        <v>10060</v>
      </c>
      <c r="K1249" s="109" t="s">
        <v>9440</v>
      </c>
      <c r="L1249" s="109" t="s">
        <v>9496</v>
      </c>
    </row>
    <row r="1250" spans="1:12" s="58" customFormat="1" ht="14.85" customHeight="1" x14ac:dyDescent="0.25">
      <c r="A1250" s="108" t="s">
        <v>9308</v>
      </c>
      <c r="B1250" s="115" t="s">
        <v>8939</v>
      </c>
      <c r="C1250" s="115" t="s">
        <v>9338</v>
      </c>
      <c r="D1250" s="109" t="s">
        <v>10266</v>
      </c>
      <c r="E1250" s="106" t="s">
        <v>10267</v>
      </c>
      <c r="F1250" s="109" t="s">
        <v>9496</v>
      </c>
      <c r="G1250" s="115" t="s">
        <v>9324</v>
      </c>
      <c r="H1250" s="115" t="s">
        <v>9323</v>
      </c>
      <c r="I1250" s="109" t="s">
        <v>10027</v>
      </c>
      <c r="J1250" s="239" t="s">
        <v>10028</v>
      </c>
      <c r="K1250" s="109" t="s">
        <v>9440</v>
      </c>
      <c r="L1250" s="109" t="s">
        <v>9496</v>
      </c>
    </row>
    <row r="1251" spans="1:12" s="58" customFormat="1" ht="14.85" customHeight="1" x14ac:dyDescent="0.25">
      <c r="A1251" s="108" t="s">
        <v>9308</v>
      </c>
      <c r="B1251" s="115" t="s">
        <v>8939</v>
      </c>
      <c r="C1251" s="115" t="s">
        <v>9338</v>
      </c>
      <c r="D1251" s="109" t="s">
        <v>10268</v>
      </c>
      <c r="E1251" s="106" t="s">
        <v>10269</v>
      </c>
      <c r="F1251" s="109" t="s">
        <v>9496</v>
      </c>
      <c r="G1251" s="115" t="s">
        <v>9324</v>
      </c>
      <c r="H1251" s="115" t="s">
        <v>9323</v>
      </c>
      <c r="I1251" s="109" t="s">
        <v>10023</v>
      </c>
      <c r="J1251" s="239" t="s">
        <v>10024</v>
      </c>
      <c r="K1251" s="109" t="s">
        <v>9440</v>
      </c>
      <c r="L1251" s="109" t="s">
        <v>9496</v>
      </c>
    </row>
    <row r="1252" spans="1:12" s="58" customFormat="1" ht="14.85" customHeight="1" x14ac:dyDescent="0.25">
      <c r="A1252" s="108" t="s">
        <v>9308</v>
      </c>
      <c r="B1252" s="115" t="s">
        <v>8939</v>
      </c>
      <c r="C1252" s="115" t="s">
        <v>9338</v>
      </c>
      <c r="D1252" s="109" t="s">
        <v>10268</v>
      </c>
      <c r="E1252" s="106" t="s">
        <v>10269</v>
      </c>
      <c r="F1252" s="109" t="s">
        <v>9496</v>
      </c>
      <c r="G1252" s="115" t="s">
        <v>9324</v>
      </c>
      <c r="H1252" s="115" t="s">
        <v>9323</v>
      </c>
      <c r="I1252" s="109" t="s">
        <v>10053</v>
      </c>
      <c r="J1252" s="239" t="s">
        <v>10054</v>
      </c>
      <c r="K1252" s="109" t="s">
        <v>9440</v>
      </c>
      <c r="L1252" s="109" t="s">
        <v>9496</v>
      </c>
    </row>
    <row r="1253" spans="1:12" s="58" customFormat="1" ht="14.85" customHeight="1" x14ac:dyDescent="0.25">
      <c r="A1253" s="108" t="s">
        <v>9308</v>
      </c>
      <c r="B1253" s="115" t="s">
        <v>8939</v>
      </c>
      <c r="C1253" s="115" t="s">
        <v>9338</v>
      </c>
      <c r="D1253" s="109" t="s">
        <v>10268</v>
      </c>
      <c r="E1253" s="106" t="s">
        <v>10269</v>
      </c>
      <c r="F1253" s="109" t="s">
        <v>9496</v>
      </c>
      <c r="G1253" s="115" t="s">
        <v>9324</v>
      </c>
      <c r="H1253" s="115" t="s">
        <v>9323</v>
      </c>
      <c r="I1253" s="109" t="s">
        <v>10059</v>
      </c>
      <c r="J1253" s="239" t="s">
        <v>10060</v>
      </c>
      <c r="K1253" s="109" t="s">
        <v>9440</v>
      </c>
      <c r="L1253" s="109" t="s">
        <v>9496</v>
      </c>
    </row>
    <row r="1254" spans="1:12" s="58" customFormat="1" ht="14.85" customHeight="1" x14ac:dyDescent="0.25">
      <c r="A1254" s="108" t="s">
        <v>9308</v>
      </c>
      <c r="B1254" s="115" t="s">
        <v>8939</v>
      </c>
      <c r="C1254" s="115" t="s">
        <v>9338</v>
      </c>
      <c r="D1254" s="109" t="s">
        <v>10268</v>
      </c>
      <c r="E1254" s="106" t="s">
        <v>10269</v>
      </c>
      <c r="F1254" s="109" t="s">
        <v>9496</v>
      </c>
      <c r="G1254" s="115" t="s">
        <v>9324</v>
      </c>
      <c r="H1254" s="115" t="s">
        <v>9323</v>
      </c>
      <c r="I1254" s="109" t="s">
        <v>10027</v>
      </c>
      <c r="J1254" s="239" t="s">
        <v>10028</v>
      </c>
      <c r="K1254" s="109" t="s">
        <v>9440</v>
      </c>
      <c r="L1254" s="109" t="s">
        <v>9496</v>
      </c>
    </row>
    <row r="1255" spans="1:12" s="58" customFormat="1" ht="14.85" customHeight="1" x14ac:dyDescent="0.25">
      <c r="A1255" s="108" t="s">
        <v>9308</v>
      </c>
      <c r="B1255" s="115" t="s">
        <v>8939</v>
      </c>
      <c r="C1255" s="115" t="s">
        <v>9338</v>
      </c>
      <c r="D1255" s="109" t="s">
        <v>10270</v>
      </c>
      <c r="E1255" s="106" t="s">
        <v>10271</v>
      </c>
      <c r="F1255" s="109" t="s">
        <v>9496</v>
      </c>
      <c r="G1255" s="115" t="s">
        <v>9324</v>
      </c>
      <c r="H1255" s="115" t="s">
        <v>9323</v>
      </c>
      <c r="I1255" s="109" t="s">
        <v>10023</v>
      </c>
      <c r="J1255" s="239" t="s">
        <v>10024</v>
      </c>
      <c r="K1255" s="109" t="s">
        <v>9440</v>
      </c>
      <c r="L1255" s="109" t="s">
        <v>9496</v>
      </c>
    </row>
    <row r="1256" spans="1:12" s="58" customFormat="1" ht="14.85" customHeight="1" x14ac:dyDescent="0.25">
      <c r="A1256" s="108" t="s">
        <v>9308</v>
      </c>
      <c r="B1256" s="115" t="s">
        <v>8939</v>
      </c>
      <c r="C1256" s="115" t="s">
        <v>9338</v>
      </c>
      <c r="D1256" s="109" t="s">
        <v>10270</v>
      </c>
      <c r="E1256" s="106" t="s">
        <v>10271</v>
      </c>
      <c r="F1256" s="109" t="s">
        <v>9496</v>
      </c>
      <c r="G1256" s="115" t="s">
        <v>9324</v>
      </c>
      <c r="H1256" s="115" t="s">
        <v>9323</v>
      </c>
      <c r="I1256" s="109" t="s">
        <v>10059</v>
      </c>
      <c r="J1256" s="239" t="s">
        <v>10060</v>
      </c>
      <c r="K1256" s="109" t="s">
        <v>9440</v>
      </c>
      <c r="L1256" s="109" t="s">
        <v>9496</v>
      </c>
    </row>
    <row r="1257" spans="1:12" s="58" customFormat="1" ht="14.85" customHeight="1" x14ac:dyDescent="0.25">
      <c r="A1257" s="108" t="s">
        <v>9308</v>
      </c>
      <c r="B1257" s="115" t="s">
        <v>8939</v>
      </c>
      <c r="C1257" s="115" t="s">
        <v>9338</v>
      </c>
      <c r="D1257" s="109" t="s">
        <v>10270</v>
      </c>
      <c r="E1257" s="106" t="s">
        <v>10271</v>
      </c>
      <c r="F1257" s="109" t="s">
        <v>9496</v>
      </c>
      <c r="G1257" s="115" t="s">
        <v>9324</v>
      </c>
      <c r="H1257" s="115" t="s">
        <v>9323</v>
      </c>
      <c r="I1257" s="109" t="s">
        <v>10061</v>
      </c>
      <c r="J1257" s="239" t="s">
        <v>10062</v>
      </c>
      <c r="K1257" s="109" t="s">
        <v>9440</v>
      </c>
      <c r="L1257" s="109" t="s">
        <v>9496</v>
      </c>
    </row>
    <row r="1258" spans="1:12" s="58" customFormat="1" ht="14.85" customHeight="1" x14ac:dyDescent="0.25">
      <c r="A1258" s="108" t="s">
        <v>9308</v>
      </c>
      <c r="B1258" s="115" t="s">
        <v>8939</v>
      </c>
      <c r="C1258" s="115" t="s">
        <v>9338</v>
      </c>
      <c r="D1258" s="109" t="s">
        <v>10270</v>
      </c>
      <c r="E1258" s="106" t="s">
        <v>10271</v>
      </c>
      <c r="F1258" s="109" t="s">
        <v>9496</v>
      </c>
      <c r="G1258" s="115" t="s">
        <v>9324</v>
      </c>
      <c r="H1258" s="115" t="s">
        <v>9323</v>
      </c>
      <c r="I1258" s="109" t="s">
        <v>10027</v>
      </c>
      <c r="J1258" s="239" t="s">
        <v>10028</v>
      </c>
      <c r="K1258" s="109" t="s">
        <v>9440</v>
      </c>
      <c r="L1258" s="109" t="s">
        <v>9496</v>
      </c>
    </row>
    <row r="1259" spans="1:12" s="58" customFormat="1" ht="14.85" customHeight="1" x14ac:dyDescent="0.25">
      <c r="A1259" s="108" t="s">
        <v>9308</v>
      </c>
      <c r="B1259" s="115" t="s">
        <v>8939</v>
      </c>
      <c r="C1259" s="115" t="s">
        <v>9338</v>
      </c>
      <c r="D1259" s="109" t="s">
        <v>10272</v>
      </c>
      <c r="E1259" s="106" t="s">
        <v>10273</v>
      </c>
      <c r="F1259" s="109" t="s">
        <v>9496</v>
      </c>
      <c r="G1259" s="115" t="s">
        <v>9324</v>
      </c>
      <c r="H1259" s="115" t="s">
        <v>9323</v>
      </c>
      <c r="I1259" s="109" t="s">
        <v>10023</v>
      </c>
      <c r="J1259" s="239" t="s">
        <v>10024</v>
      </c>
      <c r="K1259" s="109" t="s">
        <v>9440</v>
      </c>
      <c r="L1259" s="109" t="s">
        <v>9496</v>
      </c>
    </row>
    <row r="1260" spans="1:12" s="58" customFormat="1" ht="14.85" customHeight="1" x14ac:dyDescent="0.25">
      <c r="A1260" s="108" t="s">
        <v>9308</v>
      </c>
      <c r="B1260" s="115" t="s">
        <v>8939</v>
      </c>
      <c r="C1260" s="115" t="s">
        <v>9338</v>
      </c>
      <c r="D1260" s="109" t="s">
        <v>10272</v>
      </c>
      <c r="E1260" s="106" t="s">
        <v>10273</v>
      </c>
      <c r="F1260" s="109" t="s">
        <v>9496</v>
      </c>
      <c r="G1260" s="115" t="s">
        <v>9324</v>
      </c>
      <c r="H1260" s="115" t="s">
        <v>9323</v>
      </c>
      <c r="I1260" s="109" t="s">
        <v>10061</v>
      </c>
      <c r="J1260" s="239" t="s">
        <v>10062</v>
      </c>
      <c r="K1260" s="109" t="s">
        <v>9440</v>
      </c>
      <c r="L1260" s="109" t="s">
        <v>9496</v>
      </c>
    </row>
    <row r="1261" spans="1:12" s="58" customFormat="1" ht="14.85" customHeight="1" x14ac:dyDescent="0.25">
      <c r="A1261" s="108" t="s">
        <v>9308</v>
      </c>
      <c r="B1261" s="115" t="s">
        <v>8939</v>
      </c>
      <c r="C1261" s="115" t="s">
        <v>9338</v>
      </c>
      <c r="D1261" s="109" t="s">
        <v>10272</v>
      </c>
      <c r="E1261" s="106" t="s">
        <v>10273</v>
      </c>
      <c r="F1261" s="109" t="s">
        <v>9496</v>
      </c>
      <c r="G1261" s="115" t="s">
        <v>9324</v>
      </c>
      <c r="H1261" s="115" t="s">
        <v>9323</v>
      </c>
      <c r="I1261" s="109" t="s">
        <v>10027</v>
      </c>
      <c r="J1261" s="239" t="s">
        <v>10028</v>
      </c>
      <c r="K1261" s="109" t="s">
        <v>9440</v>
      </c>
      <c r="L1261" s="109" t="s">
        <v>9496</v>
      </c>
    </row>
    <row r="1262" spans="1:12" s="58" customFormat="1" ht="14.85" customHeight="1" x14ac:dyDescent="0.25">
      <c r="A1262" s="108" t="s">
        <v>9308</v>
      </c>
      <c r="B1262" s="115" t="s">
        <v>8939</v>
      </c>
      <c r="C1262" s="115" t="s">
        <v>9338</v>
      </c>
      <c r="D1262" s="109" t="s">
        <v>10274</v>
      </c>
      <c r="E1262" s="106" t="s">
        <v>10275</v>
      </c>
      <c r="F1262" s="109" t="s">
        <v>9496</v>
      </c>
      <c r="G1262" s="115" t="s">
        <v>9324</v>
      </c>
      <c r="H1262" s="115" t="s">
        <v>9323</v>
      </c>
      <c r="I1262" s="109" t="s">
        <v>10059</v>
      </c>
      <c r="J1262" s="239" t="s">
        <v>10060</v>
      </c>
      <c r="K1262" s="109" t="s">
        <v>9440</v>
      </c>
      <c r="L1262" s="109" t="s">
        <v>9496</v>
      </c>
    </row>
    <row r="1263" spans="1:12" s="58" customFormat="1" ht="14.85" customHeight="1" x14ac:dyDescent="0.25">
      <c r="A1263" s="108" t="s">
        <v>9308</v>
      </c>
      <c r="B1263" s="115" t="s">
        <v>8939</v>
      </c>
      <c r="C1263" s="115" t="s">
        <v>9338</v>
      </c>
      <c r="D1263" s="109" t="s">
        <v>10274</v>
      </c>
      <c r="E1263" s="106" t="s">
        <v>10275</v>
      </c>
      <c r="F1263" s="109" t="s">
        <v>9496</v>
      </c>
      <c r="G1263" s="115" t="s">
        <v>9324</v>
      </c>
      <c r="H1263" s="115" t="s">
        <v>9323</v>
      </c>
      <c r="I1263" s="109" t="s">
        <v>10027</v>
      </c>
      <c r="J1263" s="239" t="s">
        <v>10028</v>
      </c>
      <c r="K1263" s="109" t="s">
        <v>9440</v>
      </c>
      <c r="L1263" s="109" t="s">
        <v>9496</v>
      </c>
    </row>
    <row r="1264" spans="1:12" s="58" customFormat="1" ht="14.85" customHeight="1" x14ac:dyDescent="0.25">
      <c r="A1264" s="108" t="s">
        <v>9308</v>
      </c>
      <c r="B1264" s="115" t="s">
        <v>8939</v>
      </c>
      <c r="C1264" s="115" t="s">
        <v>9338</v>
      </c>
      <c r="D1264" s="109" t="s">
        <v>10276</v>
      </c>
      <c r="E1264" s="106" t="s">
        <v>10277</v>
      </c>
      <c r="F1264" s="109" t="s">
        <v>9496</v>
      </c>
      <c r="G1264" s="115" t="s">
        <v>9324</v>
      </c>
      <c r="H1264" s="115" t="s">
        <v>9323</v>
      </c>
      <c r="I1264" s="109" t="s">
        <v>10090</v>
      </c>
      <c r="J1264" s="239" t="s">
        <v>10091</v>
      </c>
      <c r="K1264" s="109" t="s">
        <v>9440</v>
      </c>
      <c r="L1264" s="109" t="s">
        <v>9496</v>
      </c>
    </row>
    <row r="1265" spans="1:12" s="58" customFormat="1" ht="14.85" customHeight="1" x14ac:dyDescent="0.25">
      <c r="A1265" s="108" t="s">
        <v>9308</v>
      </c>
      <c r="B1265" s="115" t="s">
        <v>8939</v>
      </c>
      <c r="C1265" s="115" t="s">
        <v>9338</v>
      </c>
      <c r="D1265" s="109" t="s">
        <v>10276</v>
      </c>
      <c r="E1265" s="106" t="s">
        <v>10277</v>
      </c>
      <c r="F1265" s="109" t="s">
        <v>9496</v>
      </c>
      <c r="G1265" s="115" t="s">
        <v>9324</v>
      </c>
      <c r="H1265" s="115" t="s">
        <v>9323</v>
      </c>
      <c r="I1265" s="109" t="s">
        <v>10059</v>
      </c>
      <c r="J1265" s="239" t="s">
        <v>10060</v>
      </c>
      <c r="K1265" s="109" t="s">
        <v>9440</v>
      </c>
      <c r="L1265" s="109" t="s">
        <v>9496</v>
      </c>
    </row>
    <row r="1266" spans="1:12" s="58" customFormat="1" ht="14.85" customHeight="1" x14ac:dyDescent="0.25">
      <c r="A1266" s="108" t="s">
        <v>9308</v>
      </c>
      <c r="B1266" s="115" t="s">
        <v>8939</v>
      </c>
      <c r="C1266" s="115" t="s">
        <v>9338</v>
      </c>
      <c r="D1266" s="109" t="s">
        <v>10276</v>
      </c>
      <c r="E1266" s="106" t="s">
        <v>10277</v>
      </c>
      <c r="F1266" s="109" t="s">
        <v>9496</v>
      </c>
      <c r="G1266" s="115" t="s">
        <v>9324</v>
      </c>
      <c r="H1266" s="115" t="s">
        <v>9323</v>
      </c>
      <c r="I1266" s="109" t="s">
        <v>10092</v>
      </c>
      <c r="J1266" s="239" t="s">
        <v>10093</v>
      </c>
      <c r="K1266" s="109" t="s">
        <v>9440</v>
      </c>
      <c r="L1266" s="109" t="s">
        <v>9496</v>
      </c>
    </row>
    <row r="1267" spans="1:12" s="58" customFormat="1" ht="14.85" customHeight="1" x14ac:dyDescent="0.25">
      <c r="A1267" s="108" t="s">
        <v>9308</v>
      </c>
      <c r="B1267" s="115" t="s">
        <v>8939</v>
      </c>
      <c r="C1267" s="115" t="s">
        <v>9338</v>
      </c>
      <c r="D1267" s="109" t="s">
        <v>10276</v>
      </c>
      <c r="E1267" s="106" t="s">
        <v>10277</v>
      </c>
      <c r="F1267" s="109" t="s">
        <v>9496</v>
      </c>
      <c r="G1267" s="115" t="s">
        <v>9324</v>
      </c>
      <c r="H1267" s="115" t="s">
        <v>9323</v>
      </c>
      <c r="I1267" s="109" t="s">
        <v>10027</v>
      </c>
      <c r="J1267" s="239" t="s">
        <v>10028</v>
      </c>
      <c r="K1267" s="109" t="s">
        <v>9440</v>
      </c>
      <c r="L1267" s="109" t="s">
        <v>9496</v>
      </c>
    </row>
    <row r="1268" spans="1:12" s="58" customFormat="1" ht="14.85" customHeight="1" x14ac:dyDescent="0.25">
      <c r="A1268" s="108" t="s">
        <v>9308</v>
      </c>
      <c r="B1268" s="115" t="s">
        <v>8939</v>
      </c>
      <c r="C1268" s="115" t="s">
        <v>9338</v>
      </c>
      <c r="D1268" s="109" t="s">
        <v>10278</v>
      </c>
      <c r="E1268" s="106" t="s">
        <v>10279</v>
      </c>
      <c r="F1268" s="109" t="s">
        <v>9496</v>
      </c>
      <c r="G1268" s="115" t="s">
        <v>9324</v>
      </c>
      <c r="H1268" s="115" t="s">
        <v>9323</v>
      </c>
      <c r="I1268" s="109" t="s">
        <v>10027</v>
      </c>
      <c r="J1268" s="239" t="s">
        <v>10028</v>
      </c>
      <c r="K1268" s="109" t="s">
        <v>9440</v>
      </c>
      <c r="L1268" s="109" t="s">
        <v>9496</v>
      </c>
    </row>
    <row r="1269" spans="1:12" s="58" customFormat="1" ht="14.85" customHeight="1" x14ac:dyDescent="0.25">
      <c r="A1269" s="108" t="s">
        <v>9308</v>
      </c>
      <c r="B1269" s="115" t="s">
        <v>8939</v>
      </c>
      <c r="C1269" s="115" t="s">
        <v>9338</v>
      </c>
      <c r="D1269" s="109" t="s">
        <v>10280</v>
      </c>
      <c r="E1269" s="106" t="s">
        <v>10281</v>
      </c>
      <c r="F1269" s="109" t="s">
        <v>9496</v>
      </c>
      <c r="G1269" s="115" t="s">
        <v>9324</v>
      </c>
      <c r="H1269" s="115" t="s">
        <v>9323</v>
      </c>
      <c r="I1269" s="109" t="s">
        <v>10061</v>
      </c>
      <c r="J1269" s="239" t="s">
        <v>10062</v>
      </c>
      <c r="K1269" s="109" t="s">
        <v>9440</v>
      </c>
      <c r="L1269" s="109" t="s">
        <v>9496</v>
      </c>
    </row>
    <row r="1270" spans="1:12" s="58" customFormat="1" ht="14.85" customHeight="1" x14ac:dyDescent="0.25">
      <c r="A1270" s="108" t="s">
        <v>9308</v>
      </c>
      <c r="B1270" s="115" t="s">
        <v>8939</v>
      </c>
      <c r="C1270" s="115" t="s">
        <v>9338</v>
      </c>
      <c r="D1270" s="109" t="s">
        <v>10280</v>
      </c>
      <c r="E1270" s="106" t="s">
        <v>10281</v>
      </c>
      <c r="F1270" s="109" t="s">
        <v>9496</v>
      </c>
      <c r="G1270" s="115" t="s">
        <v>9324</v>
      </c>
      <c r="H1270" s="115" t="s">
        <v>9323</v>
      </c>
      <c r="I1270" s="109" t="s">
        <v>10027</v>
      </c>
      <c r="J1270" s="239" t="s">
        <v>10028</v>
      </c>
      <c r="K1270" s="109" t="s">
        <v>9440</v>
      </c>
      <c r="L1270" s="109" t="s">
        <v>9496</v>
      </c>
    </row>
    <row r="1271" spans="1:12" s="58" customFormat="1" ht="14.85" customHeight="1" x14ac:dyDescent="0.25">
      <c r="A1271" s="108" t="s">
        <v>9308</v>
      </c>
      <c r="B1271" s="115" t="s">
        <v>8939</v>
      </c>
      <c r="C1271" s="115" t="s">
        <v>9338</v>
      </c>
      <c r="D1271" s="109" t="s">
        <v>10282</v>
      </c>
      <c r="E1271" s="106" t="s">
        <v>10283</v>
      </c>
      <c r="F1271" s="109" t="s">
        <v>9496</v>
      </c>
      <c r="G1271" s="115" t="s">
        <v>9324</v>
      </c>
      <c r="H1271" s="115" t="s">
        <v>9323</v>
      </c>
      <c r="I1271" s="109" t="s">
        <v>10226</v>
      </c>
      <c r="J1271" s="239" t="s">
        <v>10227</v>
      </c>
      <c r="K1271" s="109" t="s">
        <v>9440</v>
      </c>
      <c r="L1271" s="109" t="s">
        <v>9496</v>
      </c>
    </row>
    <row r="1272" spans="1:12" s="58" customFormat="1" ht="14.85" customHeight="1" x14ac:dyDescent="0.25">
      <c r="A1272" s="108" t="s">
        <v>9308</v>
      </c>
      <c r="B1272" s="115" t="s">
        <v>8939</v>
      </c>
      <c r="C1272" s="115" t="s">
        <v>9338</v>
      </c>
      <c r="D1272" s="109" t="s">
        <v>10282</v>
      </c>
      <c r="E1272" s="106" t="s">
        <v>10283</v>
      </c>
      <c r="F1272" s="109" t="s">
        <v>9496</v>
      </c>
      <c r="G1272" s="115" t="s">
        <v>9324</v>
      </c>
      <c r="H1272" s="115" t="s">
        <v>9323</v>
      </c>
      <c r="I1272" s="109" t="s">
        <v>10061</v>
      </c>
      <c r="J1272" s="239" t="s">
        <v>10062</v>
      </c>
      <c r="K1272" s="109" t="s">
        <v>9440</v>
      </c>
      <c r="L1272" s="109" t="s">
        <v>9496</v>
      </c>
    </row>
    <row r="1273" spans="1:12" s="58" customFormat="1" ht="14.85" customHeight="1" x14ac:dyDescent="0.25">
      <c r="A1273" s="108" t="s">
        <v>9308</v>
      </c>
      <c r="B1273" s="115" t="s">
        <v>8939</v>
      </c>
      <c r="C1273" s="115" t="s">
        <v>9338</v>
      </c>
      <c r="D1273" s="109" t="s">
        <v>10282</v>
      </c>
      <c r="E1273" s="106" t="s">
        <v>10283</v>
      </c>
      <c r="F1273" s="109" t="s">
        <v>9496</v>
      </c>
      <c r="G1273" s="115" t="s">
        <v>9324</v>
      </c>
      <c r="H1273" s="115" t="s">
        <v>9323</v>
      </c>
      <c r="I1273" s="109" t="s">
        <v>10027</v>
      </c>
      <c r="J1273" s="239" t="s">
        <v>10028</v>
      </c>
      <c r="K1273" s="109" t="s">
        <v>9440</v>
      </c>
      <c r="L1273" s="109" t="s">
        <v>9496</v>
      </c>
    </row>
    <row r="1274" spans="1:12" s="58" customFormat="1" ht="14.85" customHeight="1" x14ac:dyDescent="0.25">
      <c r="A1274" s="108" t="s">
        <v>9308</v>
      </c>
      <c r="B1274" s="115" t="s">
        <v>8939</v>
      </c>
      <c r="C1274" s="115" t="s">
        <v>9338</v>
      </c>
      <c r="D1274" s="109" t="s">
        <v>10284</v>
      </c>
      <c r="E1274" s="106" t="s">
        <v>10285</v>
      </c>
      <c r="F1274" s="109" t="s">
        <v>9496</v>
      </c>
      <c r="G1274" s="115" t="s">
        <v>9324</v>
      </c>
      <c r="H1274" s="115" t="s">
        <v>9323</v>
      </c>
      <c r="I1274" s="109" t="s">
        <v>10061</v>
      </c>
      <c r="J1274" s="239" t="s">
        <v>10062</v>
      </c>
      <c r="K1274" s="109" t="s">
        <v>9440</v>
      </c>
      <c r="L1274" s="109" t="s">
        <v>9496</v>
      </c>
    </row>
    <row r="1275" spans="1:12" s="58" customFormat="1" ht="14.85" customHeight="1" x14ac:dyDescent="0.25">
      <c r="A1275" s="108" t="s">
        <v>9308</v>
      </c>
      <c r="B1275" s="115" t="s">
        <v>8939</v>
      </c>
      <c r="C1275" s="115" t="s">
        <v>9338</v>
      </c>
      <c r="D1275" s="109" t="s">
        <v>10284</v>
      </c>
      <c r="E1275" s="106" t="s">
        <v>10285</v>
      </c>
      <c r="F1275" s="109" t="s">
        <v>9496</v>
      </c>
      <c r="G1275" s="115" t="s">
        <v>9324</v>
      </c>
      <c r="H1275" s="115" t="s">
        <v>9323</v>
      </c>
      <c r="I1275" s="109" t="s">
        <v>10027</v>
      </c>
      <c r="J1275" s="239" t="s">
        <v>10028</v>
      </c>
      <c r="K1275" s="109" t="s">
        <v>9440</v>
      </c>
      <c r="L1275" s="109" t="s">
        <v>9496</v>
      </c>
    </row>
    <row r="1276" spans="1:12" s="58" customFormat="1" ht="14.85" customHeight="1" x14ac:dyDescent="0.25">
      <c r="A1276" s="108" t="s">
        <v>9308</v>
      </c>
      <c r="B1276" s="115" t="s">
        <v>8939</v>
      </c>
      <c r="C1276" s="115" t="s">
        <v>9338</v>
      </c>
      <c r="D1276" s="109" t="s">
        <v>10286</v>
      </c>
      <c r="E1276" s="106" t="s">
        <v>10287</v>
      </c>
      <c r="F1276" s="109" t="s">
        <v>9496</v>
      </c>
      <c r="G1276" s="115" t="s">
        <v>9324</v>
      </c>
      <c r="H1276" s="115" t="s">
        <v>9323</v>
      </c>
      <c r="I1276" s="109" t="s">
        <v>10226</v>
      </c>
      <c r="J1276" s="239" t="s">
        <v>10227</v>
      </c>
      <c r="K1276" s="109" t="s">
        <v>9440</v>
      </c>
      <c r="L1276" s="109" t="s">
        <v>9496</v>
      </c>
    </row>
    <row r="1277" spans="1:12" s="58" customFormat="1" ht="14.85" customHeight="1" x14ac:dyDescent="0.25">
      <c r="A1277" s="108" t="s">
        <v>9308</v>
      </c>
      <c r="B1277" s="115" t="s">
        <v>8939</v>
      </c>
      <c r="C1277" s="115" t="s">
        <v>9338</v>
      </c>
      <c r="D1277" s="109" t="s">
        <v>10286</v>
      </c>
      <c r="E1277" s="106" t="s">
        <v>10287</v>
      </c>
      <c r="F1277" s="109" t="s">
        <v>9496</v>
      </c>
      <c r="G1277" s="115" t="s">
        <v>9324</v>
      </c>
      <c r="H1277" s="115" t="s">
        <v>9323</v>
      </c>
      <c r="I1277" s="109" t="s">
        <v>10023</v>
      </c>
      <c r="J1277" s="239" t="s">
        <v>10024</v>
      </c>
      <c r="K1277" s="109" t="s">
        <v>9440</v>
      </c>
      <c r="L1277" s="109" t="s">
        <v>9496</v>
      </c>
    </row>
    <row r="1278" spans="1:12" s="58" customFormat="1" ht="14.85" customHeight="1" x14ac:dyDescent="0.25">
      <c r="A1278" s="108" t="s">
        <v>9308</v>
      </c>
      <c r="B1278" s="115" t="s">
        <v>8939</v>
      </c>
      <c r="C1278" s="115" t="s">
        <v>9338</v>
      </c>
      <c r="D1278" s="109" t="s">
        <v>10286</v>
      </c>
      <c r="E1278" s="106" t="s">
        <v>10287</v>
      </c>
      <c r="F1278" s="109" t="s">
        <v>9496</v>
      </c>
      <c r="G1278" s="115" t="s">
        <v>9324</v>
      </c>
      <c r="H1278" s="115" t="s">
        <v>9323</v>
      </c>
      <c r="I1278" s="109" t="s">
        <v>10061</v>
      </c>
      <c r="J1278" s="239" t="s">
        <v>10062</v>
      </c>
      <c r="K1278" s="109" t="s">
        <v>9440</v>
      </c>
      <c r="L1278" s="109" t="s">
        <v>9496</v>
      </c>
    </row>
    <row r="1279" spans="1:12" s="58" customFormat="1" ht="14.85" customHeight="1" x14ac:dyDescent="0.25">
      <c r="A1279" s="108" t="s">
        <v>9308</v>
      </c>
      <c r="B1279" s="115" t="s">
        <v>8939</v>
      </c>
      <c r="C1279" s="115" t="s">
        <v>9338</v>
      </c>
      <c r="D1279" s="109" t="s">
        <v>10286</v>
      </c>
      <c r="E1279" s="106" t="s">
        <v>10287</v>
      </c>
      <c r="F1279" s="109" t="s">
        <v>9496</v>
      </c>
      <c r="G1279" s="115" t="s">
        <v>9324</v>
      </c>
      <c r="H1279" s="115" t="s">
        <v>9323</v>
      </c>
      <c r="I1279" s="109" t="s">
        <v>10027</v>
      </c>
      <c r="J1279" s="239" t="s">
        <v>10028</v>
      </c>
      <c r="K1279" s="109" t="s">
        <v>9440</v>
      </c>
      <c r="L1279" s="109" t="s">
        <v>9496</v>
      </c>
    </row>
    <row r="1280" spans="1:12" s="58" customFormat="1" ht="14.85" customHeight="1" x14ac:dyDescent="0.25">
      <c r="A1280" s="108" t="s">
        <v>9308</v>
      </c>
      <c r="B1280" s="115" t="s">
        <v>8939</v>
      </c>
      <c r="C1280" s="115" t="s">
        <v>9338</v>
      </c>
      <c r="D1280" s="109" t="s">
        <v>10288</v>
      </c>
      <c r="E1280" s="106" t="s">
        <v>10289</v>
      </c>
      <c r="F1280" s="109" t="s">
        <v>9496</v>
      </c>
      <c r="G1280" s="115" t="s">
        <v>9324</v>
      </c>
      <c r="H1280" s="115" t="s">
        <v>9323</v>
      </c>
      <c r="I1280" s="109" t="s">
        <v>10226</v>
      </c>
      <c r="J1280" s="239" t="s">
        <v>10227</v>
      </c>
      <c r="K1280" s="109" t="s">
        <v>9440</v>
      </c>
      <c r="L1280" s="109" t="s">
        <v>9496</v>
      </c>
    </row>
    <row r="1281" spans="1:12" s="58" customFormat="1" ht="14.85" customHeight="1" x14ac:dyDescent="0.25">
      <c r="A1281" s="108" t="s">
        <v>9308</v>
      </c>
      <c r="B1281" s="115" t="s">
        <v>8939</v>
      </c>
      <c r="C1281" s="115" t="s">
        <v>9338</v>
      </c>
      <c r="D1281" s="109" t="s">
        <v>10288</v>
      </c>
      <c r="E1281" s="106" t="s">
        <v>10289</v>
      </c>
      <c r="F1281" s="109" t="s">
        <v>9496</v>
      </c>
      <c r="G1281" s="115" t="s">
        <v>9324</v>
      </c>
      <c r="H1281" s="115" t="s">
        <v>9323</v>
      </c>
      <c r="I1281" s="109" t="s">
        <v>10049</v>
      </c>
      <c r="J1281" s="239" t="s">
        <v>10050</v>
      </c>
      <c r="K1281" s="109" t="s">
        <v>9440</v>
      </c>
      <c r="L1281" s="109" t="s">
        <v>9496</v>
      </c>
    </row>
    <row r="1282" spans="1:12" s="58" customFormat="1" ht="14.85" customHeight="1" x14ac:dyDescent="0.25">
      <c r="A1282" s="108" t="s">
        <v>9308</v>
      </c>
      <c r="B1282" s="115" t="s">
        <v>8939</v>
      </c>
      <c r="C1282" s="115" t="s">
        <v>9338</v>
      </c>
      <c r="D1282" s="109" t="s">
        <v>10288</v>
      </c>
      <c r="E1282" s="106" t="s">
        <v>10289</v>
      </c>
      <c r="F1282" s="109" t="s">
        <v>9496</v>
      </c>
      <c r="G1282" s="115" t="s">
        <v>9324</v>
      </c>
      <c r="H1282" s="115" t="s">
        <v>9323</v>
      </c>
      <c r="I1282" s="109" t="s">
        <v>10051</v>
      </c>
      <c r="J1282" s="239" t="s">
        <v>10052</v>
      </c>
      <c r="K1282" s="109" t="s">
        <v>9440</v>
      </c>
      <c r="L1282" s="109" t="s">
        <v>9496</v>
      </c>
    </row>
    <row r="1283" spans="1:12" s="58" customFormat="1" ht="14.85" customHeight="1" x14ac:dyDescent="0.25">
      <c r="A1283" s="108" t="s">
        <v>9308</v>
      </c>
      <c r="B1283" s="115" t="s">
        <v>8939</v>
      </c>
      <c r="C1283" s="115" t="s">
        <v>9338</v>
      </c>
      <c r="D1283" s="109" t="s">
        <v>10288</v>
      </c>
      <c r="E1283" s="106" t="s">
        <v>10289</v>
      </c>
      <c r="F1283" s="109" t="s">
        <v>9496</v>
      </c>
      <c r="G1283" s="115" t="s">
        <v>9324</v>
      </c>
      <c r="H1283" s="115" t="s">
        <v>9323</v>
      </c>
      <c r="I1283" s="109" t="s">
        <v>10023</v>
      </c>
      <c r="J1283" s="239" t="s">
        <v>10024</v>
      </c>
      <c r="K1283" s="109" t="s">
        <v>9440</v>
      </c>
      <c r="L1283" s="109" t="s">
        <v>9496</v>
      </c>
    </row>
    <row r="1284" spans="1:12" s="58" customFormat="1" ht="14.85" customHeight="1" x14ac:dyDescent="0.25">
      <c r="A1284" s="108" t="s">
        <v>9308</v>
      </c>
      <c r="B1284" s="115" t="s">
        <v>8939</v>
      </c>
      <c r="C1284" s="115" t="s">
        <v>9338</v>
      </c>
      <c r="D1284" s="109" t="s">
        <v>10288</v>
      </c>
      <c r="E1284" s="106" t="s">
        <v>10289</v>
      </c>
      <c r="F1284" s="109" t="s">
        <v>9496</v>
      </c>
      <c r="G1284" s="115" t="s">
        <v>9324</v>
      </c>
      <c r="H1284" s="115" t="s">
        <v>9323</v>
      </c>
      <c r="I1284" s="109" t="s">
        <v>10053</v>
      </c>
      <c r="J1284" s="239" t="s">
        <v>10054</v>
      </c>
      <c r="K1284" s="109" t="s">
        <v>9440</v>
      </c>
      <c r="L1284" s="109" t="s">
        <v>9496</v>
      </c>
    </row>
    <row r="1285" spans="1:12" s="58" customFormat="1" ht="14.85" customHeight="1" x14ac:dyDescent="0.25">
      <c r="A1285" s="108" t="s">
        <v>9308</v>
      </c>
      <c r="B1285" s="115" t="s">
        <v>8939</v>
      </c>
      <c r="C1285" s="115" t="s">
        <v>9338</v>
      </c>
      <c r="D1285" s="109" t="s">
        <v>10288</v>
      </c>
      <c r="E1285" s="106" t="s">
        <v>10289</v>
      </c>
      <c r="F1285" s="109" t="s">
        <v>9496</v>
      </c>
      <c r="G1285" s="115" t="s">
        <v>9324</v>
      </c>
      <c r="H1285" s="115" t="s">
        <v>9323</v>
      </c>
      <c r="I1285" s="109" t="s">
        <v>10061</v>
      </c>
      <c r="J1285" s="239" t="s">
        <v>10062</v>
      </c>
      <c r="K1285" s="109" t="s">
        <v>9440</v>
      </c>
      <c r="L1285" s="109" t="s">
        <v>9496</v>
      </c>
    </row>
    <row r="1286" spans="1:12" s="58" customFormat="1" ht="14.85" customHeight="1" x14ac:dyDescent="0.25">
      <c r="A1286" s="108" t="s">
        <v>9308</v>
      </c>
      <c r="B1286" s="115" t="s">
        <v>8939</v>
      </c>
      <c r="C1286" s="115" t="s">
        <v>9338</v>
      </c>
      <c r="D1286" s="109" t="s">
        <v>10288</v>
      </c>
      <c r="E1286" s="106" t="s">
        <v>10289</v>
      </c>
      <c r="F1286" s="109" t="s">
        <v>9496</v>
      </c>
      <c r="G1286" s="115" t="s">
        <v>9324</v>
      </c>
      <c r="H1286" s="115" t="s">
        <v>9323</v>
      </c>
      <c r="I1286" s="109" t="s">
        <v>10027</v>
      </c>
      <c r="J1286" s="239" t="s">
        <v>10028</v>
      </c>
      <c r="K1286" s="109" t="s">
        <v>9440</v>
      </c>
      <c r="L1286" s="109" t="s">
        <v>9496</v>
      </c>
    </row>
    <row r="1287" spans="1:12" s="58" customFormat="1" ht="14.85" customHeight="1" x14ac:dyDescent="0.25">
      <c r="A1287" s="108" t="s">
        <v>9308</v>
      </c>
      <c r="B1287" s="115" t="s">
        <v>8939</v>
      </c>
      <c r="C1287" s="115" t="s">
        <v>9338</v>
      </c>
      <c r="D1287" s="109" t="s">
        <v>10290</v>
      </c>
      <c r="E1287" s="106" t="s">
        <v>10291</v>
      </c>
      <c r="F1287" s="109" t="s">
        <v>9496</v>
      </c>
      <c r="G1287" s="115" t="s">
        <v>9324</v>
      </c>
      <c r="H1287" s="115" t="s">
        <v>9323</v>
      </c>
      <c r="I1287" s="109" t="s">
        <v>10226</v>
      </c>
      <c r="J1287" s="239" t="s">
        <v>10227</v>
      </c>
      <c r="K1287" s="109" t="s">
        <v>9440</v>
      </c>
      <c r="L1287" s="109" t="s">
        <v>9496</v>
      </c>
    </row>
    <row r="1288" spans="1:12" s="58" customFormat="1" ht="14.85" customHeight="1" x14ac:dyDescent="0.25">
      <c r="A1288" s="108" t="s">
        <v>9308</v>
      </c>
      <c r="B1288" s="115" t="s">
        <v>8939</v>
      </c>
      <c r="C1288" s="115" t="s">
        <v>9338</v>
      </c>
      <c r="D1288" s="109" t="s">
        <v>10290</v>
      </c>
      <c r="E1288" s="106" t="s">
        <v>10291</v>
      </c>
      <c r="F1288" s="109" t="s">
        <v>9496</v>
      </c>
      <c r="G1288" s="115" t="s">
        <v>9324</v>
      </c>
      <c r="H1288" s="115" t="s">
        <v>9323</v>
      </c>
      <c r="I1288" s="109" t="s">
        <v>10061</v>
      </c>
      <c r="J1288" s="239" t="s">
        <v>10062</v>
      </c>
      <c r="K1288" s="109" t="s">
        <v>9440</v>
      </c>
      <c r="L1288" s="109" t="s">
        <v>9496</v>
      </c>
    </row>
    <row r="1289" spans="1:12" s="58" customFormat="1" ht="14.85" customHeight="1" x14ac:dyDescent="0.25">
      <c r="A1289" s="108" t="s">
        <v>9308</v>
      </c>
      <c r="B1289" s="115" t="s">
        <v>8939</v>
      </c>
      <c r="C1289" s="115" t="s">
        <v>9338</v>
      </c>
      <c r="D1289" s="109" t="s">
        <v>10290</v>
      </c>
      <c r="E1289" s="106" t="s">
        <v>10291</v>
      </c>
      <c r="F1289" s="109" t="s">
        <v>9496</v>
      </c>
      <c r="G1289" s="115" t="s">
        <v>9324</v>
      </c>
      <c r="H1289" s="115" t="s">
        <v>9323</v>
      </c>
      <c r="I1289" s="109" t="s">
        <v>10027</v>
      </c>
      <c r="J1289" s="239" t="s">
        <v>10028</v>
      </c>
      <c r="K1289" s="109" t="s">
        <v>9440</v>
      </c>
      <c r="L1289" s="109" t="s">
        <v>9496</v>
      </c>
    </row>
    <row r="1290" spans="1:12" s="58" customFormat="1" ht="14.85" customHeight="1" x14ac:dyDescent="0.25">
      <c r="A1290" s="108" t="s">
        <v>9308</v>
      </c>
      <c r="B1290" s="115" t="s">
        <v>8939</v>
      </c>
      <c r="C1290" s="115" t="s">
        <v>9338</v>
      </c>
      <c r="D1290" s="109" t="s">
        <v>10292</v>
      </c>
      <c r="E1290" s="106" t="s">
        <v>10293</v>
      </c>
      <c r="F1290" s="109" t="s">
        <v>9496</v>
      </c>
      <c r="G1290" s="115" t="s">
        <v>9324</v>
      </c>
      <c r="H1290" s="115" t="s">
        <v>9323</v>
      </c>
      <c r="I1290" s="109" t="s">
        <v>10226</v>
      </c>
      <c r="J1290" s="239" t="s">
        <v>10227</v>
      </c>
      <c r="K1290" s="109" t="s">
        <v>9440</v>
      </c>
      <c r="L1290" s="109" t="s">
        <v>9496</v>
      </c>
    </row>
    <row r="1291" spans="1:12" s="58" customFormat="1" ht="14.85" customHeight="1" x14ac:dyDescent="0.25">
      <c r="A1291" s="108" t="s">
        <v>9308</v>
      </c>
      <c r="B1291" s="115" t="s">
        <v>8939</v>
      </c>
      <c r="C1291" s="115" t="s">
        <v>9338</v>
      </c>
      <c r="D1291" s="109" t="s">
        <v>10292</v>
      </c>
      <c r="E1291" s="106" t="s">
        <v>10293</v>
      </c>
      <c r="F1291" s="109" t="s">
        <v>9496</v>
      </c>
      <c r="G1291" s="115" t="s">
        <v>9324</v>
      </c>
      <c r="H1291" s="115" t="s">
        <v>9323</v>
      </c>
      <c r="I1291" s="109" t="s">
        <v>10049</v>
      </c>
      <c r="J1291" s="239" t="s">
        <v>10050</v>
      </c>
      <c r="K1291" s="109" t="s">
        <v>9440</v>
      </c>
      <c r="L1291" s="109" t="s">
        <v>9496</v>
      </c>
    </row>
    <row r="1292" spans="1:12" s="58" customFormat="1" ht="14.85" customHeight="1" x14ac:dyDescent="0.25">
      <c r="A1292" s="108" t="s">
        <v>9308</v>
      </c>
      <c r="B1292" s="115" t="s">
        <v>8939</v>
      </c>
      <c r="C1292" s="115" t="s">
        <v>9338</v>
      </c>
      <c r="D1292" s="109" t="s">
        <v>10292</v>
      </c>
      <c r="E1292" s="106" t="s">
        <v>10293</v>
      </c>
      <c r="F1292" s="109" t="s">
        <v>9496</v>
      </c>
      <c r="G1292" s="115" t="s">
        <v>9324</v>
      </c>
      <c r="H1292" s="115" t="s">
        <v>9323</v>
      </c>
      <c r="I1292" s="109" t="s">
        <v>10023</v>
      </c>
      <c r="J1292" s="239" t="s">
        <v>10024</v>
      </c>
      <c r="K1292" s="109" t="s">
        <v>9440</v>
      </c>
      <c r="L1292" s="109" t="s">
        <v>9496</v>
      </c>
    </row>
    <row r="1293" spans="1:12" s="58" customFormat="1" ht="14.85" customHeight="1" x14ac:dyDescent="0.25">
      <c r="A1293" s="108" t="s">
        <v>9308</v>
      </c>
      <c r="B1293" s="115" t="s">
        <v>8939</v>
      </c>
      <c r="C1293" s="115" t="s">
        <v>9338</v>
      </c>
      <c r="D1293" s="109" t="s">
        <v>10292</v>
      </c>
      <c r="E1293" s="106" t="s">
        <v>10293</v>
      </c>
      <c r="F1293" s="109" t="s">
        <v>9496</v>
      </c>
      <c r="G1293" s="115" t="s">
        <v>9324</v>
      </c>
      <c r="H1293" s="115" t="s">
        <v>9323</v>
      </c>
      <c r="I1293" s="109" t="s">
        <v>10061</v>
      </c>
      <c r="J1293" s="239" t="s">
        <v>10062</v>
      </c>
      <c r="K1293" s="109" t="s">
        <v>9440</v>
      </c>
      <c r="L1293" s="109" t="s">
        <v>9496</v>
      </c>
    </row>
    <row r="1294" spans="1:12" s="58" customFormat="1" ht="14.85" customHeight="1" x14ac:dyDescent="0.25">
      <c r="A1294" s="108" t="s">
        <v>9308</v>
      </c>
      <c r="B1294" s="115" t="s">
        <v>8939</v>
      </c>
      <c r="C1294" s="115" t="s">
        <v>9338</v>
      </c>
      <c r="D1294" s="109" t="s">
        <v>10292</v>
      </c>
      <c r="E1294" s="106" t="s">
        <v>10293</v>
      </c>
      <c r="F1294" s="109" t="s">
        <v>9496</v>
      </c>
      <c r="G1294" s="115" t="s">
        <v>9324</v>
      </c>
      <c r="H1294" s="115" t="s">
        <v>9323</v>
      </c>
      <c r="I1294" s="109" t="s">
        <v>10027</v>
      </c>
      <c r="J1294" s="239" t="s">
        <v>10028</v>
      </c>
      <c r="K1294" s="109" t="s">
        <v>9440</v>
      </c>
      <c r="L1294" s="109" t="s">
        <v>9496</v>
      </c>
    </row>
    <row r="1295" spans="1:12" s="58" customFormat="1" ht="14.85" customHeight="1" x14ac:dyDescent="0.25">
      <c r="A1295" s="108" t="s">
        <v>9308</v>
      </c>
      <c r="B1295" s="115" t="s">
        <v>8939</v>
      </c>
      <c r="C1295" s="115" t="s">
        <v>9338</v>
      </c>
      <c r="D1295" s="109" t="s">
        <v>10294</v>
      </c>
      <c r="E1295" s="106" t="s">
        <v>10295</v>
      </c>
      <c r="F1295" s="109" t="s">
        <v>9496</v>
      </c>
      <c r="G1295" s="115" t="s">
        <v>9324</v>
      </c>
      <c r="H1295" s="115" t="s">
        <v>9323</v>
      </c>
      <c r="I1295" s="109" t="s">
        <v>10226</v>
      </c>
      <c r="J1295" s="239" t="s">
        <v>10227</v>
      </c>
      <c r="K1295" s="109" t="s">
        <v>9440</v>
      </c>
      <c r="L1295" s="109" t="s">
        <v>9496</v>
      </c>
    </row>
    <row r="1296" spans="1:12" s="58" customFormat="1" ht="14.85" customHeight="1" x14ac:dyDescent="0.25">
      <c r="A1296" s="108" t="s">
        <v>9308</v>
      </c>
      <c r="B1296" s="115" t="s">
        <v>8939</v>
      </c>
      <c r="C1296" s="115" t="s">
        <v>9338</v>
      </c>
      <c r="D1296" s="109" t="s">
        <v>10294</v>
      </c>
      <c r="E1296" s="106" t="s">
        <v>10295</v>
      </c>
      <c r="F1296" s="109" t="s">
        <v>9496</v>
      </c>
      <c r="G1296" s="115" t="s">
        <v>9324</v>
      </c>
      <c r="H1296" s="115" t="s">
        <v>9323</v>
      </c>
      <c r="I1296" s="109" t="s">
        <v>10051</v>
      </c>
      <c r="J1296" s="239" t="s">
        <v>10052</v>
      </c>
      <c r="K1296" s="109" t="s">
        <v>9440</v>
      </c>
      <c r="L1296" s="109" t="s">
        <v>9496</v>
      </c>
    </row>
    <row r="1297" spans="1:12" s="58" customFormat="1" ht="14.85" customHeight="1" x14ac:dyDescent="0.25">
      <c r="A1297" s="108" t="s">
        <v>9308</v>
      </c>
      <c r="B1297" s="115" t="s">
        <v>8939</v>
      </c>
      <c r="C1297" s="115" t="s">
        <v>9338</v>
      </c>
      <c r="D1297" s="109" t="s">
        <v>10294</v>
      </c>
      <c r="E1297" s="106" t="s">
        <v>10295</v>
      </c>
      <c r="F1297" s="109" t="s">
        <v>9496</v>
      </c>
      <c r="G1297" s="115" t="s">
        <v>9324</v>
      </c>
      <c r="H1297" s="115" t="s">
        <v>9323</v>
      </c>
      <c r="I1297" s="109" t="s">
        <v>10023</v>
      </c>
      <c r="J1297" s="239" t="s">
        <v>10024</v>
      </c>
      <c r="K1297" s="109" t="s">
        <v>9440</v>
      </c>
      <c r="L1297" s="109" t="s">
        <v>9496</v>
      </c>
    </row>
    <row r="1298" spans="1:12" s="58" customFormat="1" ht="14.85" customHeight="1" x14ac:dyDescent="0.25">
      <c r="A1298" s="108" t="s">
        <v>9308</v>
      </c>
      <c r="B1298" s="115" t="s">
        <v>8939</v>
      </c>
      <c r="C1298" s="115" t="s">
        <v>9338</v>
      </c>
      <c r="D1298" s="109" t="s">
        <v>10294</v>
      </c>
      <c r="E1298" s="106" t="s">
        <v>10295</v>
      </c>
      <c r="F1298" s="109" t="s">
        <v>9496</v>
      </c>
      <c r="G1298" s="115" t="s">
        <v>9324</v>
      </c>
      <c r="H1298" s="115" t="s">
        <v>9323</v>
      </c>
      <c r="I1298" s="109" t="s">
        <v>10053</v>
      </c>
      <c r="J1298" s="239" t="s">
        <v>10054</v>
      </c>
      <c r="K1298" s="109" t="s">
        <v>9440</v>
      </c>
      <c r="L1298" s="109" t="s">
        <v>9496</v>
      </c>
    </row>
    <row r="1299" spans="1:12" s="58" customFormat="1" ht="14.85" customHeight="1" x14ac:dyDescent="0.25">
      <c r="A1299" s="108" t="s">
        <v>9308</v>
      </c>
      <c r="B1299" s="115" t="s">
        <v>8939</v>
      </c>
      <c r="C1299" s="115" t="s">
        <v>9338</v>
      </c>
      <c r="D1299" s="109" t="s">
        <v>10294</v>
      </c>
      <c r="E1299" s="106" t="s">
        <v>10295</v>
      </c>
      <c r="F1299" s="109" t="s">
        <v>9496</v>
      </c>
      <c r="G1299" s="115" t="s">
        <v>9324</v>
      </c>
      <c r="H1299" s="115" t="s">
        <v>9323</v>
      </c>
      <c r="I1299" s="109" t="s">
        <v>10061</v>
      </c>
      <c r="J1299" s="239" t="s">
        <v>10062</v>
      </c>
      <c r="K1299" s="109" t="s">
        <v>9440</v>
      </c>
      <c r="L1299" s="109" t="s">
        <v>9496</v>
      </c>
    </row>
    <row r="1300" spans="1:12" s="58" customFormat="1" ht="14.85" customHeight="1" x14ac:dyDescent="0.25">
      <c r="A1300" s="108" t="s">
        <v>9308</v>
      </c>
      <c r="B1300" s="115" t="s">
        <v>8939</v>
      </c>
      <c r="C1300" s="115" t="s">
        <v>9338</v>
      </c>
      <c r="D1300" s="109" t="s">
        <v>10294</v>
      </c>
      <c r="E1300" s="106" t="s">
        <v>10295</v>
      </c>
      <c r="F1300" s="109" t="s">
        <v>9496</v>
      </c>
      <c r="G1300" s="115" t="s">
        <v>9324</v>
      </c>
      <c r="H1300" s="115" t="s">
        <v>9323</v>
      </c>
      <c r="I1300" s="109" t="s">
        <v>10027</v>
      </c>
      <c r="J1300" s="239" t="s">
        <v>10028</v>
      </c>
      <c r="K1300" s="109" t="s">
        <v>9440</v>
      </c>
      <c r="L1300" s="109" t="s">
        <v>9496</v>
      </c>
    </row>
    <row r="1301" spans="1:12" s="58" customFormat="1" ht="14.85" customHeight="1" x14ac:dyDescent="0.25">
      <c r="A1301" s="108" t="s">
        <v>9308</v>
      </c>
      <c r="B1301" s="115" t="s">
        <v>8939</v>
      </c>
      <c r="C1301" s="115" t="s">
        <v>9338</v>
      </c>
      <c r="D1301" s="109" t="s">
        <v>10296</v>
      </c>
      <c r="E1301" s="106" t="s">
        <v>10297</v>
      </c>
      <c r="F1301" s="109" t="s">
        <v>9496</v>
      </c>
      <c r="G1301" s="115" t="s">
        <v>9324</v>
      </c>
      <c r="H1301" s="115" t="s">
        <v>9323</v>
      </c>
      <c r="I1301" s="109" t="s">
        <v>10226</v>
      </c>
      <c r="J1301" s="239" t="s">
        <v>10227</v>
      </c>
      <c r="K1301" s="109" t="s">
        <v>9440</v>
      </c>
      <c r="L1301" s="109" t="s">
        <v>9496</v>
      </c>
    </row>
    <row r="1302" spans="1:12" s="58" customFormat="1" ht="14.85" customHeight="1" x14ac:dyDescent="0.25">
      <c r="A1302" s="108" t="s">
        <v>9308</v>
      </c>
      <c r="B1302" s="115" t="s">
        <v>8939</v>
      </c>
      <c r="C1302" s="115" t="s">
        <v>9338</v>
      </c>
      <c r="D1302" s="109" t="s">
        <v>10296</v>
      </c>
      <c r="E1302" s="106" t="s">
        <v>10297</v>
      </c>
      <c r="F1302" s="109" t="s">
        <v>9496</v>
      </c>
      <c r="G1302" s="115" t="s">
        <v>9324</v>
      </c>
      <c r="H1302" s="115" t="s">
        <v>9323</v>
      </c>
      <c r="I1302" s="109" t="s">
        <v>10023</v>
      </c>
      <c r="J1302" s="239" t="s">
        <v>10024</v>
      </c>
      <c r="K1302" s="109" t="s">
        <v>9440</v>
      </c>
      <c r="L1302" s="109" t="s">
        <v>9496</v>
      </c>
    </row>
    <row r="1303" spans="1:12" s="58" customFormat="1" ht="14.85" customHeight="1" x14ac:dyDescent="0.25">
      <c r="A1303" s="108" t="s">
        <v>9308</v>
      </c>
      <c r="B1303" s="115" t="s">
        <v>8939</v>
      </c>
      <c r="C1303" s="115" t="s">
        <v>9338</v>
      </c>
      <c r="D1303" s="109" t="s">
        <v>10296</v>
      </c>
      <c r="E1303" s="106" t="s">
        <v>10297</v>
      </c>
      <c r="F1303" s="109" t="s">
        <v>9496</v>
      </c>
      <c r="G1303" s="115" t="s">
        <v>9324</v>
      </c>
      <c r="H1303" s="115" t="s">
        <v>9323</v>
      </c>
      <c r="I1303" s="109" t="s">
        <v>10061</v>
      </c>
      <c r="J1303" s="239" t="s">
        <v>10062</v>
      </c>
      <c r="K1303" s="109" t="s">
        <v>9440</v>
      </c>
      <c r="L1303" s="109" t="s">
        <v>9496</v>
      </c>
    </row>
    <row r="1304" spans="1:12" s="58" customFormat="1" ht="14.85" customHeight="1" x14ac:dyDescent="0.25">
      <c r="A1304" s="108" t="s">
        <v>9308</v>
      </c>
      <c r="B1304" s="115" t="s">
        <v>8939</v>
      </c>
      <c r="C1304" s="115" t="s">
        <v>9338</v>
      </c>
      <c r="D1304" s="109" t="s">
        <v>10296</v>
      </c>
      <c r="E1304" s="106" t="s">
        <v>10297</v>
      </c>
      <c r="F1304" s="109" t="s">
        <v>9496</v>
      </c>
      <c r="G1304" s="115" t="s">
        <v>9324</v>
      </c>
      <c r="H1304" s="115" t="s">
        <v>9323</v>
      </c>
      <c r="I1304" s="109" t="s">
        <v>10027</v>
      </c>
      <c r="J1304" s="239" t="s">
        <v>10028</v>
      </c>
      <c r="K1304" s="109" t="s">
        <v>9440</v>
      </c>
      <c r="L1304" s="109" t="s">
        <v>9496</v>
      </c>
    </row>
    <row r="1305" spans="1:12" s="58" customFormat="1" ht="14.85" customHeight="1" x14ac:dyDescent="0.25">
      <c r="A1305" s="108" t="s">
        <v>9308</v>
      </c>
      <c r="B1305" s="115" t="s">
        <v>8939</v>
      </c>
      <c r="C1305" s="115" t="s">
        <v>9338</v>
      </c>
      <c r="D1305" s="109" t="s">
        <v>10298</v>
      </c>
      <c r="E1305" s="106" t="s">
        <v>10299</v>
      </c>
      <c r="F1305" s="109" t="s">
        <v>9496</v>
      </c>
      <c r="G1305" s="115" t="s">
        <v>9324</v>
      </c>
      <c r="H1305" s="115" t="s">
        <v>9323</v>
      </c>
      <c r="I1305" s="109" t="s">
        <v>10090</v>
      </c>
      <c r="J1305" s="239" t="s">
        <v>10091</v>
      </c>
      <c r="K1305" s="109" t="s">
        <v>9440</v>
      </c>
      <c r="L1305" s="109" t="s">
        <v>9496</v>
      </c>
    </row>
    <row r="1306" spans="1:12" s="58" customFormat="1" ht="14.85" customHeight="1" x14ac:dyDescent="0.25">
      <c r="A1306" s="108" t="s">
        <v>9308</v>
      </c>
      <c r="B1306" s="115" t="s">
        <v>8939</v>
      </c>
      <c r="C1306" s="115" t="s">
        <v>9338</v>
      </c>
      <c r="D1306" s="109" t="s">
        <v>10298</v>
      </c>
      <c r="E1306" s="106" t="s">
        <v>10299</v>
      </c>
      <c r="F1306" s="109" t="s">
        <v>9496</v>
      </c>
      <c r="G1306" s="115" t="s">
        <v>9324</v>
      </c>
      <c r="H1306" s="115" t="s">
        <v>9323</v>
      </c>
      <c r="I1306" s="109" t="s">
        <v>10226</v>
      </c>
      <c r="J1306" s="239" t="s">
        <v>10227</v>
      </c>
      <c r="K1306" s="109" t="s">
        <v>9440</v>
      </c>
      <c r="L1306" s="109" t="s">
        <v>9496</v>
      </c>
    </row>
    <row r="1307" spans="1:12" s="58" customFormat="1" ht="14.85" customHeight="1" x14ac:dyDescent="0.25">
      <c r="A1307" s="108" t="s">
        <v>9308</v>
      </c>
      <c r="B1307" s="115" t="s">
        <v>8939</v>
      </c>
      <c r="C1307" s="115" t="s">
        <v>9338</v>
      </c>
      <c r="D1307" s="109" t="s">
        <v>10298</v>
      </c>
      <c r="E1307" s="106" t="s">
        <v>10299</v>
      </c>
      <c r="F1307" s="109" t="s">
        <v>9496</v>
      </c>
      <c r="G1307" s="115" t="s">
        <v>9324</v>
      </c>
      <c r="H1307" s="115" t="s">
        <v>9323</v>
      </c>
      <c r="I1307" s="109" t="s">
        <v>10023</v>
      </c>
      <c r="J1307" s="239" t="s">
        <v>10024</v>
      </c>
      <c r="K1307" s="109" t="s">
        <v>9440</v>
      </c>
      <c r="L1307" s="109" t="s">
        <v>9496</v>
      </c>
    </row>
    <row r="1308" spans="1:12" s="58" customFormat="1" ht="14.85" customHeight="1" x14ac:dyDescent="0.25">
      <c r="A1308" s="108" t="s">
        <v>9308</v>
      </c>
      <c r="B1308" s="115" t="s">
        <v>8939</v>
      </c>
      <c r="C1308" s="115" t="s">
        <v>9338</v>
      </c>
      <c r="D1308" s="109" t="s">
        <v>10298</v>
      </c>
      <c r="E1308" s="106" t="s">
        <v>10299</v>
      </c>
      <c r="F1308" s="109" t="s">
        <v>9496</v>
      </c>
      <c r="G1308" s="115" t="s">
        <v>9324</v>
      </c>
      <c r="H1308" s="115" t="s">
        <v>9323</v>
      </c>
      <c r="I1308" s="109" t="s">
        <v>10092</v>
      </c>
      <c r="J1308" s="239" t="s">
        <v>10093</v>
      </c>
      <c r="K1308" s="109" t="s">
        <v>9440</v>
      </c>
      <c r="L1308" s="109" t="s">
        <v>9496</v>
      </c>
    </row>
    <row r="1309" spans="1:12" s="58" customFormat="1" ht="14.85" customHeight="1" x14ac:dyDescent="0.25">
      <c r="A1309" s="108" t="s">
        <v>9308</v>
      </c>
      <c r="B1309" s="115" t="s">
        <v>8939</v>
      </c>
      <c r="C1309" s="115" t="s">
        <v>9338</v>
      </c>
      <c r="D1309" s="109" t="s">
        <v>10298</v>
      </c>
      <c r="E1309" s="106" t="s">
        <v>10299</v>
      </c>
      <c r="F1309" s="109" t="s">
        <v>9496</v>
      </c>
      <c r="G1309" s="115" t="s">
        <v>9324</v>
      </c>
      <c r="H1309" s="115" t="s">
        <v>9323</v>
      </c>
      <c r="I1309" s="109" t="s">
        <v>10061</v>
      </c>
      <c r="J1309" s="239" t="s">
        <v>10062</v>
      </c>
      <c r="K1309" s="109" t="s">
        <v>9440</v>
      </c>
      <c r="L1309" s="109" t="s">
        <v>9496</v>
      </c>
    </row>
    <row r="1310" spans="1:12" s="58" customFormat="1" ht="14.85" customHeight="1" x14ac:dyDescent="0.25">
      <c r="A1310" s="108" t="s">
        <v>9308</v>
      </c>
      <c r="B1310" s="115" t="s">
        <v>8939</v>
      </c>
      <c r="C1310" s="115" t="s">
        <v>9338</v>
      </c>
      <c r="D1310" s="109" t="s">
        <v>10298</v>
      </c>
      <c r="E1310" s="106" t="s">
        <v>10299</v>
      </c>
      <c r="F1310" s="109" t="s">
        <v>9496</v>
      </c>
      <c r="G1310" s="115" t="s">
        <v>9324</v>
      </c>
      <c r="H1310" s="115" t="s">
        <v>9323</v>
      </c>
      <c r="I1310" s="109" t="s">
        <v>10027</v>
      </c>
      <c r="J1310" s="239" t="s">
        <v>10028</v>
      </c>
      <c r="K1310" s="109" t="s">
        <v>9440</v>
      </c>
      <c r="L1310" s="109" t="s">
        <v>9496</v>
      </c>
    </row>
    <row r="1311" spans="1:12" s="58" customFormat="1" ht="14.85" customHeight="1" x14ac:dyDescent="0.25">
      <c r="A1311" s="108" t="s">
        <v>9308</v>
      </c>
      <c r="B1311" s="115" t="s">
        <v>8939</v>
      </c>
      <c r="C1311" s="115" t="s">
        <v>9338</v>
      </c>
      <c r="D1311" s="109" t="s">
        <v>10300</v>
      </c>
      <c r="E1311" s="106" t="s">
        <v>10301</v>
      </c>
      <c r="F1311" s="109" t="s">
        <v>9496</v>
      </c>
      <c r="G1311" s="115" t="s">
        <v>9324</v>
      </c>
      <c r="H1311" s="115" t="s">
        <v>9323</v>
      </c>
      <c r="I1311" s="109" t="s">
        <v>10226</v>
      </c>
      <c r="J1311" s="239" t="s">
        <v>10227</v>
      </c>
      <c r="K1311" s="109" t="s">
        <v>9440</v>
      </c>
      <c r="L1311" s="109" t="s">
        <v>9496</v>
      </c>
    </row>
    <row r="1312" spans="1:12" s="58" customFormat="1" ht="14.85" customHeight="1" x14ac:dyDescent="0.25">
      <c r="A1312" s="108" t="s">
        <v>9308</v>
      </c>
      <c r="B1312" s="115" t="s">
        <v>8939</v>
      </c>
      <c r="C1312" s="115" t="s">
        <v>9338</v>
      </c>
      <c r="D1312" s="109" t="s">
        <v>10300</v>
      </c>
      <c r="E1312" s="106" t="s">
        <v>10301</v>
      </c>
      <c r="F1312" s="109" t="s">
        <v>9496</v>
      </c>
      <c r="G1312" s="115" t="s">
        <v>9324</v>
      </c>
      <c r="H1312" s="115" t="s">
        <v>9323</v>
      </c>
      <c r="I1312" s="109" t="s">
        <v>10061</v>
      </c>
      <c r="J1312" s="239" t="s">
        <v>10062</v>
      </c>
      <c r="K1312" s="109" t="s">
        <v>9440</v>
      </c>
      <c r="L1312" s="109" t="s">
        <v>9496</v>
      </c>
    </row>
    <row r="1313" spans="1:12" s="58" customFormat="1" ht="14.85" customHeight="1" x14ac:dyDescent="0.25">
      <c r="A1313" s="108" t="s">
        <v>9308</v>
      </c>
      <c r="B1313" s="115" t="s">
        <v>8939</v>
      </c>
      <c r="C1313" s="115" t="s">
        <v>9338</v>
      </c>
      <c r="D1313" s="109" t="s">
        <v>10300</v>
      </c>
      <c r="E1313" s="106" t="s">
        <v>10301</v>
      </c>
      <c r="F1313" s="109" t="s">
        <v>9496</v>
      </c>
      <c r="G1313" s="115" t="s">
        <v>9324</v>
      </c>
      <c r="H1313" s="115" t="s">
        <v>9323</v>
      </c>
      <c r="I1313" s="109" t="s">
        <v>10027</v>
      </c>
      <c r="J1313" s="239" t="s">
        <v>10028</v>
      </c>
      <c r="K1313" s="109" t="s">
        <v>9440</v>
      </c>
      <c r="L1313" s="109" t="s">
        <v>9496</v>
      </c>
    </row>
    <row r="1314" spans="1:12" s="58" customFormat="1" ht="14.85" customHeight="1" x14ac:dyDescent="0.25">
      <c r="A1314" s="108" t="s">
        <v>9308</v>
      </c>
      <c r="B1314" s="115" t="s">
        <v>8939</v>
      </c>
      <c r="C1314" s="115" t="s">
        <v>9338</v>
      </c>
      <c r="D1314" s="109" t="s">
        <v>10302</v>
      </c>
      <c r="E1314" s="106" t="s">
        <v>10303</v>
      </c>
      <c r="F1314" s="109" t="s">
        <v>9496</v>
      </c>
      <c r="G1314" s="115" t="s">
        <v>9324</v>
      </c>
      <c r="H1314" s="115" t="s">
        <v>9323</v>
      </c>
      <c r="I1314" s="109" t="s">
        <v>10226</v>
      </c>
      <c r="J1314" s="239" t="s">
        <v>10227</v>
      </c>
      <c r="K1314" s="109" t="s">
        <v>9440</v>
      </c>
      <c r="L1314" s="109" t="s">
        <v>9496</v>
      </c>
    </row>
    <row r="1315" spans="1:12" s="58" customFormat="1" ht="14.85" customHeight="1" x14ac:dyDescent="0.25">
      <c r="A1315" s="108" t="s">
        <v>9308</v>
      </c>
      <c r="B1315" s="115" t="s">
        <v>8939</v>
      </c>
      <c r="C1315" s="115" t="s">
        <v>9338</v>
      </c>
      <c r="D1315" s="109" t="s">
        <v>10302</v>
      </c>
      <c r="E1315" s="106" t="s">
        <v>10303</v>
      </c>
      <c r="F1315" s="109" t="s">
        <v>9496</v>
      </c>
      <c r="G1315" s="115" t="s">
        <v>9324</v>
      </c>
      <c r="H1315" s="115" t="s">
        <v>9323</v>
      </c>
      <c r="I1315" s="109" t="s">
        <v>10023</v>
      </c>
      <c r="J1315" s="239" t="s">
        <v>10024</v>
      </c>
      <c r="K1315" s="109" t="s">
        <v>9440</v>
      </c>
      <c r="L1315" s="109" t="s">
        <v>9496</v>
      </c>
    </row>
    <row r="1316" spans="1:12" s="58" customFormat="1" ht="14.85" customHeight="1" x14ac:dyDescent="0.25">
      <c r="A1316" s="108" t="s">
        <v>9308</v>
      </c>
      <c r="B1316" s="115" t="s">
        <v>8939</v>
      </c>
      <c r="C1316" s="115" t="s">
        <v>9338</v>
      </c>
      <c r="D1316" s="109" t="s">
        <v>10302</v>
      </c>
      <c r="E1316" s="106" t="s">
        <v>10303</v>
      </c>
      <c r="F1316" s="109" t="s">
        <v>9496</v>
      </c>
      <c r="G1316" s="115" t="s">
        <v>9324</v>
      </c>
      <c r="H1316" s="115" t="s">
        <v>9323</v>
      </c>
      <c r="I1316" s="109" t="s">
        <v>10061</v>
      </c>
      <c r="J1316" s="239" t="s">
        <v>10062</v>
      </c>
      <c r="K1316" s="109" t="s">
        <v>9440</v>
      </c>
      <c r="L1316" s="109" t="s">
        <v>9496</v>
      </c>
    </row>
    <row r="1317" spans="1:12" s="58" customFormat="1" ht="14.85" customHeight="1" x14ac:dyDescent="0.25">
      <c r="A1317" s="108" t="s">
        <v>9308</v>
      </c>
      <c r="B1317" s="115" t="s">
        <v>8939</v>
      </c>
      <c r="C1317" s="115" t="s">
        <v>9338</v>
      </c>
      <c r="D1317" s="109" t="s">
        <v>10302</v>
      </c>
      <c r="E1317" s="106" t="s">
        <v>10303</v>
      </c>
      <c r="F1317" s="109" t="s">
        <v>9496</v>
      </c>
      <c r="G1317" s="115" t="s">
        <v>9324</v>
      </c>
      <c r="H1317" s="115" t="s">
        <v>9323</v>
      </c>
      <c r="I1317" s="109" t="s">
        <v>10027</v>
      </c>
      <c r="J1317" s="239" t="s">
        <v>10028</v>
      </c>
      <c r="K1317" s="109" t="s">
        <v>9440</v>
      </c>
      <c r="L1317" s="109" t="s">
        <v>9496</v>
      </c>
    </row>
    <row r="1318" spans="1:12" s="58" customFormat="1" ht="14.85" customHeight="1" x14ac:dyDescent="0.25">
      <c r="A1318" s="108" t="s">
        <v>9308</v>
      </c>
      <c r="B1318" s="115" t="s">
        <v>8939</v>
      </c>
      <c r="C1318" s="115" t="s">
        <v>9338</v>
      </c>
      <c r="D1318" s="109" t="s">
        <v>10304</v>
      </c>
      <c r="E1318" s="106" t="s">
        <v>10305</v>
      </c>
      <c r="F1318" s="109" t="s">
        <v>9496</v>
      </c>
      <c r="G1318" s="115" t="s">
        <v>9324</v>
      </c>
      <c r="H1318" s="115" t="s">
        <v>9323</v>
      </c>
      <c r="I1318" s="109" t="s">
        <v>10061</v>
      </c>
      <c r="J1318" s="239" t="s">
        <v>10062</v>
      </c>
      <c r="K1318" s="109" t="s">
        <v>9440</v>
      </c>
      <c r="L1318" s="109" t="s">
        <v>9496</v>
      </c>
    </row>
    <row r="1319" spans="1:12" s="58" customFormat="1" ht="14.85" customHeight="1" x14ac:dyDescent="0.25">
      <c r="A1319" s="108" t="s">
        <v>9308</v>
      </c>
      <c r="B1319" s="115" t="s">
        <v>8939</v>
      </c>
      <c r="C1319" s="115" t="s">
        <v>9338</v>
      </c>
      <c r="D1319" s="109" t="s">
        <v>10304</v>
      </c>
      <c r="E1319" s="106" t="s">
        <v>10305</v>
      </c>
      <c r="F1319" s="109" t="s">
        <v>9496</v>
      </c>
      <c r="G1319" s="115" t="s">
        <v>9324</v>
      </c>
      <c r="H1319" s="115" t="s">
        <v>9323</v>
      </c>
      <c r="I1319" s="109" t="s">
        <v>10027</v>
      </c>
      <c r="J1319" s="239" t="s">
        <v>10028</v>
      </c>
      <c r="K1319" s="109" t="s">
        <v>9440</v>
      </c>
      <c r="L1319" s="109" t="s">
        <v>9496</v>
      </c>
    </row>
    <row r="1320" spans="1:12" s="58" customFormat="1" ht="14.85" customHeight="1" x14ac:dyDescent="0.25">
      <c r="A1320" s="108" t="s">
        <v>9308</v>
      </c>
      <c r="B1320" s="115" t="s">
        <v>8939</v>
      </c>
      <c r="C1320" s="115" t="s">
        <v>9338</v>
      </c>
      <c r="D1320" s="109" t="s">
        <v>10306</v>
      </c>
      <c r="E1320" s="106" t="s">
        <v>10307</v>
      </c>
      <c r="F1320" s="109" t="s">
        <v>9496</v>
      </c>
      <c r="G1320" s="115" t="s">
        <v>9324</v>
      </c>
      <c r="H1320" s="115" t="s">
        <v>9323</v>
      </c>
      <c r="I1320" s="109" t="s">
        <v>10061</v>
      </c>
      <c r="J1320" s="239" t="s">
        <v>10062</v>
      </c>
      <c r="K1320" s="109" t="s">
        <v>9440</v>
      </c>
      <c r="L1320" s="109" t="s">
        <v>9496</v>
      </c>
    </row>
    <row r="1321" spans="1:12" s="58" customFormat="1" ht="14.85" customHeight="1" x14ac:dyDescent="0.25">
      <c r="A1321" s="108" t="s">
        <v>9308</v>
      </c>
      <c r="B1321" s="115" t="s">
        <v>8939</v>
      </c>
      <c r="C1321" s="115" t="s">
        <v>9338</v>
      </c>
      <c r="D1321" s="109" t="s">
        <v>10306</v>
      </c>
      <c r="E1321" s="106" t="s">
        <v>10307</v>
      </c>
      <c r="F1321" s="109" t="s">
        <v>9496</v>
      </c>
      <c r="G1321" s="115" t="s">
        <v>9324</v>
      </c>
      <c r="H1321" s="115" t="s">
        <v>9323</v>
      </c>
      <c r="I1321" s="109" t="s">
        <v>10027</v>
      </c>
      <c r="J1321" s="239" t="s">
        <v>10028</v>
      </c>
      <c r="K1321" s="109" t="s">
        <v>9440</v>
      </c>
      <c r="L1321" s="109" t="s">
        <v>9496</v>
      </c>
    </row>
    <row r="1322" spans="1:12" s="58" customFormat="1" ht="14.85" customHeight="1" x14ac:dyDescent="0.25">
      <c r="A1322" s="108" t="s">
        <v>9308</v>
      </c>
      <c r="B1322" s="115" t="s">
        <v>8939</v>
      </c>
      <c r="C1322" s="115" t="s">
        <v>9338</v>
      </c>
      <c r="D1322" s="109" t="s">
        <v>10308</v>
      </c>
      <c r="E1322" s="106" t="s">
        <v>10309</v>
      </c>
      <c r="F1322" s="109" t="s">
        <v>9496</v>
      </c>
      <c r="G1322" s="115" t="s">
        <v>9324</v>
      </c>
      <c r="H1322" s="115" t="s">
        <v>9323</v>
      </c>
      <c r="I1322" s="109" t="s">
        <v>10061</v>
      </c>
      <c r="J1322" s="239" t="s">
        <v>10062</v>
      </c>
      <c r="K1322" s="109" t="s">
        <v>9440</v>
      </c>
      <c r="L1322" s="109" t="s">
        <v>9496</v>
      </c>
    </row>
    <row r="1323" spans="1:12" s="58" customFormat="1" ht="14.85" customHeight="1" x14ac:dyDescent="0.25">
      <c r="A1323" s="108" t="s">
        <v>9308</v>
      </c>
      <c r="B1323" s="115" t="s">
        <v>8939</v>
      </c>
      <c r="C1323" s="115" t="s">
        <v>9338</v>
      </c>
      <c r="D1323" s="109" t="s">
        <v>10308</v>
      </c>
      <c r="E1323" s="106" t="s">
        <v>10309</v>
      </c>
      <c r="F1323" s="109" t="s">
        <v>9496</v>
      </c>
      <c r="G1323" s="115" t="s">
        <v>9324</v>
      </c>
      <c r="H1323" s="115" t="s">
        <v>9323</v>
      </c>
      <c r="I1323" s="109" t="s">
        <v>10027</v>
      </c>
      <c r="J1323" s="239" t="s">
        <v>10028</v>
      </c>
      <c r="K1323" s="109" t="s">
        <v>9440</v>
      </c>
      <c r="L1323" s="109" t="s">
        <v>9496</v>
      </c>
    </row>
    <row r="1324" spans="1:12" s="58" customFormat="1" ht="14.85" customHeight="1" x14ac:dyDescent="0.25">
      <c r="A1324" s="108" t="s">
        <v>9308</v>
      </c>
      <c r="B1324" s="115" t="s">
        <v>8939</v>
      </c>
      <c r="C1324" s="115" t="s">
        <v>9338</v>
      </c>
      <c r="D1324" s="109" t="s">
        <v>10310</v>
      </c>
      <c r="E1324" s="106" t="s">
        <v>10311</v>
      </c>
      <c r="F1324" s="109" t="s">
        <v>9496</v>
      </c>
      <c r="G1324" s="115" t="s">
        <v>9324</v>
      </c>
      <c r="H1324" s="115" t="s">
        <v>9323</v>
      </c>
      <c r="I1324" s="109" t="s">
        <v>10061</v>
      </c>
      <c r="J1324" s="239" t="s">
        <v>10062</v>
      </c>
      <c r="K1324" s="109" t="s">
        <v>9440</v>
      </c>
      <c r="L1324" s="109" t="s">
        <v>9496</v>
      </c>
    </row>
    <row r="1325" spans="1:12" s="58" customFormat="1" ht="14.85" customHeight="1" x14ac:dyDescent="0.25">
      <c r="A1325" s="108" t="s">
        <v>9308</v>
      </c>
      <c r="B1325" s="115" t="s">
        <v>8939</v>
      </c>
      <c r="C1325" s="115" t="s">
        <v>9338</v>
      </c>
      <c r="D1325" s="109" t="s">
        <v>10310</v>
      </c>
      <c r="E1325" s="106" t="s">
        <v>10311</v>
      </c>
      <c r="F1325" s="109" t="s">
        <v>9496</v>
      </c>
      <c r="G1325" s="115" t="s">
        <v>9324</v>
      </c>
      <c r="H1325" s="115" t="s">
        <v>9323</v>
      </c>
      <c r="I1325" s="109" t="s">
        <v>10027</v>
      </c>
      <c r="J1325" s="239" t="s">
        <v>10028</v>
      </c>
      <c r="K1325" s="109" t="s">
        <v>9440</v>
      </c>
      <c r="L1325" s="109" t="s">
        <v>9496</v>
      </c>
    </row>
    <row r="1326" spans="1:12" s="58" customFormat="1" ht="14.85" customHeight="1" x14ac:dyDescent="0.25">
      <c r="A1326" s="108" t="s">
        <v>9308</v>
      </c>
      <c r="B1326" s="115" t="s">
        <v>8939</v>
      </c>
      <c r="C1326" s="115" t="s">
        <v>9338</v>
      </c>
      <c r="D1326" s="109" t="s">
        <v>10312</v>
      </c>
      <c r="E1326" s="106" t="s">
        <v>10313</v>
      </c>
      <c r="F1326" s="109" t="s">
        <v>9496</v>
      </c>
      <c r="G1326" s="115" t="s">
        <v>9324</v>
      </c>
      <c r="H1326" s="115" t="s">
        <v>9323</v>
      </c>
      <c r="I1326" s="109" t="s">
        <v>10061</v>
      </c>
      <c r="J1326" s="239" t="s">
        <v>10062</v>
      </c>
      <c r="K1326" s="109" t="s">
        <v>9440</v>
      </c>
      <c r="L1326" s="109" t="s">
        <v>9496</v>
      </c>
    </row>
    <row r="1327" spans="1:12" s="58" customFormat="1" ht="14.85" customHeight="1" x14ac:dyDescent="0.25">
      <c r="A1327" s="108" t="s">
        <v>9308</v>
      </c>
      <c r="B1327" s="115" t="s">
        <v>8939</v>
      </c>
      <c r="C1327" s="115" t="s">
        <v>9338</v>
      </c>
      <c r="D1327" s="109" t="s">
        <v>10312</v>
      </c>
      <c r="E1327" s="106" t="s">
        <v>10313</v>
      </c>
      <c r="F1327" s="109" t="s">
        <v>9496</v>
      </c>
      <c r="G1327" s="115" t="s">
        <v>9324</v>
      </c>
      <c r="H1327" s="115" t="s">
        <v>9323</v>
      </c>
      <c r="I1327" s="109" t="s">
        <v>10027</v>
      </c>
      <c r="J1327" s="239" t="s">
        <v>10028</v>
      </c>
      <c r="K1327" s="109" t="s">
        <v>9440</v>
      </c>
      <c r="L1327" s="109" t="s">
        <v>9496</v>
      </c>
    </row>
    <row r="1328" spans="1:12" s="58" customFormat="1" ht="14.85" customHeight="1" x14ac:dyDescent="0.25">
      <c r="A1328" s="108" t="s">
        <v>9308</v>
      </c>
      <c r="B1328" s="115" t="s">
        <v>8939</v>
      </c>
      <c r="C1328" s="115" t="s">
        <v>9338</v>
      </c>
      <c r="D1328" s="109" t="s">
        <v>10314</v>
      </c>
      <c r="E1328" s="106" t="s">
        <v>10315</v>
      </c>
      <c r="F1328" s="109" t="s">
        <v>9496</v>
      </c>
      <c r="G1328" s="115" t="s">
        <v>9324</v>
      </c>
      <c r="H1328" s="115" t="s">
        <v>9323</v>
      </c>
      <c r="I1328" s="109" t="s">
        <v>10061</v>
      </c>
      <c r="J1328" s="239" t="s">
        <v>10062</v>
      </c>
      <c r="K1328" s="109" t="s">
        <v>9440</v>
      </c>
      <c r="L1328" s="109" t="s">
        <v>9496</v>
      </c>
    </row>
    <row r="1329" spans="1:12" s="58" customFormat="1" ht="14.85" customHeight="1" x14ac:dyDescent="0.25">
      <c r="A1329" s="108" t="s">
        <v>9308</v>
      </c>
      <c r="B1329" s="115" t="s">
        <v>8939</v>
      </c>
      <c r="C1329" s="115" t="s">
        <v>9338</v>
      </c>
      <c r="D1329" s="109" t="s">
        <v>10314</v>
      </c>
      <c r="E1329" s="106" t="s">
        <v>10315</v>
      </c>
      <c r="F1329" s="109" t="s">
        <v>9496</v>
      </c>
      <c r="G1329" s="115" t="s">
        <v>9324</v>
      </c>
      <c r="H1329" s="115" t="s">
        <v>9323</v>
      </c>
      <c r="I1329" s="109" t="s">
        <v>10027</v>
      </c>
      <c r="J1329" s="239" t="s">
        <v>10028</v>
      </c>
      <c r="K1329" s="109" t="s">
        <v>9440</v>
      </c>
      <c r="L1329" s="109" t="s">
        <v>9496</v>
      </c>
    </row>
    <row r="1330" spans="1:12" s="58" customFormat="1" ht="14.85" customHeight="1" x14ac:dyDescent="0.25">
      <c r="A1330" s="108" t="s">
        <v>9308</v>
      </c>
      <c r="B1330" s="115" t="s">
        <v>8939</v>
      </c>
      <c r="C1330" s="115" t="s">
        <v>9338</v>
      </c>
      <c r="D1330" s="109" t="s">
        <v>10316</v>
      </c>
      <c r="E1330" s="106" t="s">
        <v>10317</v>
      </c>
      <c r="F1330" s="109" t="s">
        <v>9496</v>
      </c>
      <c r="G1330" s="115" t="s">
        <v>9324</v>
      </c>
      <c r="H1330" s="115" t="s">
        <v>9323</v>
      </c>
      <c r="I1330" s="109" t="s">
        <v>10061</v>
      </c>
      <c r="J1330" s="239" t="s">
        <v>10062</v>
      </c>
      <c r="K1330" s="109" t="s">
        <v>9440</v>
      </c>
      <c r="L1330" s="109" t="s">
        <v>9496</v>
      </c>
    </row>
    <row r="1331" spans="1:12" s="58" customFormat="1" ht="14.85" customHeight="1" x14ac:dyDescent="0.25">
      <c r="A1331" s="108" t="s">
        <v>9308</v>
      </c>
      <c r="B1331" s="115" t="s">
        <v>8939</v>
      </c>
      <c r="C1331" s="115" t="s">
        <v>9338</v>
      </c>
      <c r="D1331" s="109" t="s">
        <v>10316</v>
      </c>
      <c r="E1331" s="106" t="s">
        <v>10317</v>
      </c>
      <c r="F1331" s="109" t="s">
        <v>9496</v>
      </c>
      <c r="G1331" s="115" t="s">
        <v>9324</v>
      </c>
      <c r="H1331" s="115" t="s">
        <v>9323</v>
      </c>
      <c r="I1331" s="109" t="s">
        <v>10027</v>
      </c>
      <c r="J1331" s="239" t="s">
        <v>10028</v>
      </c>
      <c r="K1331" s="109" t="s">
        <v>9440</v>
      </c>
      <c r="L1331" s="109" t="s">
        <v>9496</v>
      </c>
    </row>
    <row r="1332" spans="1:12" s="58" customFormat="1" ht="14.85" customHeight="1" x14ac:dyDescent="0.25">
      <c r="A1332" s="108" t="s">
        <v>9308</v>
      </c>
      <c r="B1332" s="115" t="s">
        <v>8939</v>
      </c>
      <c r="C1332" s="115" t="s">
        <v>9338</v>
      </c>
      <c r="D1332" s="109" t="s">
        <v>10318</v>
      </c>
      <c r="E1332" s="106" t="s">
        <v>10319</v>
      </c>
      <c r="F1332" s="109" t="s">
        <v>9496</v>
      </c>
      <c r="G1332" s="115" t="s">
        <v>9324</v>
      </c>
      <c r="H1332" s="115" t="s">
        <v>9324</v>
      </c>
      <c r="I1332" s="109" t="s">
        <v>10061</v>
      </c>
      <c r="J1332" s="239" t="s">
        <v>10062</v>
      </c>
      <c r="K1332" s="109" t="s">
        <v>9440</v>
      </c>
      <c r="L1332" s="109" t="s">
        <v>9496</v>
      </c>
    </row>
    <row r="1333" spans="1:12" s="58" customFormat="1" ht="14.85" customHeight="1" x14ac:dyDescent="0.25">
      <c r="A1333" s="108" t="s">
        <v>9308</v>
      </c>
      <c r="B1333" s="115" t="s">
        <v>8939</v>
      </c>
      <c r="C1333" s="115" t="s">
        <v>9338</v>
      </c>
      <c r="D1333" s="109" t="s">
        <v>10318</v>
      </c>
      <c r="E1333" s="106" t="s">
        <v>10319</v>
      </c>
      <c r="F1333" s="109" t="s">
        <v>9496</v>
      </c>
      <c r="G1333" s="115" t="s">
        <v>9324</v>
      </c>
      <c r="H1333" s="115" t="s">
        <v>9324</v>
      </c>
      <c r="I1333" s="109" t="s">
        <v>10027</v>
      </c>
      <c r="J1333" s="239" t="s">
        <v>10028</v>
      </c>
      <c r="K1333" s="109" t="s">
        <v>9440</v>
      </c>
      <c r="L1333" s="109" t="s">
        <v>9496</v>
      </c>
    </row>
    <row r="1334" spans="1:12" s="58" customFormat="1" ht="14.85" customHeight="1" x14ac:dyDescent="0.25">
      <c r="A1334" s="108" t="s">
        <v>9308</v>
      </c>
      <c r="B1334" s="115" t="s">
        <v>8939</v>
      </c>
      <c r="C1334" s="115" t="s">
        <v>9338</v>
      </c>
      <c r="D1334" s="109" t="s">
        <v>10320</v>
      </c>
      <c r="E1334" s="106" t="s">
        <v>10321</v>
      </c>
      <c r="F1334" s="109" t="s">
        <v>9496</v>
      </c>
      <c r="G1334" s="115" t="s">
        <v>9324</v>
      </c>
      <c r="H1334" s="115" t="s">
        <v>9323</v>
      </c>
      <c r="I1334" s="109" t="s">
        <v>10051</v>
      </c>
      <c r="J1334" s="239" t="s">
        <v>10052</v>
      </c>
      <c r="K1334" s="109" t="s">
        <v>9440</v>
      </c>
      <c r="L1334" s="109" t="s">
        <v>9496</v>
      </c>
    </row>
    <row r="1335" spans="1:12" s="58" customFormat="1" ht="14.85" customHeight="1" x14ac:dyDescent="0.25">
      <c r="A1335" s="108" t="s">
        <v>9308</v>
      </c>
      <c r="B1335" s="115" t="s">
        <v>8939</v>
      </c>
      <c r="C1335" s="115" t="s">
        <v>9338</v>
      </c>
      <c r="D1335" s="109" t="s">
        <v>10320</v>
      </c>
      <c r="E1335" s="106" t="s">
        <v>10321</v>
      </c>
      <c r="F1335" s="109" t="s">
        <v>9496</v>
      </c>
      <c r="G1335" s="115" t="s">
        <v>9324</v>
      </c>
      <c r="H1335" s="115" t="s">
        <v>9323</v>
      </c>
      <c r="I1335" s="109" t="s">
        <v>10059</v>
      </c>
      <c r="J1335" s="239" t="s">
        <v>10060</v>
      </c>
      <c r="K1335" s="109" t="s">
        <v>9440</v>
      </c>
      <c r="L1335" s="109" t="s">
        <v>9496</v>
      </c>
    </row>
    <row r="1336" spans="1:12" s="58" customFormat="1" ht="14.85" customHeight="1" x14ac:dyDescent="0.25">
      <c r="A1336" s="108" t="s">
        <v>9308</v>
      </c>
      <c r="B1336" s="115" t="s">
        <v>8939</v>
      </c>
      <c r="C1336" s="115" t="s">
        <v>9338</v>
      </c>
      <c r="D1336" s="109" t="s">
        <v>10320</v>
      </c>
      <c r="E1336" s="106" t="s">
        <v>10321</v>
      </c>
      <c r="F1336" s="109" t="s">
        <v>9496</v>
      </c>
      <c r="G1336" s="115" t="s">
        <v>9324</v>
      </c>
      <c r="H1336" s="115" t="s">
        <v>9323</v>
      </c>
      <c r="I1336" s="109" t="s">
        <v>10061</v>
      </c>
      <c r="J1336" s="239" t="s">
        <v>10062</v>
      </c>
      <c r="K1336" s="109" t="s">
        <v>9440</v>
      </c>
      <c r="L1336" s="109" t="s">
        <v>9496</v>
      </c>
    </row>
    <row r="1337" spans="1:12" s="58" customFormat="1" ht="14.85" customHeight="1" x14ac:dyDescent="0.25">
      <c r="A1337" s="108" t="s">
        <v>9308</v>
      </c>
      <c r="B1337" s="115" t="s">
        <v>8939</v>
      </c>
      <c r="C1337" s="115" t="s">
        <v>9338</v>
      </c>
      <c r="D1337" s="109" t="s">
        <v>10320</v>
      </c>
      <c r="E1337" s="106" t="s">
        <v>10321</v>
      </c>
      <c r="F1337" s="109" t="s">
        <v>9496</v>
      </c>
      <c r="G1337" s="115" t="s">
        <v>9324</v>
      </c>
      <c r="H1337" s="115" t="s">
        <v>9323</v>
      </c>
      <c r="I1337" s="109" t="s">
        <v>10027</v>
      </c>
      <c r="J1337" s="239" t="s">
        <v>10028</v>
      </c>
      <c r="K1337" s="109" t="s">
        <v>9440</v>
      </c>
      <c r="L1337" s="109" t="s">
        <v>9496</v>
      </c>
    </row>
    <row r="1338" spans="1:12" s="58" customFormat="1" ht="14.85" customHeight="1" x14ac:dyDescent="0.25">
      <c r="A1338" s="108" t="s">
        <v>9308</v>
      </c>
      <c r="B1338" s="115" t="s">
        <v>8939</v>
      </c>
      <c r="C1338" s="115" t="s">
        <v>9338</v>
      </c>
      <c r="D1338" s="109" t="s">
        <v>10322</v>
      </c>
      <c r="E1338" s="106" t="s">
        <v>10323</v>
      </c>
      <c r="F1338" s="109" t="s">
        <v>9496</v>
      </c>
      <c r="G1338" s="115" t="s">
        <v>9324</v>
      </c>
      <c r="H1338" s="115" t="s">
        <v>9323</v>
      </c>
      <c r="I1338" s="109" t="s">
        <v>10324</v>
      </c>
      <c r="J1338" s="299" t="s">
        <v>10325</v>
      </c>
      <c r="K1338" s="109" t="s">
        <v>9440</v>
      </c>
      <c r="L1338" s="109" t="s">
        <v>9496</v>
      </c>
    </row>
    <row r="1339" spans="1:12" s="58" customFormat="1" ht="14.85" customHeight="1" x14ac:dyDescent="0.25">
      <c r="A1339" s="108" t="s">
        <v>9308</v>
      </c>
      <c r="B1339" s="115" t="s">
        <v>8939</v>
      </c>
      <c r="C1339" s="115" t="s">
        <v>9338</v>
      </c>
      <c r="D1339" s="109" t="s">
        <v>10322</v>
      </c>
      <c r="E1339" s="106" t="s">
        <v>10323</v>
      </c>
      <c r="F1339" s="109" t="s">
        <v>9496</v>
      </c>
      <c r="G1339" s="115" t="s">
        <v>9324</v>
      </c>
      <c r="H1339" s="115" t="s">
        <v>9323</v>
      </c>
      <c r="I1339" s="109" t="s">
        <v>10326</v>
      </c>
      <c r="J1339" s="299" t="s">
        <v>10327</v>
      </c>
      <c r="K1339" s="109" t="s">
        <v>9440</v>
      </c>
      <c r="L1339" s="109" t="s">
        <v>9496</v>
      </c>
    </row>
    <row r="1340" spans="1:12" s="58" customFormat="1" ht="14.85" customHeight="1" x14ac:dyDescent="0.25">
      <c r="A1340" s="108" t="s">
        <v>9308</v>
      </c>
      <c r="B1340" s="115" t="s">
        <v>8939</v>
      </c>
      <c r="C1340" s="115" t="s">
        <v>9338</v>
      </c>
      <c r="D1340" s="109" t="s">
        <v>10322</v>
      </c>
      <c r="E1340" s="106" t="s">
        <v>10323</v>
      </c>
      <c r="F1340" s="109" t="s">
        <v>9496</v>
      </c>
      <c r="G1340" s="115" t="s">
        <v>9324</v>
      </c>
      <c r="H1340" s="115" t="s">
        <v>9323</v>
      </c>
      <c r="I1340" s="109" t="s">
        <v>10328</v>
      </c>
      <c r="J1340" s="299" t="s">
        <v>10329</v>
      </c>
      <c r="K1340" s="109" t="s">
        <v>9440</v>
      </c>
      <c r="L1340" s="109" t="s">
        <v>9496</v>
      </c>
    </row>
    <row r="1341" spans="1:12" s="58" customFormat="1" ht="14.85" customHeight="1" x14ac:dyDescent="0.25">
      <c r="A1341" s="108" t="s">
        <v>9308</v>
      </c>
      <c r="B1341" s="115" t="s">
        <v>8939</v>
      </c>
      <c r="C1341" s="115" t="s">
        <v>9338</v>
      </c>
      <c r="D1341" s="109" t="s">
        <v>10322</v>
      </c>
      <c r="E1341" s="106" t="s">
        <v>10323</v>
      </c>
      <c r="F1341" s="109" t="s">
        <v>9496</v>
      </c>
      <c r="G1341" s="115" t="s">
        <v>9324</v>
      </c>
      <c r="H1341" s="115" t="s">
        <v>9323</v>
      </c>
      <c r="I1341" s="109" t="s">
        <v>10330</v>
      </c>
      <c r="J1341" s="299" t="s">
        <v>10331</v>
      </c>
      <c r="K1341" s="109" t="s">
        <v>9440</v>
      </c>
      <c r="L1341" s="109" t="s">
        <v>9496</v>
      </c>
    </row>
    <row r="1342" spans="1:12" s="58" customFormat="1" ht="14.85" customHeight="1" x14ac:dyDescent="0.25">
      <c r="A1342" s="108" t="s">
        <v>9308</v>
      </c>
      <c r="B1342" s="115" t="s">
        <v>8939</v>
      </c>
      <c r="C1342" s="115" t="s">
        <v>9338</v>
      </c>
      <c r="D1342" s="109" t="s">
        <v>10322</v>
      </c>
      <c r="E1342" s="106" t="s">
        <v>10323</v>
      </c>
      <c r="F1342" s="109" t="s">
        <v>9496</v>
      </c>
      <c r="G1342" s="115" t="s">
        <v>9324</v>
      </c>
      <c r="H1342" s="115" t="s">
        <v>9323</v>
      </c>
      <c r="I1342" s="109" t="s">
        <v>10332</v>
      </c>
      <c r="J1342" s="299" t="s">
        <v>10333</v>
      </c>
      <c r="K1342" s="109" t="s">
        <v>9440</v>
      </c>
      <c r="L1342" s="109" t="s">
        <v>9496</v>
      </c>
    </row>
    <row r="1343" spans="1:12" s="58" customFormat="1" ht="14.85" customHeight="1" x14ac:dyDescent="0.25">
      <c r="A1343" s="108" t="s">
        <v>9308</v>
      </c>
      <c r="B1343" s="115" t="s">
        <v>8939</v>
      </c>
      <c r="C1343" s="115" t="s">
        <v>9338</v>
      </c>
      <c r="D1343" s="109" t="s">
        <v>10334</v>
      </c>
      <c r="E1343" s="106" t="s">
        <v>10335</v>
      </c>
      <c r="F1343" s="109" t="s">
        <v>9496</v>
      </c>
      <c r="G1343" s="115" t="s">
        <v>9324</v>
      </c>
      <c r="H1343" s="115" t="s">
        <v>9323</v>
      </c>
      <c r="I1343" s="109" t="s">
        <v>10162</v>
      </c>
      <c r="J1343" s="239" t="s">
        <v>10163</v>
      </c>
      <c r="K1343" s="109" t="s">
        <v>9440</v>
      </c>
      <c r="L1343" s="109" t="s">
        <v>9496</v>
      </c>
    </row>
    <row r="1344" spans="1:12" s="58" customFormat="1" ht="14.85" customHeight="1" x14ac:dyDescent="0.25">
      <c r="A1344" s="108" t="s">
        <v>9308</v>
      </c>
      <c r="B1344" s="115" t="s">
        <v>8939</v>
      </c>
      <c r="C1344" s="115" t="s">
        <v>9338</v>
      </c>
      <c r="D1344" s="109" t="s">
        <v>10336</v>
      </c>
      <c r="E1344" s="106" t="s">
        <v>10337</v>
      </c>
      <c r="F1344" s="109" t="s">
        <v>9496</v>
      </c>
      <c r="G1344" s="115" t="s">
        <v>9324</v>
      </c>
      <c r="H1344" s="115" t="s">
        <v>9323</v>
      </c>
      <c r="I1344" s="109" t="s">
        <v>10162</v>
      </c>
      <c r="J1344" s="239" t="s">
        <v>10163</v>
      </c>
      <c r="K1344" s="109" t="s">
        <v>9440</v>
      </c>
      <c r="L1344" s="109" t="s">
        <v>9496</v>
      </c>
    </row>
    <row r="1345" spans="1:12" s="58" customFormat="1" ht="14.85" customHeight="1" x14ac:dyDescent="0.25">
      <c r="A1345" s="108" t="s">
        <v>9308</v>
      </c>
      <c r="B1345" s="115" t="s">
        <v>8939</v>
      </c>
      <c r="C1345" s="115" t="s">
        <v>9338</v>
      </c>
      <c r="D1345" s="109" t="s">
        <v>10338</v>
      </c>
      <c r="E1345" s="106" t="s">
        <v>10339</v>
      </c>
      <c r="F1345" s="109" t="s">
        <v>9496</v>
      </c>
      <c r="G1345" s="115" t="s">
        <v>9324</v>
      </c>
      <c r="H1345" s="115" t="s">
        <v>9323</v>
      </c>
      <c r="I1345" s="109" t="s">
        <v>10328</v>
      </c>
      <c r="J1345" s="239" t="s">
        <v>10329</v>
      </c>
      <c r="K1345" s="109" t="s">
        <v>9440</v>
      </c>
      <c r="L1345" s="109" t="s">
        <v>9496</v>
      </c>
    </row>
    <row r="1346" spans="1:12" s="58" customFormat="1" ht="14.85" customHeight="1" x14ac:dyDescent="0.25">
      <c r="A1346" s="108" t="s">
        <v>9308</v>
      </c>
      <c r="B1346" s="115" t="s">
        <v>8939</v>
      </c>
      <c r="C1346" s="115" t="s">
        <v>9338</v>
      </c>
      <c r="D1346" s="109" t="s">
        <v>10340</v>
      </c>
      <c r="E1346" s="106" t="s">
        <v>10341</v>
      </c>
      <c r="F1346" s="109" t="s">
        <v>9496</v>
      </c>
      <c r="G1346" s="115" t="s">
        <v>9324</v>
      </c>
      <c r="H1346" s="115" t="s">
        <v>9323</v>
      </c>
      <c r="I1346" s="109" t="s">
        <v>10328</v>
      </c>
      <c r="J1346" s="239" t="s">
        <v>10329</v>
      </c>
      <c r="K1346" s="109" t="s">
        <v>9440</v>
      </c>
      <c r="L1346" s="109" t="s">
        <v>9496</v>
      </c>
    </row>
    <row r="1347" spans="1:12" s="58" customFormat="1" ht="14.85" customHeight="1" x14ac:dyDescent="0.25">
      <c r="A1347" s="108" t="s">
        <v>9308</v>
      </c>
      <c r="B1347" s="115" t="s">
        <v>8939</v>
      </c>
      <c r="C1347" s="115" t="s">
        <v>9338</v>
      </c>
      <c r="D1347" s="109" t="s">
        <v>10342</v>
      </c>
      <c r="E1347" s="106" t="s">
        <v>10343</v>
      </c>
      <c r="F1347" s="109" t="s">
        <v>9496</v>
      </c>
      <c r="G1347" s="115" t="s">
        <v>9324</v>
      </c>
      <c r="H1347" s="115" t="s">
        <v>9324</v>
      </c>
      <c r="I1347" s="109" t="s">
        <v>10328</v>
      </c>
      <c r="J1347" s="239" t="s">
        <v>10329</v>
      </c>
      <c r="K1347" s="109" t="s">
        <v>9440</v>
      </c>
      <c r="L1347" s="109" t="s">
        <v>9496</v>
      </c>
    </row>
    <row r="1348" spans="1:12" s="58" customFormat="1" ht="14.85" customHeight="1" x14ac:dyDescent="0.25">
      <c r="A1348" s="108" t="s">
        <v>9308</v>
      </c>
      <c r="B1348" s="115" t="s">
        <v>8939</v>
      </c>
      <c r="C1348" s="115" t="s">
        <v>9338</v>
      </c>
      <c r="D1348" s="109" t="s">
        <v>10344</v>
      </c>
      <c r="E1348" s="106" t="s">
        <v>10345</v>
      </c>
      <c r="F1348" s="109" t="s">
        <v>9496</v>
      </c>
      <c r="G1348" s="115" t="s">
        <v>9324</v>
      </c>
      <c r="H1348" s="115" t="s">
        <v>9323</v>
      </c>
      <c r="I1348" s="109" t="s">
        <v>10326</v>
      </c>
      <c r="J1348" s="239" t="s">
        <v>10327</v>
      </c>
      <c r="K1348" s="109" t="s">
        <v>9440</v>
      </c>
      <c r="L1348" s="109" t="s">
        <v>9496</v>
      </c>
    </row>
    <row r="1349" spans="1:12" s="58" customFormat="1" ht="14.85" customHeight="1" x14ac:dyDescent="0.25">
      <c r="A1349" s="108" t="s">
        <v>9308</v>
      </c>
      <c r="B1349" s="115" t="s">
        <v>8939</v>
      </c>
      <c r="C1349" s="115" t="s">
        <v>9338</v>
      </c>
      <c r="D1349" s="109" t="s">
        <v>10346</v>
      </c>
      <c r="E1349" s="106" t="s">
        <v>10347</v>
      </c>
      <c r="F1349" s="109" t="s">
        <v>9496</v>
      </c>
      <c r="G1349" s="115" t="s">
        <v>9324</v>
      </c>
      <c r="H1349" s="115" t="s">
        <v>9323</v>
      </c>
      <c r="I1349" s="109" t="s">
        <v>10326</v>
      </c>
      <c r="J1349" s="239" t="s">
        <v>10327</v>
      </c>
      <c r="K1349" s="109" t="s">
        <v>9440</v>
      </c>
      <c r="L1349" s="109" t="s">
        <v>9496</v>
      </c>
    </row>
    <row r="1350" spans="1:12" s="58" customFormat="1" ht="14.85" customHeight="1" x14ac:dyDescent="0.25">
      <c r="A1350" s="108" t="s">
        <v>9308</v>
      </c>
      <c r="B1350" s="115" t="s">
        <v>8939</v>
      </c>
      <c r="C1350" s="115" t="s">
        <v>9338</v>
      </c>
      <c r="D1350" s="109" t="s">
        <v>10348</v>
      </c>
      <c r="E1350" s="106" t="s">
        <v>10349</v>
      </c>
      <c r="F1350" s="109" t="s">
        <v>9496</v>
      </c>
      <c r="G1350" s="115" t="s">
        <v>9324</v>
      </c>
      <c r="H1350" s="115" t="s">
        <v>9324</v>
      </c>
      <c r="I1350" s="109" t="s">
        <v>10326</v>
      </c>
      <c r="J1350" s="239" t="s">
        <v>10327</v>
      </c>
      <c r="K1350" s="109" t="s">
        <v>9440</v>
      </c>
      <c r="L1350" s="109" t="s">
        <v>9496</v>
      </c>
    </row>
    <row r="1351" spans="1:12" s="58" customFormat="1" ht="14.85" customHeight="1" x14ac:dyDescent="0.25">
      <c r="A1351" s="108" t="s">
        <v>9308</v>
      </c>
      <c r="B1351" s="115" t="s">
        <v>8939</v>
      </c>
      <c r="C1351" s="115" t="s">
        <v>9338</v>
      </c>
      <c r="D1351" s="109" t="s">
        <v>10350</v>
      </c>
      <c r="E1351" s="106" t="s">
        <v>10351</v>
      </c>
      <c r="F1351" s="109" t="s">
        <v>9496</v>
      </c>
      <c r="G1351" s="115" t="s">
        <v>9324</v>
      </c>
      <c r="H1351" s="115" t="s">
        <v>9323</v>
      </c>
      <c r="I1351" s="109" t="s">
        <v>10090</v>
      </c>
      <c r="J1351" s="239" t="s">
        <v>10091</v>
      </c>
      <c r="K1351" s="109" t="s">
        <v>9440</v>
      </c>
      <c r="L1351" s="109" t="s">
        <v>9496</v>
      </c>
    </row>
    <row r="1352" spans="1:12" s="58" customFormat="1" ht="14.85" customHeight="1" x14ac:dyDescent="0.25">
      <c r="A1352" s="108" t="s">
        <v>9308</v>
      </c>
      <c r="B1352" s="115" t="s">
        <v>8939</v>
      </c>
      <c r="C1352" s="115" t="s">
        <v>9338</v>
      </c>
      <c r="D1352" s="109" t="s">
        <v>10350</v>
      </c>
      <c r="E1352" s="106" t="s">
        <v>10351</v>
      </c>
      <c r="F1352" s="109" t="s">
        <v>9496</v>
      </c>
      <c r="G1352" s="115" t="s">
        <v>9324</v>
      </c>
      <c r="H1352" s="115" t="s">
        <v>9323</v>
      </c>
      <c r="I1352" s="109" t="s">
        <v>10326</v>
      </c>
      <c r="J1352" s="239" t="s">
        <v>10327</v>
      </c>
      <c r="K1352" s="109" t="s">
        <v>9440</v>
      </c>
      <c r="L1352" s="109" t="s">
        <v>9496</v>
      </c>
    </row>
    <row r="1353" spans="1:12" s="58" customFormat="1" ht="14.85" customHeight="1" x14ac:dyDescent="0.25">
      <c r="A1353" s="108" t="s">
        <v>9308</v>
      </c>
      <c r="B1353" s="115" t="s">
        <v>8939</v>
      </c>
      <c r="C1353" s="115" t="s">
        <v>9338</v>
      </c>
      <c r="D1353" s="109" t="s">
        <v>10350</v>
      </c>
      <c r="E1353" s="106" t="s">
        <v>10351</v>
      </c>
      <c r="F1353" s="109" t="s">
        <v>9496</v>
      </c>
      <c r="G1353" s="115" t="s">
        <v>9324</v>
      </c>
      <c r="H1353" s="115" t="s">
        <v>9323</v>
      </c>
      <c r="I1353" s="109" t="s">
        <v>10092</v>
      </c>
      <c r="J1353" s="239" t="s">
        <v>10093</v>
      </c>
      <c r="K1353" s="109" t="s">
        <v>9440</v>
      </c>
      <c r="L1353" s="109" t="s">
        <v>9496</v>
      </c>
    </row>
    <row r="1354" spans="1:12" s="58" customFormat="1" ht="14.85" customHeight="1" x14ac:dyDescent="0.25">
      <c r="A1354" s="108" t="s">
        <v>9308</v>
      </c>
      <c r="B1354" s="115" t="s">
        <v>8939</v>
      </c>
      <c r="C1354" s="115" t="s">
        <v>9338</v>
      </c>
      <c r="D1354" s="109" t="s">
        <v>10352</v>
      </c>
      <c r="E1354" s="106" t="s">
        <v>10353</v>
      </c>
      <c r="F1354" s="109" t="s">
        <v>9496</v>
      </c>
      <c r="G1354" s="115" t="s">
        <v>9324</v>
      </c>
      <c r="H1354" s="115" t="s">
        <v>9323</v>
      </c>
      <c r="I1354" s="109" t="s">
        <v>10090</v>
      </c>
      <c r="J1354" s="239" t="s">
        <v>10091</v>
      </c>
      <c r="K1354" s="109" t="s">
        <v>9440</v>
      </c>
      <c r="L1354" s="109" t="s">
        <v>9496</v>
      </c>
    </row>
    <row r="1355" spans="1:12" s="58" customFormat="1" ht="14.85" customHeight="1" x14ac:dyDescent="0.25">
      <c r="A1355" s="108" t="s">
        <v>9308</v>
      </c>
      <c r="B1355" s="115" t="s">
        <v>8939</v>
      </c>
      <c r="C1355" s="115" t="s">
        <v>9338</v>
      </c>
      <c r="D1355" s="109" t="s">
        <v>10352</v>
      </c>
      <c r="E1355" s="106" t="s">
        <v>10353</v>
      </c>
      <c r="F1355" s="109" t="s">
        <v>9496</v>
      </c>
      <c r="G1355" s="115" t="s">
        <v>9324</v>
      </c>
      <c r="H1355" s="115" t="s">
        <v>9323</v>
      </c>
      <c r="I1355" s="109" t="s">
        <v>10328</v>
      </c>
      <c r="J1355" s="239" t="s">
        <v>10329</v>
      </c>
      <c r="K1355" s="109" t="s">
        <v>9440</v>
      </c>
      <c r="L1355" s="109" t="s">
        <v>9496</v>
      </c>
    </row>
    <row r="1356" spans="1:12" s="58" customFormat="1" ht="14.85" customHeight="1" x14ac:dyDescent="0.25">
      <c r="A1356" s="108" t="s">
        <v>9308</v>
      </c>
      <c r="B1356" s="115" t="s">
        <v>8939</v>
      </c>
      <c r="C1356" s="115" t="s">
        <v>9338</v>
      </c>
      <c r="D1356" s="109" t="s">
        <v>10352</v>
      </c>
      <c r="E1356" s="106" t="s">
        <v>10353</v>
      </c>
      <c r="F1356" s="109" t="s">
        <v>9496</v>
      </c>
      <c r="G1356" s="115" t="s">
        <v>9324</v>
      </c>
      <c r="H1356" s="115" t="s">
        <v>9323</v>
      </c>
      <c r="I1356" s="109" t="s">
        <v>10092</v>
      </c>
      <c r="J1356" s="239" t="s">
        <v>10093</v>
      </c>
      <c r="K1356" s="109" t="s">
        <v>9440</v>
      </c>
      <c r="L1356" s="109" t="s">
        <v>9496</v>
      </c>
    </row>
    <row r="1357" spans="1:12" s="58" customFormat="1" ht="14.85" customHeight="1" x14ac:dyDescent="0.25">
      <c r="A1357" s="108" t="s">
        <v>9308</v>
      </c>
      <c r="B1357" s="115" t="s">
        <v>8939</v>
      </c>
      <c r="C1357" s="115" t="s">
        <v>9338</v>
      </c>
      <c r="D1357" s="109" t="s">
        <v>10354</v>
      </c>
      <c r="E1357" s="106" t="s">
        <v>10355</v>
      </c>
      <c r="F1357" s="109" t="s">
        <v>9496</v>
      </c>
      <c r="G1357" s="115" t="s">
        <v>9324</v>
      </c>
      <c r="H1357" s="115" t="s">
        <v>9323</v>
      </c>
      <c r="I1357" s="109" t="s">
        <v>10090</v>
      </c>
      <c r="J1357" s="239" t="s">
        <v>10091</v>
      </c>
      <c r="K1357" s="109" t="s">
        <v>9440</v>
      </c>
      <c r="L1357" s="109" t="s">
        <v>9496</v>
      </c>
    </row>
    <row r="1358" spans="1:12" s="58" customFormat="1" ht="14.85" customHeight="1" x14ac:dyDescent="0.25">
      <c r="A1358" s="108" t="s">
        <v>9308</v>
      </c>
      <c r="B1358" s="115" t="s">
        <v>8939</v>
      </c>
      <c r="C1358" s="115" t="s">
        <v>9338</v>
      </c>
      <c r="D1358" s="109" t="s">
        <v>10354</v>
      </c>
      <c r="E1358" s="106" t="s">
        <v>10355</v>
      </c>
      <c r="F1358" s="109" t="s">
        <v>9496</v>
      </c>
      <c r="G1358" s="115" t="s">
        <v>9324</v>
      </c>
      <c r="H1358" s="115" t="s">
        <v>9323</v>
      </c>
      <c r="I1358" s="109" t="s">
        <v>10330</v>
      </c>
      <c r="J1358" s="239" t="s">
        <v>10331</v>
      </c>
      <c r="K1358" s="109" t="s">
        <v>9440</v>
      </c>
      <c r="L1358" s="109" t="s">
        <v>9496</v>
      </c>
    </row>
    <row r="1359" spans="1:12" s="58" customFormat="1" ht="14.85" customHeight="1" x14ac:dyDescent="0.25">
      <c r="A1359" s="108" t="s">
        <v>9308</v>
      </c>
      <c r="B1359" s="115" t="s">
        <v>8939</v>
      </c>
      <c r="C1359" s="115" t="s">
        <v>9338</v>
      </c>
      <c r="D1359" s="109" t="s">
        <v>10354</v>
      </c>
      <c r="E1359" s="106" t="s">
        <v>10355</v>
      </c>
      <c r="F1359" s="109" t="s">
        <v>9496</v>
      </c>
      <c r="G1359" s="115" t="s">
        <v>9324</v>
      </c>
      <c r="H1359" s="115" t="s">
        <v>9323</v>
      </c>
      <c r="I1359" s="109" t="s">
        <v>10092</v>
      </c>
      <c r="J1359" s="239" t="s">
        <v>10093</v>
      </c>
      <c r="K1359" s="109" t="s">
        <v>9440</v>
      </c>
      <c r="L1359" s="109" t="s">
        <v>9496</v>
      </c>
    </row>
    <row r="1360" spans="1:12" s="58" customFormat="1" ht="14.85" customHeight="1" x14ac:dyDescent="0.25">
      <c r="A1360" s="108" t="s">
        <v>9308</v>
      </c>
      <c r="B1360" s="115" t="s">
        <v>8939</v>
      </c>
      <c r="C1360" s="115" t="s">
        <v>9338</v>
      </c>
      <c r="D1360" s="109" t="s">
        <v>10356</v>
      </c>
      <c r="E1360" s="106" t="s">
        <v>10357</v>
      </c>
      <c r="F1360" s="109" t="s">
        <v>9496</v>
      </c>
      <c r="G1360" s="115" t="s">
        <v>9324</v>
      </c>
      <c r="H1360" s="115" t="s">
        <v>9323</v>
      </c>
      <c r="I1360" s="109" t="s">
        <v>10330</v>
      </c>
      <c r="J1360" s="239" t="s">
        <v>10331</v>
      </c>
      <c r="K1360" s="109" t="s">
        <v>9440</v>
      </c>
      <c r="L1360" s="109" t="s">
        <v>9496</v>
      </c>
    </row>
    <row r="1361" spans="1:12" s="58" customFormat="1" ht="14.85" customHeight="1" x14ac:dyDescent="0.25">
      <c r="A1361" s="108" t="s">
        <v>9308</v>
      </c>
      <c r="B1361" s="115" t="s">
        <v>8939</v>
      </c>
      <c r="C1361" s="115" t="s">
        <v>9338</v>
      </c>
      <c r="D1361" s="109" t="s">
        <v>10358</v>
      </c>
      <c r="E1361" s="106" t="s">
        <v>10359</v>
      </c>
      <c r="F1361" s="109" t="s">
        <v>9496</v>
      </c>
      <c r="G1361" s="115" t="s">
        <v>9324</v>
      </c>
      <c r="H1361" s="115" t="s">
        <v>9323</v>
      </c>
      <c r="I1361" s="109" t="s">
        <v>10330</v>
      </c>
      <c r="J1361" s="239" t="s">
        <v>10331</v>
      </c>
      <c r="K1361" s="109" t="s">
        <v>9440</v>
      </c>
      <c r="L1361" s="109" t="s">
        <v>9496</v>
      </c>
    </row>
    <row r="1362" spans="1:12" s="58" customFormat="1" ht="14.85" customHeight="1" x14ac:dyDescent="0.25">
      <c r="A1362" s="108" t="s">
        <v>9308</v>
      </c>
      <c r="B1362" s="115" t="s">
        <v>8939</v>
      </c>
      <c r="C1362" s="115" t="s">
        <v>9338</v>
      </c>
      <c r="D1362" s="109" t="s">
        <v>10360</v>
      </c>
      <c r="E1362" s="106" t="s">
        <v>10361</v>
      </c>
      <c r="F1362" s="109" t="s">
        <v>9496</v>
      </c>
      <c r="G1362" s="115" t="s">
        <v>9324</v>
      </c>
      <c r="H1362" s="115" t="s">
        <v>9324</v>
      </c>
      <c r="I1362" s="109" t="s">
        <v>10330</v>
      </c>
      <c r="J1362" s="239" t="s">
        <v>10331</v>
      </c>
      <c r="K1362" s="109" t="s">
        <v>9440</v>
      </c>
      <c r="L1362" s="109" t="s">
        <v>9496</v>
      </c>
    </row>
    <row r="1363" spans="1:12" s="58" customFormat="1" ht="14.85" customHeight="1" x14ac:dyDescent="0.25">
      <c r="A1363" s="108" t="s">
        <v>9308</v>
      </c>
      <c r="B1363" s="115" t="s">
        <v>8939</v>
      </c>
      <c r="C1363" s="115" t="s">
        <v>9338</v>
      </c>
      <c r="D1363" s="109" t="s">
        <v>10362</v>
      </c>
      <c r="E1363" s="106" t="s">
        <v>10363</v>
      </c>
      <c r="F1363" s="109" t="s">
        <v>9496</v>
      </c>
      <c r="G1363" s="115" t="s">
        <v>9324</v>
      </c>
      <c r="H1363" s="115" t="s">
        <v>9323</v>
      </c>
      <c r="I1363" s="109" t="s">
        <v>10332</v>
      </c>
      <c r="J1363" s="239" t="s">
        <v>10333</v>
      </c>
      <c r="K1363" s="109" t="s">
        <v>9440</v>
      </c>
      <c r="L1363" s="109" t="s">
        <v>9496</v>
      </c>
    </row>
    <row r="1364" spans="1:12" s="58" customFormat="1" ht="14.85" customHeight="1" x14ac:dyDescent="0.25">
      <c r="A1364" s="108" t="s">
        <v>9308</v>
      </c>
      <c r="B1364" s="115" t="s">
        <v>8939</v>
      </c>
      <c r="C1364" s="115" t="s">
        <v>9338</v>
      </c>
      <c r="D1364" s="109" t="s">
        <v>10364</v>
      </c>
      <c r="E1364" s="106" t="s">
        <v>10365</v>
      </c>
      <c r="F1364" s="109" t="s">
        <v>9496</v>
      </c>
      <c r="G1364" s="115" t="s">
        <v>9324</v>
      </c>
      <c r="H1364" s="115" t="s">
        <v>9323</v>
      </c>
      <c r="I1364" s="109" t="s">
        <v>10332</v>
      </c>
      <c r="J1364" s="239" t="s">
        <v>10333</v>
      </c>
      <c r="K1364" s="109" t="s">
        <v>9440</v>
      </c>
      <c r="L1364" s="109" t="s">
        <v>9496</v>
      </c>
    </row>
    <row r="1365" spans="1:12" s="58" customFormat="1" ht="14.85" customHeight="1" x14ac:dyDescent="0.25">
      <c r="A1365" s="108" t="s">
        <v>9308</v>
      </c>
      <c r="B1365" s="115" t="s">
        <v>8939</v>
      </c>
      <c r="C1365" s="115" t="s">
        <v>9338</v>
      </c>
      <c r="D1365" s="109" t="s">
        <v>10366</v>
      </c>
      <c r="E1365" s="106" t="s">
        <v>10367</v>
      </c>
      <c r="F1365" s="109" t="s">
        <v>9496</v>
      </c>
      <c r="G1365" s="115" t="s">
        <v>9324</v>
      </c>
      <c r="H1365" s="115" t="s">
        <v>9324</v>
      </c>
      <c r="I1365" s="109" t="s">
        <v>10332</v>
      </c>
      <c r="J1365" s="239" t="s">
        <v>10333</v>
      </c>
      <c r="K1365" s="109" t="s">
        <v>9440</v>
      </c>
      <c r="L1365" s="109" t="s">
        <v>9496</v>
      </c>
    </row>
    <row r="1366" spans="1:12" s="58" customFormat="1" ht="14.85" customHeight="1" x14ac:dyDescent="0.25">
      <c r="A1366" s="108" t="s">
        <v>9308</v>
      </c>
      <c r="B1366" s="115" t="s">
        <v>8939</v>
      </c>
      <c r="C1366" s="115" t="s">
        <v>9338</v>
      </c>
      <c r="D1366" s="109" t="s">
        <v>10368</v>
      </c>
      <c r="E1366" s="106" t="s">
        <v>10369</v>
      </c>
      <c r="F1366" s="109" t="s">
        <v>9496</v>
      </c>
      <c r="G1366" s="115" t="s">
        <v>9324</v>
      </c>
      <c r="H1366" s="115" t="s">
        <v>9323</v>
      </c>
      <c r="I1366" s="109" t="s">
        <v>10090</v>
      </c>
      <c r="J1366" s="239" t="s">
        <v>10091</v>
      </c>
      <c r="K1366" s="109" t="s">
        <v>9440</v>
      </c>
      <c r="L1366" s="109" t="s">
        <v>9496</v>
      </c>
    </row>
    <row r="1367" spans="1:12" s="58" customFormat="1" ht="14.85" customHeight="1" x14ac:dyDescent="0.25">
      <c r="A1367" s="108" t="s">
        <v>9308</v>
      </c>
      <c r="B1367" s="115" t="s">
        <v>8939</v>
      </c>
      <c r="C1367" s="115" t="s">
        <v>9338</v>
      </c>
      <c r="D1367" s="109" t="s">
        <v>10368</v>
      </c>
      <c r="E1367" s="106" t="s">
        <v>10369</v>
      </c>
      <c r="F1367" s="109" t="s">
        <v>9496</v>
      </c>
      <c r="G1367" s="115" t="s">
        <v>9324</v>
      </c>
      <c r="H1367" s="115" t="s">
        <v>9323</v>
      </c>
      <c r="I1367" s="109" t="s">
        <v>10332</v>
      </c>
      <c r="J1367" s="239" t="s">
        <v>10333</v>
      </c>
      <c r="K1367" s="109" t="s">
        <v>9440</v>
      </c>
      <c r="L1367" s="109" t="s">
        <v>9496</v>
      </c>
    </row>
    <row r="1368" spans="1:12" s="58" customFormat="1" ht="14.85" customHeight="1" x14ac:dyDescent="0.25">
      <c r="A1368" s="108" t="s">
        <v>9308</v>
      </c>
      <c r="B1368" s="115" t="s">
        <v>8939</v>
      </c>
      <c r="C1368" s="115" t="s">
        <v>9338</v>
      </c>
      <c r="D1368" s="109" t="s">
        <v>10368</v>
      </c>
      <c r="E1368" s="106" t="s">
        <v>10369</v>
      </c>
      <c r="F1368" s="109" t="s">
        <v>9496</v>
      </c>
      <c r="G1368" s="115" t="s">
        <v>9324</v>
      </c>
      <c r="H1368" s="115" t="s">
        <v>9323</v>
      </c>
      <c r="I1368" s="109" t="s">
        <v>10092</v>
      </c>
      <c r="J1368" s="239" t="s">
        <v>10093</v>
      </c>
      <c r="K1368" s="109" t="s">
        <v>9440</v>
      </c>
      <c r="L1368" s="109" t="s">
        <v>9496</v>
      </c>
    </row>
    <row r="1369" spans="1:12" s="58" customFormat="1" ht="14.85" customHeight="1" x14ac:dyDescent="0.25">
      <c r="A1369" s="108" t="s">
        <v>9308</v>
      </c>
      <c r="B1369" s="115" t="s">
        <v>8939</v>
      </c>
      <c r="C1369" s="115" t="s">
        <v>9338</v>
      </c>
      <c r="D1369" s="109" t="s">
        <v>10370</v>
      </c>
      <c r="E1369" s="106" t="s">
        <v>10371</v>
      </c>
      <c r="F1369" s="109" t="s">
        <v>9496</v>
      </c>
      <c r="G1369" s="115" t="s">
        <v>9324</v>
      </c>
      <c r="H1369" s="115" t="s">
        <v>9323</v>
      </c>
      <c r="I1369" s="109" t="s">
        <v>10372</v>
      </c>
      <c r="J1369" s="239" t="s">
        <v>10373</v>
      </c>
      <c r="K1369" s="109" t="s">
        <v>9440</v>
      </c>
      <c r="L1369" s="109" t="s">
        <v>9496</v>
      </c>
    </row>
    <row r="1370" spans="1:12" s="58" customFormat="1" ht="14.85" customHeight="1" x14ac:dyDescent="0.25">
      <c r="A1370" s="108" t="s">
        <v>9308</v>
      </c>
      <c r="B1370" s="115" t="s">
        <v>8939</v>
      </c>
      <c r="C1370" s="115" t="s">
        <v>9338</v>
      </c>
      <c r="D1370" s="109" t="s">
        <v>10370</v>
      </c>
      <c r="E1370" s="106" t="s">
        <v>10371</v>
      </c>
      <c r="F1370" s="109" t="s">
        <v>9496</v>
      </c>
      <c r="G1370" s="115" t="s">
        <v>9324</v>
      </c>
      <c r="H1370" s="115" t="s">
        <v>9323</v>
      </c>
      <c r="I1370" s="109" t="s">
        <v>10374</v>
      </c>
      <c r="J1370" s="239" t="s">
        <v>10375</v>
      </c>
      <c r="K1370" s="109" t="s">
        <v>9440</v>
      </c>
      <c r="L1370" s="109" t="s">
        <v>9496</v>
      </c>
    </row>
    <row r="1371" spans="1:12" s="58" customFormat="1" ht="14.85" customHeight="1" x14ac:dyDescent="0.25">
      <c r="A1371" s="108" t="s">
        <v>9308</v>
      </c>
      <c r="B1371" s="115" t="s">
        <v>8939</v>
      </c>
      <c r="C1371" s="115" t="s">
        <v>9338</v>
      </c>
      <c r="D1371" s="109" t="s">
        <v>10370</v>
      </c>
      <c r="E1371" s="106" t="s">
        <v>10371</v>
      </c>
      <c r="F1371" s="109" t="s">
        <v>9496</v>
      </c>
      <c r="G1371" s="115" t="s">
        <v>9324</v>
      </c>
      <c r="H1371" s="115" t="s">
        <v>9323</v>
      </c>
      <c r="I1371" s="109" t="s">
        <v>10376</v>
      </c>
      <c r="J1371" s="239" t="s">
        <v>10377</v>
      </c>
      <c r="K1371" s="109" t="s">
        <v>9440</v>
      </c>
      <c r="L1371" s="109" t="s">
        <v>9496</v>
      </c>
    </row>
    <row r="1372" spans="1:12" s="58" customFormat="1" ht="14.85" customHeight="1" x14ac:dyDescent="0.25">
      <c r="A1372" s="108" t="s">
        <v>9308</v>
      </c>
      <c r="B1372" s="115" t="s">
        <v>8939</v>
      </c>
      <c r="C1372" s="115" t="s">
        <v>9338</v>
      </c>
      <c r="D1372" s="109" t="s">
        <v>10370</v>
      </c>
      <c r="E1372" s="106" t="s">
        <v>10371</v>
      </c>
      <c r="F1372" s="109" t="s">
        <v>9496</v>
      </c>
      <c r="G1372" s="115" t="s">
        <v>9324</v>
      </c>
      <c r="H1372" s="115" t="s">
        <v>9323</v>
      </c>
      <c r="I1372" s="109" t="s">
        <v>10378</v>
      </c>
      <c r="J1372" s="239" t="s">
        <v>10379</v>
      </c>
      <c r="K1372" s="109" t="s">
        <v>9440</v>
      </c>
      <c r="L1372" s="109" t="s">
        <v>9496</v>
      </c>
    </row>
    <row r="1373" spans="1:12" s="58" customFormat="1" ht="14.85" customHeight="1" x14ac:dyDescent="0.25">
      <c r="A1373" s="108" t="s">
        <v>9308</v>
      </c>
      <c r="B1373" s="115" t="s">
        <v>8939</v>
      </c>
      <c r="C1373" s="115" t="s">
        <v>9338</v>
      </c>
      <c r="D1373" s="109" t="s">
        <v>10370</v>
      </c>
      <c r="E1373" s="106" t="s">
        <v>10371</v>
      </c>
      <c r="F1373" s="109" t="s">
        <v>9496</v>
      </c>
      <c r="G1373" s="115" t="s">
        <v>9324</v>
      </c>
      <c r="H1373" s="115" t="s">
        <v>9323</v>
      </c>
      <c r="I1373" s="109" t="s">
        <v>10380</v>
      </c>
      <c r="J1373" s="239" t="s">
        <v>10381</v>
      </c>
      <c r="K1373" s="109" t="s">
        <v>9440</v>
      </c>
      <c r="L1373" s="109" t="s">
        <v>9496</v>
      </c>
    </row>
    <row r="1374" spans="1:12" s="58" customFormat="1" ht="14.85" customHeight="1" x14ac:dyDescent="0.25">
      <c r="A1374" s="108" t="s">
        <v>9308</v>
      </c>
      <c r="B1374" s="115" t="s">
        <v>8939</v>
      </c>
      <c r="C1374" s="115" t="s">
        <v>9338</v>
      </c>
      <c r="D1374" s="109" t="s">
        <v>10370</v>
      </c>
      <c r="E1374" s="106" t="s">
        <v>10371</v>
      </c>
      <c r="F1374" s="109" t="s">
        <v>9496</v>
      </c>
      <c r="G1374" s="115" t="s">
        <v>9324</v>
      </c>
      <c r="H1374" s="115" t="s">
        <v>9323</v>
      </c>
      <c r="I1374" s="109" t="s">
        <v>10382</v>
      </c>
      <c r="J1374" s="239" t="s">
        <v>10383</v>
      </c>
      <c r="K1374" s="109" t="s">
        <v>9440</v>
      </c>
      <c r="L1374" s="109" t="s">
        <v>9496</v>
      </c>
    </row>
    <row r="1375" spans="1:12" s="58" customFormat="1" ht="14.85" customHeight="1" x14ac:dyDescent="0.25">
      <c r="A1375" s="108" t="s">
        <v>9308</v>
      </c>
      <c r="B1375" s="115" t="s">
        <v>8939</v>
      </c>
      <c r="C1375" s="115" t="s">
        <v>9338</v>
      </c>
      <c r="D1375" s="109" t="s">
        <v>10370</v>
      </c>
      <c r="E1375" s="106" t="s">
        <v>10371</v>
      </c>
      <c r="F1375" s="109" t="s">
        <v>9496</v>
      </c>
      <c r="G1375" s="115" t="s">
        <v>9324</v>
      </c>
      <c r="H1375" s="115" t="s">
        <v>9323</v>
      </c>
      <c r="I1375" s="109" t="s">
        <v>10384</v>
      </c>
      <c r="J1375" s="239" t="s">
        <v>10385</v>
      </c>
      <c r="K1375" s="109" t="s">
        <v>9440</v>
      </c>
      <c r="L1375" s="109" t="s">
        <v>9496</v>
      </c>
    </row>
    <row r="1376" spans="1:12" s="58" customFormat="1" ht="14.85" customHeight="1" x14ac:dyDescent="0.25">
      <c r="A1376" s="108" t="s">
        <v>9308</v>
      </c>
      <c r="B1376" s="115" t="s">
        <v>8939</v>
      </c>
      <c r="C1376" s="115" t="s">
        <v>9338</v>
      </c>
      <c r="D1376" s="109" t="s">
        <v>10370</v>
      </c>
      <c r="E1376" s="106" t="s">
        <v>10371</v>
      </c>
      <c r="F1376" s="109" t="s">
        <v>9496</v>
      </c>
      <c r="G1376" s="115" t="s">
        <v>9324</v>
      </c>
      <c r="H1376" s="115" t="s">
        <v>9323</v>
      </c>
      <c r="I1376" s="109" t="s">
        <v>10386</v>
      </c>
      <c r="J1376" s="239" t="s">
        <v>10387</v>
      </c>
      <c r="K1376" s="109" t="s">
        <v>9440</v>
      </c>
      <c r="L1376" s="109" t="s">
        <v>9496</v>
      </c>
    </row>
    <row r="1377" spans="1:12" s="58" customFormat="1" ht="14.85" customHeight="1" x14ac:dyDescent="0.25">
      <c r="A1377" s="108" t="s">
        <v>9308</v>
      </c>
      <c r="B1377" s="115" t="s">
        <v>8939</v>
      </c>
      <c r="C1377" s="115" t="s">
        <v>9338</v>
      </c>
      <c r="D1377" s="109" t="s">
        <v>10370</v>
      </c>
      <c r="E1377" s="106" t="s">
        <v>10371</v>
      </c>
      <c r="F1377" s="109" t="s">
        <v>9496</v>
      </c>
      <c r="G1377" s="115" t="s">
        <v>9324</v>
      </c>
      <c r="H1377" s="115" t="s">
        <v>9323</v>
      </c>
      <c r="I1377" s="109" t="s">
        <v>10388</v>
      </c>
      <c r="J1377" s="239" t="s">
        <v>10389</v>
      </c>
      <c r="K1377" s="109" t="s">
        <v>9440</v>
      </c>
      <c r="L1377" s="109" t="s">
        <v>9496</v>
      </c>
    </row>
    <row r="1378" spans="1:12" s="58" customFormat="1" ht="14.85" customHeight="1" x14ac:dyDescent="0.25">
      <c r="A1378" s="108" t="s">
        <v>9308</v>
      </c>
      <c r="B1378" s="115" t="s">
        <v>8939</v>
      </c>
      <c r="C1378" s="115" t="s">
        <v>9338</v>
      </c>
      <c r="D1378" s="109" t="s">
        <v>10370</v>
      </c>
      <c r="E1378" s="106" t="s">
        <v>10371</v>
      </c>
      <c r="F1378" s="109" t="s">
        <v>9496</v>
      </c>
      <c r="G1378" s="115" t="s">
        <v>9324</v>
      </c>
      <c r="H1378" s="115" t="s">
        <v>9323</v>
      </c>
      <c r="I1378" s="109" t="s">
        <v>10390</v>
      </c>
      <c r="J1378" s="239" t="s">
        <v>10391</v>
      </c>
      <c r="K1378" s="109" t="s">
        <v>9440</v>
      </c>
      <c r="L1378" s="109" t="s">
        <v>9496</v>
      </c>
    </row>
    <row r="1379" spans="1:12" s="58" customFormat="1" ht="14.85" customHeight="1" x14ac:dyDescent="0.25">
      <c r="A1379" s="108" t="s">
        <v>9308</v>
      </c>
      <c r="B1379" s="115" t="s">
        <v>8939</v>
      </c>
      <c r="C1379" s="115" t="s">
        <v>9338</v>
      </c>
      <c r="D1379" s="109" t="s">
        <v>10392</v>
      </c>
      <c r="E1379" s="106" t="s">
        <v>10393</v>
      </c>
      <c r="F1379" s="109" t="s">
        <v>9496</v>
      </c>
      <c r="G1379" s="115" t="s">
        <v>9324</v>
      </c>
      <c r="H1379" s="115" t="s">
        <v>9324</v>
      </c>
      <c r="I1379" s="109" t="s">
        <v>10378</v>
      </c>
      <c r="J1379" s="239" t="s">
        <v>10379</v>
      </c>
      <c r="K1379" s="109" t="s">
        <v>9440</v>
      </c>
      <c r="L1379" s="109" t="s">
        <v>9496</v>
      </c>
    </row>
    <row r="1380" spans="1:12" s="58" customFormat="1" ht="14.85" customHeight="1" x14ac:dyDescent="0.25">
      <c r="A1380" s="108" t="s">
        <v>9308</v>
      </c>
      <c r="B1380" s="115" t="s">
        <v>8939</v>
      </c>
      <c r="C1380" s="115" t="s">
        <v>9338</v>
      </c>
      <c r="D1380" s="109" t="s">
        <v>10394</v>
      </c>
      <c r="E1380" s="106" t="s">
        <v>10395</v>
      </c>
      <c r="F1380" s="109" t="s">
        <v>9496</v>
      </c>
      <c r="G1380" s="115" t="s">
        <v>9324</v>
      </c>
      <c r="H1380" s="115" t="s">
        <v>9324</v>
      </c>
      <c r="I1380" s="109" t="s">
        <v>10374</v>
      </c>
      <c r="J1380" s="239" t="s">
        <v>10375</v>
      </c>
      <c r="K1380" s="109" t="s">
        <v>9440</v>
      </c>
      <c r="L1380" s="109" t="s">
        <v>9496</v>
      </c>
    </row>
    <row r="1381" spans="1:12" s="58" customFormat="1" ht="14.85" customHeight="1" x14ac:dyDescent="0.25">
      <c r="A1381" s="108" t="s">
        <v>9308</v>
      </c>
      <c r="B1381" s="115" t="s">
        <v>8939</v>
      </c>
      <c r="C1381" s="115" t="s">
        <v>9338</v>
      </c>
      <c r="D1381" s="109" t="s">
        <v>10396</v>
      </c>
      <c r="E1381" s="106" t="s">
        <v>10397</v>
      </c>
      <c r="F1381" s="109" t="s">
        <v>9496</v>
      </c>
      <c r="G1381" s="115" t="s">
        <v>9324</v>
      </c>
      <c r="H1381" s="115" t="s">
        <v>9324</v>
      </c>
      <c r="I1381" s="109" t="s">
        <v>10382</v>
      </c>
      <c r="J1381" s="239" t="s">
        <v>10383</v>
      </c>
      <c r="K1381" s="109" t="s">
        <v>9440</v>
      </c>
      <c r="L1381" s="109" t="s">
        <v>9496</v>
      </c>
    </row>
    <row r="1382" spans="1:12" s="58" customFormat="1" ht="14.85" customHeight="1" x14ac:dyDescent="0.25">
      <c r="A1382" s="108" t="s">
        <v>9308</v>
      </c>
      <c r="B1382" s="115" t="s">
        <v>8939</v>
      </c>
      <c r="C1382" s="115" t="s">
        <v>9338</v>
      </c>
      <c r="D1382" s="109" t="s">
        <v>10396</v>
      </c>
      <c r="E1382" s="106" t="s">
        <v>10397</v>
      </c>
      <c r="F1382" s="109" t="s">
        <v>9496</v>
      </c>
      <c r="G1382" s="115" t="s">
        <v>9324</v>
      </c>
      <c r="H1382" s="115" t="s">
        <v>9324</v>
      </c>
      <c r="I1382" s="109" t="s">
        <v>10384</v>
      </c>
      <c r="J1382" s="239" t="s">
        <v>10385</v>
      </c>
      <c r="K1382" s="109" t="s">
        <v>9440</v>
      </c>
      <c r="L1382" s="109" t="s">
        <v>9496</v>
      </c>
    </row>
    <row r="1383" spans="1:12" s="58" customFormat="1" ht="14.85" customHeight="1" x14ac:dyDescent="0.25">
      <c r="A1383" s="108" t="s">
        <v>9308</v>
      </c>
      <c r="B1383" s="115" t="s">
        <v>8939</v>
      </c>
      <c r="C1383" s="115" t="s">
        <v>9338</v>
      </c>
      <c r="D1383" s="109" t="s">
        <v>10398</v>
      </c>
      <c r="E1383" s="106" t="s">
        <v>10399</v>
      </c>
      <c r="F1383" s="109" t="s">
        <v>9496</v>
      </c>
      <c r="G1383" s="115" t="s">
        <v>9324</v>
      </c>
      <c r="H1383" s="115" t="s">
        <v>9323</v>
      </c>
      <c r="I1383" s="109" t="s">
        <v>10382</v>
      </c>
      <c r="J1383" s="239" t="s">
        <v>10383</v>
      </c>
      <c r="K1383" s="109" t="s">
        <v>9440</v>
      </c>
      <c r="L1383" s="109" t="s">
        <v>9496</v>
      </c>
    </row>
    <row r="1384" spans="1:12" s="58" customFormat="1" ht="14.85" customHeight="1" x14ac:dyDescent="0.25">
      <c r="A1384" s="108" t="s">
        <v>9308</v>
      </c>
      <c r="B1384" s="115" t="s">
        <v>8939</v>
      </c>
      <c r="C1384" s="115" t="s">
        <v>9338</v>
      </c>
      <c r="D1384" s="109" t="s">
        <v>10398</v>
      </c>
      <c r="E1384" s="106" t="s">
        <v>10399</v>
      </c>
      <c r="F1384" s="109" t="s">
        <v>9496</v>
      </c>
      <c r="G1384" s="115" t="s">
        <v>9324</v>
      </c>
      <c r="H1384" s="115" t="s">
        <v>9323</v>
      </c>
      <c r="I1384" s="109" t="s">
        <v>10384</v>
      </c>
      <c r="J1384" s="239" t="s">
        <v>10385</v>
      </c>
      <c r="K1384" s="109" t="s">
        <v>9440</v>
      </c>
      <c r="L1384" s="109" t="s">
        <v>9496</v>
      </c>
    </row>
    <row r="1385" spans="1:12" s="58" customFormat="1" ht="14.85" customHeight="1" x14ac:dyDescent="0.25">
      <c r="A1385" s="108" t="s">
        <v>9308</v>
      </c>
      <c r="B1385" s="115" t="s">
        <v>8939</v>
      </c>
      <c r="C1385" s="115" t="s">
        <v>9338</v>
      </c>
      <c r="D1385" s="109" t="s">
        <v>10400</v>
      </c>
      <c r="E1385" s="106" t="s">
        <v>10401</v>
      </c>
      <c r="F1385" s="109" t="s">
        <v>9496</v>
      </c>
      <c r="G1385" s="115" t="s">
        <v>9324</v>
      </c>
      <c r="H1385" s="115" t="s">
        <v>9323</v>
      </c>
      <c r="I1385" s="109" t="s">
        <v>10382</v>
      </c>
      <c r="J1385" s="239" t="s">
        <v>10383</v>
      </c>
      <c r="K1385" s="109" t="s">
        <v>9440</v>
      </c>
      <c r="L1385" s="109" t="s">
        <v>9496</v>
      </c>
    </row>
    <row r="1386" spans="1:12" s="58" customFormat="1" ht="14.85" customHeight="1" x14ac:dyDescent="0.25">
      <c r="A1386" s="108" t="s">
        <v>9308</v>
      </c>
      <c r="B1386" s="115" t="s">
        <v>8939</v>
      </c>
      <c r="C1386" s="115" t="s">
        <v>9338</v>
      </c>
      <c r="D1386" s="109" t="s">
        <v>10400</v>
      </c>
      <c r="E1386" s="106" t="s">
        <v>10401</v>
      </c>
      <c r="F1386" s="109" t="s">
        <v>9496</v>
      </c>
      <c r="G1386" s="115" t="s">
        <v>9324</v>
      </c>
      <c r="H1386" s="115" t="s">
        <v>9323</v>
      </c>
      <c r="I1386" s="109" t="s">
        <v>10384</v>
      </c>
      <c r="J1386" s="239" t="s">
        <v>10385</v>
      </c>
      <c r="K1386" s="109" t="s">
        <v>9440</v>
      </c>
      <c r="L1386" s="109" t="s">
        <v>9496</v>
      </c>
    </row>
    <row r="1387" spans="1:12" s="58" customFormat="1" ht="14.85" customHeight="1" x14ac:dyDescent="0.25">
      <c r="A1387" s="108" t="s">
        <v>9308</v>
      </c>
      <c r="B1387" s="115" t="s">
        <v>8939</v>
      </c>
      <c r="C1387" s="115" t="s">
        <v>9338</v>
      </c>
      <c r="D1387" s="109" t="s">
        <v>10402</v>
      </c>
      <c r="E1387" s="106" t="s">
        <v>10403</v>
      </c>
      <c r="F1387" s="109" t="s">
        <v>9496</v>
      </c>
      <c r="G1387" s="115" t="s">
        <v>9324</v>
      </c>
      <c r="H1387" s="115" t="s">
        <v>9323</v>
      </c>
      <c r="I1387" s="109" t="s">
        <v>10380</v>
      </c>
      <c r="J1387" s="239" t="s">
        <v>10381</v>
      </c>
      <c r="K1387" s="109" t="s">
        <v>9440</v>
      </c>
      <c r="L1387" s="109" t="s">
        <v>9496</v>
      </c>
    </row>
    <row r="1388" spans="1:12" s="58" customFormat="1" ht="14.85" customHeight="1" x14ac:dyDescent="0.25">
      <c r="A1388" s="108" t="s">
        <v>9308</v>
      </c>
      <c r="B1388" s="115" t="s">
        <v>8939</v>
      </c>
      <c r="C1388" s="115" t="s">
        <v>9338</v>
      </c>
      <c r="D1388" s="109" t="s">
        <v>10402</v>
      </c>
      <c r="E1388" s="106" t="s">
        <v>10403</v>
      </c>
      <c r="F1388" s="109" t="s">
        <v>9496</v>
      </c>
      <c r="G1388" s="115" t="s">
        <v>9324</v>
      </c>
      <c r="H1388" s="115" t="s">
        <v>9323</v>
      </c>
      <c r="I1388" s="109" t="s">
        <v>10390</v>
      </c>
      <c r="J1388" s="239" t="s">
        <v>10391</v>
      </c>
      <c r="K1388" s="109" t="s">
        <v>9440</v>
      </c>
      <c r="L1388" s="109" t="s">
        <v>9496</v>
      </c>
    </row>
    <row r="1389" spans="1:12" s="58" customFormat="1" ht="14.85" customHeight="1" x14ac:dyDescent="0.25">
      <c r="A1389" s="108" t="s">
        <v>9308</v>
      </c>
      <c r="B1389" s="115" t="s">
        <v>8939</v>
      </c>
      <c r="C1389" s="115" t="s">
        <v>9338</v>
      </c>
      <c r="D1389" s="109" t="s">
        <v>10404</v>
      </c>
      <c r="E1389" s="106" t="s">
        <v>10405</v>
      </c>
      <c r="F1389" s="109" t="s">
        <v>9496</v>
      </c>
      <c r="G1389" s="115" t="s">
        <v>9324</v>
      </c>
      <c r="H1389" s="115" t="s">
        <v>9324</v>
      </c>
      <c r="I1389" s="109" t="s">
        <v>10380</v>
      </c>
      <c r="J1389" s="239" t="s">
        <v>10381</v>
      </c>
      <c r="K1389" s="109" t="s">
        <v>9440</v>
      </c>
      <c r="L1389" s="109" t="s">
        <v>9496</v>
      </c>
    </row>
    <row r="1390" spans="1:12" s="58" customFormat="1" ht="14.85" customHeight="1" x14ac:dyDescent="0.25">
      <c r="A1390" s="108" t="s">
        <v>9308</v>
      </c>
      <c r="B1390" s="115" t="s">
        <v>8939</v>
      </c>
      <c r="C1390" s="115" t="s">
        <v>9338</v>
      </c>
      <c r="D1390" s="109" t="s">
        <v>10404</v>
      </c>
      <c r="E1390" s="106" t="s">
        <v>10405</v>
      </c>
      <c r="F1390" s="109" t="s">
        <v>9496</v>
      </c>
      <c r="G1390" s="115" t="s">
        <v>9324</v>
      </c>
      <c r="H1390" s="115" t="s">
        <v>9324</v>
      </c>
      <c r="I1390" s="109" t="s">
        <v>10390</v>
      </c>
      <c r="J1390" s="239" t="s">
        <v>10391</v>
      </c>
      <c r="K1390" s="109" t="s">
        <v>9440</v>
      </c>
      <c r="L1390" s="109" t="s">
        <v>9496</v>
      </c>
    </row>
    <row r="1391" spans="1:12" s="58" customFormat="1" ht="14.85" customHeight="1" x14ac:dyDescent="0.25">
      <c r="A1391" s="108" t="s">
        <v>9308</v>
      </c>
      <c r="B1391" s="115" t="s">
        <v>8939</v>
      </c>
      <c r="C1391" s="115" t="s">
        <v>9338</v>
      </c>
      <c r="D1391" s="109" t="s">
        <v>10406</v>
      </c>
      <c r="E1391" s="106" t="s">
        <v>10407</v>
      </c>
      <c r="F1391" s="109" t="s">
        <v>9496</v>
      </c>
      <c r="G1391" s="115" t="s">
        <v>9324</v>
      </c>
      <c r="H1391" s="115" t="s">
        <v>9323</v>
      </c>
      <c r="I1391" s="109" t="s">
        <v>10090</v>
      </c>
      <c r="J1391" s="239" t="s">
        <v>10091</v>
      </c>
      <c r="K1391" s="109" t="s">
        <v>9440</v>
      </c>
      <c r="L1391" s="109" t="s">
        <v>9496</v>
      </c>
    </row>
    <row r="1392" spans="1:12" s="58" customFormat="1" ht="14.85" customHeight="1" x14ac:dyDescent="0.25">
      <c r="A1392" s="108" t="s">
        <v>9308</v>
      </c>
      <c r="B1392" s="115" t="s">
        <v>8939</v>
      </c>
      <c r="C1392" s="115" t="s">
        <v>9338</v>
      </c>
      <c r="D1392" s="109" t="s">
        <v>10406</v>
      </c>
      <c r="E1392" s="106" t="s">
        <v>10407</v>
      </c>
      <c r="F1392" s="109" t="s">
        <v>9496</v>
      </c>
      <c r="G1392" s="115" t="s">
        <v>9324</v>
      </c>
      <c r="H1392" s="115" t="s">
        <v>9323</v>
      </c>
      <c r="I1392" s="109" t="s">
        <v>10374</v>
      </c>
      <c r="J1392" s="239" t="s">
        <v>10375</v>
      </c>
      <c r="K1392" s="109" t="s">
        <v>9440</v>
      </c>
      <c r="L1392" s="109" t="s">
        <v>9496</v>
      </c>
    </row>
    <row r="1393" spans="1:12" s="58" customFormat="1" ht="14.85" customHeight="1" x14ac:dyDescent="0.25">
      <c r="A1393" s="108" t="s">
        <v>9308</v>
      </c>
      <c r="B1393" s="115" t="s">
        <v>8939</v>
      </c>
      <c r="C1393" s="115" t="s">
        <v>9338</v>
      </c>
      <c r="D1393" s="109" t="s">
        <v>10406</v>
      </c>
      <c r="E1393" s="106" t="s">
        <v>10407</v>
      </c>
      <c r="F1393" s="109" t="s">
        <v>9496</v>
      </c>
      <c r="G1393" s="115" t="s">
        <v>9324</v>
      </c>
      <c r="H1393" s="115" t="s">
        <v>9323</v>
      </c>
      <c r="I1393" s="109" t="s">
        <v>10092</v>
      </c>
      <c r="J1393" s="239" t="s">
        <v>10093</v>
      </c>
      <c r="K1393" s="109" t="s">
        <v>9440</v>
      </c>
      <c r="L1393" s="109" t="s">
        <v>9496</v>
      </c>
    </row>
    <row r="1394" spans="1:12" s="58" customFormat="1" ht="14.85" customHeight="1" x14ac:dyDescent="0.25">
      <c r="A1394" s="108" t="s">
        <v>9308</v>
      </c>
      <c r="B1394" s="115" t="s">
        <v>8939</v>
      </c>
      <c r="C1394" s="115" t="s">
        <v>9338</v>
      </c>
      <c r="D1394" s="109" t="s">
        <v>10408</v>
      </c>
      <c r="E1394" s="106" t="s">
        <v>10409</v>
      </c>
      <c r="F1394" s="109" t="s">
        <v>9496</v>
      </c>
      <c r="G1394" s="115" t="s">
        <v>9324</v>
      </c>
      <c r="H1394" s="115" t="s">
        <v>9323</v>
      </c>
      <c r="I1394" s="109" t="s">
        <v>10090</v>
      </c>
      <c r="J1394" s="239" t="s">
        <v>10091</v>
      </c>
      <c r="K1394" s="109" t="s">
        <v>9440</v>
      </c>
      <c r="L1394" s="109" t="s">
        <v>9496</v>
      </c>
    </row>
    <row r="1395" spans="1:12" s="58" customFormat="1" ht="14.85" customHeight="1" x14ac:dyDescent="0.25">
      <c r="A1395" s="108" t="s">
        <v>9308</v>
      </c>
      <c r="B1395" s="115" t="s">
        <v>8939</v>
      </c>
      <c r="C1395" s="115" t="s">
        <v>9338</v>
      </c>
      <c r="D1395" s="109" t="s">
        <v>10408</v>
      </c>
      <c r="E1395" s="106" t="s">
        <v>10409</v>
      </c>
      <c r="F1395" s="109" t="s">
        <v>9496</v>
      </c>
      <c r="G1395" s="115" t="s">
        <v>9324</v>
      </c>
      <c r="H1395" s="115" t="s">
        <v>9323</v>
      </c>
      <c r="I1395" s="109" t="s">
        <v>10382</v>
      </c>
      <c r="J1395" s="239" t="s">
        <v>10383</v>
      </c>
      <c r="K1395" s="109" t="s">
        <v>9440</v>
      </c>
      <c r="L1395" s="109" t="s">
        <v>9496</v>
      </c>
    </row>
    <row r="1396" spans="1:12" s="58" customFormat="1" ht="14.85" customHeight="1" x14ac:dyDescent="0.25">
      <c r="A1396" s="108" t="s">
        <v>9308</v>
      </c>
      <c r="B1396" s="115" t="s">
        <v>8939</v>
      </c>
      <c r="C1396" s="115" t="s">
        <v>9338</v>
      </c>
      <c r="D1396" s="109" t="s">
        <v>10408</v>
      </c>
      <c r="E1396" s="106" t="s">
        <v>10409</v>
      </c>
      <c r="F1396" s="109" t="s">
        <v>9496</v>
      </c>
      <c r="G1396" s="115" t="s">
        <v>9324</v>
      </c>
      <c r="H1396" s="115" t="s">
        <v>9323</v>
      </c>
      <c r="I1396" s="109" t="s">
        <v>10384</v>
      </c>
      <c r="J1396" s="239" t="s">
        <v>10385</v>
      </c>
      <c r="K1396" s="109" t="s">
        <v>9440</v>
      </c>
      <c r="L1396" s="109" t="s">
        <v>9496</v>
      </c>
    </row>
    <row r="1397" spans="1:12" s="58" customFormat="1" ht="14.85" customHeight="1" x14ac:dyDescent="0.25">
      <c r="A1397" s="108" t="s">
        <v>9308</v>
      </c>
      <c r="B1397" s="115" t="s">
        <v>8939</v>
      </c>
      <c r="C1397" s="115" t="s">
        <v>9338</v>
      </c>
      <c r="D1397" s="109" t="s">
        <v>10408</v>
      </c>
      <c r="E1397" s="106" t="s">
        <v>10409</v>
      </c>
      <c r="F1397" s="109" t="s">
        <v>9496</v>
      </c>
      <c r="G1397" s="115" t="s">
        <v>9324</v>
      </c>
      <c r="H1397" s="115" t="s">
        <v>9323</v>
      </c>
      <c r="I1397" s="109" t="s">
        <v>10092</v>
      </c>
      <c r="J1397" s="239" t="s">
        <v>10093</v>
      </c>
      <c r="K1397" s="109" t="s">
        <v>9440</v>
      </c>
      <c r="L1397" s="109" t="s">
        <v>9496</v>
      </c>
    </row>
    <row r="1398" spans="1:12" s="58" customFormat="1" ht="14.85" customHeight="1" x14ac:dyDescent="0.25">
      <c r="A1398" s="108" t="s">
        <v>9308</v>
      </c>
      <c r="B1398" s="115" t="s">
        <v>8939</v>
      </c>
      <c r="C1398" s="115" t="s">
        <v>9338</v>
      </c>
      <c r="D1398" s="109" t="s">
        <v>10410</v>
      </c>
      <c r="E1398" s="106" t="s">
        <v>10411</v>
      </c>
      <c r="F1398" s="109" t="s">
        <v>9496</v>
      </c>
      <c r="G1398" s="115" t="s">
        <v>9324</v>
      </c>
      <c r="H1398" s="115" t="s">
        <v>9323</v>
      </c>
      <c r="I1398" s="109" t="s">
        <v>10090</v>
      </c>
      <c r="J1398" s="239" t="s">
        <v>10091</v>
      </c>
      <c r="K1398" s="109" t="s">
        <v>9440</v>
      </c>
      <c r="L1398" s="109" t="s">
        <v>9496</v>
      </c>
    </row>
    <row r="1399" spans="1:12" s="58" customFormat="1" ht="14.85" customHeight="1" x14ac:dyDescent="0.25">
      <c r="A1399" s="108" t="s">
        <v>9308</v>
      </c>
      <c r="B1399" s="115" t="s">
        <v>8939</v>
      </c>
      <c r="C1399" s="115" t="s">
        <v>9338</v>
      </c>
      <c r="D1399" s="109" t="s">
        <v>10410</v>
      </c>
      <c r="E1399" s="106" t="s">
        <v>10411</v>
      </c>
      <c r="F1399" s="109" t="s">
        <v>9496</v>
      </c>
      <c r="G1399" s="115" t="s">
        <v>9324</v>
      </c>
      <c r="H1399" s="115" t="s">
        <v>9323</v>
      </c>
      <c r="I1399" s="109" t="s">
        <v>10378</v>
      </c>
      <c r="J1399" s="239" t="s">
        <v>10379</v>
      </c>
      <c r="K1399" s="109" t="s">
        <v>9440</v>
      </c>
      <c r="L1399" s="109" t="s">
        <v>9496</v>
      </c>
    </row>
    <row r="1400" spans="1:12" s="58" customFormat="1" ht="14.85" customHeight="1" x14ac:dyDescent="0.25">
      <c r="A1400" s="108" t="s">
        <v>9308</v>
      </c>
      <c r="B1400" s="115" t="s">
        <v>8939</v>
      </c>
      <c r="C1400" s="115" t="s">
        <v>9338</v>
      </c>
      <c r="D1400" s="109" t="s">
        <v>10410</v>
      </c>
      <c r="E1400" s="106" t="s">
        <v>10411</v>
      </c>
      <c r="F1400" s="109" t="s">
        <v>9496</v>
      </c>
      <c r="G1400" s="115" t="s">
        <v>9324</v>
      </c>
      <c r="H1400" s="115" t="s">
        <v>9323</v>
      </c>
      <c r="I1400" s="109" t="s">
        <v>10092</v>
      </c>
      <c r="J1400" s="239" t="s">
        <v>10093</v>
      </c>
      <c r="K1400" s="109" t="s">
        <v>9440</v>
      </c>
      <c r="L1400" s="109" t="s">
        <v>9496</v>
      </c>
    </row>
    <row r="1401" spans="1:12" s="58" customFormat="1" ht="14.85" customHeight="1" x14ac:dyDescent="0.25">
      <c r="A1401" s="108" t="s">
        <v>9308</v>
      </c>
      <c r="B1401" s="115" t="s">
        <v>8939</v>
      </c>
      <c r="C1401" s="115" t="s">
        <v>9338</v>
      </c>
      <c r="D1401" s="109" t="s">
        <v>10412</v>
      </c>
      <c r="E1401" s="106" t="s">
        <v>10413</v>
      </c>
      <c r="F1401" s="109" t="s">
        <v>9496</v>
      </c>
      <c r="G1401" s="115" t="s">
        <v>9324</v>
      </c>
      <c r="H1401" s="115" t="s">
        <v>9323</v>
      </c>
      <c r="I1401" s="109" t="s">
        <v>10090</v>
      </c>
      <c r="J1401" s="239" t="s">
        <v>10091</v>
      </c>
      <c r="K1401" s="109" t="s">
        <v>9440</v>
      </c>
      <c r="L1401" s="109" t="s">
        <v>9496</v>
      </c>
    </row>
    <row r="1402" spans="1:12" s="58" customFormat="1" ht="14.85" customHeight="1" x14ac:dyDescent="0.25">
      <c r="A1402" s="108" t="s">
        <v>9308</v>
      </c>
      <c r="B1402" s="115" t="s">
        <v>8939</v>
      </c>
      <c r="C1402" s="115" t="s">
        <v>9338</v>
      </c>
      <c r="D1402" s="109" t="s">
        <v>10412</v>
      </c>
      <c r="E1402" s="106" t="s">
        <v>10413</v>
      </c>
      <c r="F1402" s="109" t="s">
        <v>9496</v>
      </c>
      <c r="G1402" s="115" t="s">
        <v>9324</v>
      </c>
      <c r="H1402" s="115" t="s">
        <v>9323</v>
      </c>
      <c r="I1402" s="109" t="s">
        <v>10380</v>
      </c>
      <c r="J1402" s="239" t="s">
        <v>10381</v>
      </c>
      <c r="K1402" s="109" t="s">
        <v>9440</v>
      </c>
      <c r="L1402" s="109" t="s">
        <v>9496</v>
      </c>
    </row>
    <row r="1403" spans="1:12" s="58" customFormat="1" ht="14.85" customHeight="1" x14ac:dyDescent="0.25">
      <c r="A1403" s="108" t="s">
        <v>9308</v>
      </c>
      <c r="B1403" s="115" t="s">
        <v>8939</v>
      </c>
      <c r="C1403" s="115" t="s">
        <v>9338</v>
      </c>
      <c r="D1403" s="109" t="s">
        <v>10412</v>
      </c>
      <c r="E1403" s="106" t="s">
        <v>10413</v>
      </c>
      <c r="F1403" s="109" t="s">
        <v>9496</v>
      </c>
      <c r="G1403" s="115" t="s">
        <v>9324</v>
      </c>
      <c r="H1403" s="115" t="s">
        <v>9323</v>
      </c>
      <c r="I1403" s="109" t="s">
        <v>10390</v>
      </c>
      <c r="J1403" s="239" t="s">
        <v>10391</v>
      </c>
      <c r="K1403" s="109" t="s">
        <v>9440</v>
      </c>
      <c r="L1403" s="109" t="s">
        <v>9496</v>
      </c>
    </row>
    <row r="1404" spans="1:12" s="58" customFormat="1" ht="14.85" customHeight="1" x14ac:dyDescent="0.25">
      <c r="A1404" s="108" t="s">
        <v>9308</v>
      </c>
      <c r="B1404" s="115" t="s">
        <v>8939</v>
      </c>
      <c r="C1404" s="115" t="s">
        <v>9338</v>
      </c>
      <c r="D1404" s="109" t="s">
        <v>10412</v>
      </c>
      <c r="E1404" s="106" t="s">
        <v>10413</v>
      </c>
      <c r="F1404" s="109" t="s">
        <v>9496</v>
      </c>
      <c r="G1404" s="115" t="s">
        <v>9324</v>
      </c>
      <c r="H1404" s="115" t="s">
        <v>9323</v>
      </c>
      <c r="I1404" s="109" t="s">
        <v>10092</v>
      </c>
      <c r="J1404" s="239" t="s">
        <v>10093</v>
      </c>
      <c r="K1404" s="109" t="s">
        <v>9440</v>
      </c>
      <c r="L1404" s="109" t="s">
        <v>9496</v>
      </c>
    </row>
    <row r="1405" spans="1:12" s="58" customFormat="1" ht="14.85" customHeight="1" x14ac:dyDescent="0.25">
      <c r="A1405" s="108" t="s">
        <v>9308</v>
      </c>
      <c r="B1405" s="115" t="s">
        <v>8939</v>
      </c>
      <c r="C1405" s="115" t="s">
        <v>9338</v>
      </c>
      <c r="D1405" s="109" t="s">
        <v>10414</v>
      </c>
      <c r="E1405" s="106" t="s">
        <v>10415</v>
      </c>
      <c r="F1405" s="109" t="s">
        <v>9496</v>
      </c>
      <c r="G1405" s="115" t="s">
        <v>9324</v>
      </c>
      <c r="H1405" s="115" t="s">
        <v>9323</v>
      </c>
      <c r="I1405" s="109" t="s">
        <v>10378</v>
      </c>
      <c r="J1405" s="239" t="s">
        <v>10379</v>
      </c>
      <c r="K1405" s="109" t="s">
        <v>9440</v>
      </c>
      <c r="L1405" s="109" t="s">
        <v>9496</v>
      </c>
    </row>
    <row r="1406" spans="1:12" s="58" customFormat="1" ht="14.85" customHeight="1" x14ac:dyDescent="0.25">
      <c r="A1406" s="108" t="s">
        <v>9308</v>
      </c>
      <c r="B1406" s="115" t="s">
        <v>8939</v>
      </c>
      <c r="C1406" s="115" t="s">
        <v>9338</v>
      </c>
      <c r="D1406" s="109" t="s">
        <v>10416</v>
      </c>
      <c r="E1406" s="106" t="s">
        <v>10417</v>
      </c>
      <c r="F1406" s="109" t="s">
        <v>9496</v>
      </c>
      <c r="G1406" s="115" t="s">
        <v>9324</v>
      </c>
      <c r="H1406" s="115" t="s">
        <v>9323</v>
      </c>
      <c r="I1406" s="109" t="s">
        <v>10372</v>
      </c>
      <c r="J1406" s="299" t="s">
        <v>10373</v>
      </c>
      <c r="K1406" s="109" t="s">
        <v>9440</v>
      </c>
      <c r="L1406" s="109" t="s">
        <v>9496</v>
      </c>
    </row>
    <row r="1407" spans="1:12" s="58" customFormat="1" ht="14.85" customHeight="1" x14ac:dyDescent="0.25">
      <c r="A1407" s="108" t="s">
        <v>9308</v>
      </c>
      <c r="B1407" s="115" t="s">
        <v>8939</v>
      </c>
      <c r="C1407" s="115" t="s">
        <v>9338</v>
      </c>
      <c r="D1407" s="109" t="s">
        <v>10416</v>
      </c>
      <c r="E1407" s="106" t="s">
        <v>10417</v>
      </c>
      <c r="F1407" s="109" t="s">
        <v>9496</v>
      </c>
      <c r="G1407" s="115" t="s">
        <v>9324</v>
      </c>
      <c r="H1407" s="115" t="s">
        <v>9323</v>
      </c>
      <c r="I1407" s="109" t="s">
        <v>10374</v>
      </c>
      <c r="J1407" s="299" t="s">
        <v>10375</v>
      </c>
      <c r="K1407" s="109" t="s">
        <v>9440</v>
      </c>
      <c r="L1407" s="109" t="s">
        <v>9496</v>
      </c>
    </row>
    <row r="1408" spans="1:12" s="58" customFormat="1" ht="14.85" customHeight="1" x14ac:dyDescent="0.25">
      <c r="A1408" s="108" t="s">
        <v>9308</v>
      </c>
      <c r="B1408" s="115" t="s">
        <v>8939</v>
      </c>
      <c r="C1408" s="115" t="s">
        <v>9338</v>
      </c>
      <c r="D1408" s="109" t="s">
        <v>10416</v>
      </c>
      <c r="E1408" s="106" t="s">
        <v>10417</v>
      </c>
      <c r="F1408" s="109" t="s">
        <v>9496</v>
      </c>
      <c r="G1408" s="115" t="s">
        <v>9324</v>
      </c>
      <c r="H1408" s="115" t="s">
        <v>9323</v>
      </c>
      <c r="I1408" s="109" t="s">
        <v>10376</v>
      </c>
      <c r="J1408" s="299" t="s">
        <v>10377</v>
      </c>
      <c r="K1408" s="109" t="s">
        <v>9440</v>
      </c>
      <c r="L1408" s="109" t="s">
        <v>9496</v>
      </c>
    </row>
    <row r="1409" spans="1:12" s="58" customFormat="1" ht="14.85" customHeight="1" x14ac:dyDescent="0.25">
      <c r="A1409" s="108" t="s">
        <v>9308</v>
      </c>
      <c r="B1409" s="115" t="s">
        <v>8939</v>
      </c>
      <c r="C1409" s="115" t="s">
        <v>9338</v>
      </c>
      <c r="D1409" s="109" t="s">
        <v>10416</v>
      </c>
      <c r="E1409" s="106" t="s">
        <v>10417</v>
      </c>
      <c r="F1409" s="109" t="s">
        <v>9496</v>
      </c>
      <c r="G1409" s="115" t="s">
        <v>9324</v>
      </c>
      <c r="H1409" s="115" t="s">
        <v>9323</v>
      </c>
      <c r="I1409" s="109" t="s">
        <v>10378</v>
      </c>
      <c r="J1409" s="299" t="s">
        <v>10379</v>
      </c>
      <c r="K1409" s="109" t="s">
        <v>9440</v>
      </c>
      <c r="L1409" s="109" t="s">
        <v>9496</v>
      </c>
    </row>
    <row r="1410" spans="1:12" s="58" customFormat="1" ht="14.85" customHeight="1" x14ac:dyDescent="0.25">
      <c r="A1410" s="108" t="s">
        <v>9308</v>
      </c>
      <c r="B1410" s="115" t="s">
        <v>8939</v>
      </c>
      <c r="C1410" s="115" t="s">
        <v>9338</v>
      </c>
      <c r="D1410" s="109" t="s">
        <v>10416</v>
      </c>
      <c r="E1410" s="106" t="s">
        <v>10417</v>
      </c>
      <c r="F1410" s="109" t="s">
        <v>9496</v>
      </c>
      <c r="G1410" s="115" t="s">
        <v>9324</v>
      </c>
      <c r="H1410" s="115" t="s">
        <v>9323</v>
      </c>
      <c r="I1410" s="109" t="s">
        <v>10380</v>
      </c>
      <c r="J1410" s="299" t="s">
        <v>10381</v>
      </c>
      <c r="K1410" s="109" t="s">
        <v>9440</v>
      </c>
      <c r="L1410" s="109" t="s">
        <v>9496</v>
      </c>
    </row>
    <row r="1411" spans="1:12" s="58" customFormat="1" ht="14.85" customHeight="1" x14ac:dyDescent="0.25">
      <c r="A1411" s="108" t="s">
        <v>9308</v>
      </c>
      <c r="B1411" s="115" t="s">
        <v>8939</v>
      </c>
      <c r="C1411" s="115" t="s">
        <v>9338</v>
      </c>
      <c r="D1411" s="109" t="s">
        <v>10416</v>
      </c>
      <c r="E1411" s="106" t="s">
        <v>10417</v>
      </c>
      <c r="F1411" s="109" t="s">
        <v>9496</v>
      </c>
      <c r="G1411" s="115" t="s">
        <v>9324</v>
      </c>
      <c r="H1411" s="115" t="s">
        <v>9323</v>
      </c>
      <c r="I1411" s="109" t="s">
        <v>10382</v>
      </c>
      <c r="J1411" s="299" t="s">
        <v>10383</v>
      </c>
      <c r="K1411" s="109" t="s">
        <v>9440</v>
      </c>
      <c r="L1411" s="109" t="s">
        <v>9496</v>
      </c>
    </row>
    <row r="1412" spans="1:12" s="58" customFormat="1" ht="14.85" customHeight="1" x14ac:dyDescent="0.25">
      <c r="A1412" s="108" t="s">
        <v>9308</v>
      </c>
      <c r="B1412" s="115" t="s">
        <v>8939</v>
      </c>
      <c r="C1412" s="115" t="s">
        <v>9338</v>
      </c>
      <c r="D1412" s="109" t="s">
        <v>10416</v>
      </c>
      <c r="E1412" s="106" t="s">
        <v>10417</v>
      </c>
      <c r="F1412" s="109" t="s">
        <v>9496</v>
      </c>
      <c r="G1412" s="115" t="s">
        <v>9324</v>
      </c>
      <c r="H1412" s="115" t="s">
        <v>9323</v>
      </c>
      <c r="I1412" s="109" t="s">
        <v>10384</v>
      </c>
      <c r="J1412" s="299" t="s">
        <v>10385</v>
      </c>
      <c r="K1412" s="109" t="s">
        <v>9440</v>
      </c>
      <c r="L1412" s="109" t="s">
        <v>9496</v>
      </c>
    </row>
    <row r="1413" spans="1:12" s="58" customFormat="1" ht="14.85" customHeight="1" x14ac:dyDescent="0.25">
      <c r="A1413" s="108" t="s">
        <v>9308</v>
      </c>
      <c r="B1413" s="115" t="s">
        <v>8939</v>
      </c>
      <c r="C1413" s="115" t="s">
        <v>9338</v>
      </c>
      <c r="D1413" s="109" t="s">
        <v>10416</v>
      </c>
      <c r="E1413" s="106" t="s">
        <v>10417</v>
      </c>
      <c r="F1413" s="109" t="s">
        <v>9496</v>
      </c>
      <c r="G1413" s="115" t="s">
        <v>9324</v>
      </c>
      <c r="H1413" s="115" t="s">
        <v>9323</v>
      </c>
      <c r="I1413" s="109" t="s">
        <v>10386</v>
      </c>
      <c r="J1413" s="299" t="s">
        <v>10387</v>
      </c>
      <c r="K1413" s="109" t="s">
        <v>9440</v>
      </c>
      <c r="L1413" s="109" t="s">
        <v>9496</v>
      </c>
    </row>
    <row r="1414" spans="1:12" s="58" customFormat="1" ht="14.85" customHeight="1" x14ac:dyDescent="0.25">
      <c r="A1414" s="108" t="s">
        <v>9308</v>
      </c>
      <c r="B1414" s="115" t="s">
        <v>8939</v>
      </c>
      <c r="C1414" s="115" t="s">
        <v>9338</v>
      </c>
      <c r="D1414" s="109" t="s">
        <v>10416</v>
      </c>
      <c r="E1414" s="106" t="s">
        <v>10417</v>
      </c>
      <c r="F1414" s="109" t="s">
        <v>9496</v>
      </c>
      <c r="G1414" s="115" t="s">
        <v>9324</v>
      </c>
      <c r="H1414" s="115" t="s">
        <v>9323</v>
      </c>
      <c r="I1414" s="109" t="s">
        <v>10388</v>
      </c>
      <c r="J1414" s="299" t="s">
        <v>10389</v>
      </c>
      <c r="K1414" s="109" t="s">
        <v>9440</v>
      </c>
      <c r="L1414" s="109" t="s">
        <v>9496</v>
      </c>
    </row>
    <row r="1415" spans="1:12" s="58" customFormat="1" ht="14.85" customHeight="1" x14ac:dyDescent="0.25">
      <c r="A1415" s="108" t="s">
        <v>9308</v>
      </c>
      <c r="B1415" s="115" t="s">
        <v>8939</v>
      </c>
      <c r="C1415" s="115" t="s">
        <v>9338</v>
      </c>
      <c r="D1415" s="109" t="s">
        <v>10416</v>
      </c>
      <c r="E1415" s="106" t="s">
        <v>10417</v>
      </c>
      <c r="F1415" s="109" t="s">
        <v>9496</v>
      </c>
      <c r="G1415" s="115" t="s">
        <v>9324</v>
      </c>
      <c r="H1415" s="115" t="s">
        <v>9323</v>
      </c>
      <c r="I1415" s="109" t="s">
        <v>10390</v>
      </c>
      <c r="J1415" s="299" t="s">
        <v>10391</v>
      </c>
      <c r="K1415" s="109" t="s">
        <v>9440</v>
      </c>
      <c r="L1415" s="109" t="s">
        <v>9496</v>
      </c>
    </row>
    <row r="1416" spans="1:12" s="58" customFormat="1" ht="14.85" customHeight="1" x14ac:dyDescent="0.25">
      <c r="A1416" s="108" t="s">
        <v>9308</v>
      </c>
      <c r="B1416" s="115" t="s">
        <v>8939</v>
      </c>
      <c r="C1416" s="115" t="s">
        <v>9338</v>
      </c>
      <c r="D1416" s="109" t="s">
        <v>10418</v>
      </c>
      <c r="E1416" s="106" t="s">
        <v>10419</v>
      </c>
      <c r="F1416" s="109" t="s">
        <v>9496</v>
      </c>
      <c r="G1416" s="115" t="s">
        <v>9324</v>
      </c>
      <c r="H1416" s="115" t="s">
        <v>9323</v>
      </c>
      <c r="I1416" s="109" t="s">
        <v>10386</v>
      </c>
      <c r="J1416" s="239" t="s">
        <v>10387</v>
      </c>
      <c r="K1416" s="109" t="s">
        <v>9440</v>
      </c>
      <c r="L1416" s="109" t="s">
        <v>9496</v>
      </c>
    </row>
    <row r="1417" spans="1:12" s="58" customFormat="1" ht="14.85" customHeight="1" x14ac:dyDescent="0.25">
      <c r="A1417" s="108" t="s">
        <v>9308</v>
      </c>
      <c r="B1417" s="115" t="s">
        <v>8939</v>
      </c>
      <c r="C1417" s="115" t="s">
        <v>9338</v>
      </c>
      <c r="D1417" s="109" t="s">
        <v>10420</v>
      </c>
      <c r="E1417" s="106" t="s">
        <v>10421</v>
      </c>
      <c r="F1417" s="109" t="s">
        <v>9496</v>
      </c>
      <c r="G1417" s="115" t="s">
        <v>9324</v>
      </c>
      <c r="H1417" s="115" t="s">
        <v>9324</v>
      </c>
      <c r="I1417" s="109" t="s">
        <v>10386</v>
      </c>
      <c r="J1417" s="239" t="s">
        <v>10387</v>
      </c>
      <c r="K1417" s="109" t="s">
        <v>9440</v>
      </c>
      <c r="L1417" s="109" t="s">
        <v>9496</v>
      </c>
    </row>
    <row r="1418" spans="1:12" s="58" customFormat="1" ht="14.85" customHeight="1" x14ac:dyDescent="0.25">
      <c r="A1418" s="108" t="s">
        <v>9308</v>
      </c>
      <c r="B1418" s="115" t="s">
        <v>8939</v>
      </c>
      <c r="C1418" s="115" t="s">
        <v>9338</v>
      </c>
      <c r="D1418" s="109" t="s">
        <v>10422</v>
      </c>
      <c r="E1418" s="106" t="s">
        <v>10423</v>
      </c>
      <c r="F1418" s="109" t="s">
        <v>9496</v>
      </c>
      <c r="G1418" s="115" t="s">
        <v>9324</v>
      </c>
      <c r="H1418" s="115" t="s">
        <v>9324</v>
      </c>
      <c r="I1418" s="109" t="s">
        <v>10378</v>
      </c>
      <c r="J1418" s="239" t="s">
        <v>10379</v>
      </c>
      <c r="K1418" s="109" t="s">
        <v>9440</v>
      </c>
      <c r="L1418" s="109" t="s">
        <v>9496</v>
      </c>
    </row>
    <row r="1419" spans="1:12" s="58" customFormat="1" ht="14.85" customHeight="1" x14ac:dyDescent="0.25">
      <c r="A1419" s="108" t="s">
        <v>9308</v>
      </c>
      <c r="B1419" s="115" t="s">
        <v>8939</v>
      </c>
      <c r="C1419" s="115" t="s">
        <v>9338</v>
      </c>
      <c r="D1419" s="109" t="s">
        <v>10422</v>
      </c>
      <c r="E1419" s="106" t="s">
        <v>10423</v>
      </c>
      <c r="F1419" s="109" t="s">
        <v>9496</v>
      </c>
      <c r="G1419" s="115" t="s">
        <v>9324</v>
      </c>
      <c r="H1419" s="115" t="s">
        <v>9324</v>
      </c>
      <c r="I1419" s="109" t="s">
        <v>10384</v>
      </c>
      <c r="J1419" s="239" t="s">
        <v>10385</v>
      </c>
      <c r="K1419" s="109" t="s">
        <v>9440</v>
      </c>
      <c r="L1419" s="109" t="s">
        <v>9496</v>
      </c>
    </row>
    <row r="1420" spans="1:12" s="58" customFormat="1" ht="14.85" customHeight="1" x14ac:dyDescent="0.25">
      <c r="A1420" s="108" t="s">
        <v>9308</v>
      </c>
      <c r="B1420" s="115" t="s">
        <v>8939</v>
      </c>
      <c r="C1420" s="115" t="s">
        <v>9338</v>
      </c>
      <c r="D1420" s="109" t="s">
        <v>10422</v>
      </c>
      <c r="E1420" s="106" t="s">
        <v>10423</v>
      </c>
      <c r="F1420" s="109" t="s">
        <v>9496</v>
      </c>
      <c r="G1420" s="115" t="s">
        <v>9324</v>
      </c>
      <c r="H1420" s="115" t="s">
        <v>9324</v>
      </c>
      <c r="I1420" s="109" t="s">
        <v>10388</v>
      </c>
      <c r="J1420" s="239" t="s">
        <v>10389</v>
      </c>
      <c r="K1420" s="109" t="s">
        <v>9440</v>
      </c>
      <c r="L1420" s="109" t="s">
        <v>9496</v>
      </c>
    </row>
    <row r="1421" spans="1:12" s="58" customFormat="1" ht="14.85" customHeight="1" x14ac:dyDescent="0.25">
      <c r="A1421" s="108" t="s">
        <v>9308</v>
      </c>
      <c r="B1421" s="115" t="s">
        <v>8939</v>
      </c>
      <c r="C1421" s="115" t="s">
        <v>9338</v>
      </c>
      <c r="D1421" s="109" t="s">
        <v>10424</v>
      </c>
      <c r="E1421" s="106" t="s">
        <v>10425</v>
      </c>
      <c r="F1421" s="109" t="s">
        <v>9496</v>
      </c>
      <c r="G1421" s="115" t="s">
        <v>9324</v>
      </c>
      <c r="H1421" s="115" t="s">
        <v>9323</v>
      </c>
      <c r="I1421" s="109" t="s">
        <v>10372</v>
      </c>
      <c r="J1421" s="239" t="s">
        <v>10373</v>
      </c>
      <c r="K1421" s="109" t="s">
        <v>9440</v>
      </c>
      <c r="L1421" s="109" t="s">
        <v>9496</v>
      </c>
    </row>
    <row r="1422" spans="1:12" s="58" customFormat="1" ht="14.85" customHeight="1" x14ac:dyDescent="0.25">
      <c r="A1422" s="108" t="s">
        <v>9308</v>
      </c>
      <c r="B1422" s="115" t="s">
        <v>8939</v>
      </c>
      <c r="C1422" s="115" t="s">
        <v>9338</v>
      </c>
      <c r="D1422" s="109" t="s">
        <v>10424</v>
      </c>
      <c r="E1422" s="106" t="s">
        <v>10425</v>
      </c>
      <c r="F1422" s="109" t="s">
        <v>9496</v>
      </c>
      <c r="G1422" s="115" t="s">
        <v>9324</v>
      </c>
      <c r="H1422" s="115" t="s">
        <v>9323</v>
      </c>
      <c r="I1422" s="109" t="s">
        <v>10374</v>
      </c>
      <c r="J1422" s="239" t="s">
        <v>10375</v>
      </c>
      <c r="K1422" s="109" t="s">
        <v>9440</v>
      </c>
      <c r="L1422" s="109" t="s">
        <v>9496</v>
      </c>
    </row>
    <row r="1423" spans="1:12" s="58" customFormat="1" ht="14.85" customHeight="1" x14ac:dyDescent="0.25">
      <c r="A1423" s="108" t="s">
        <v>9308</v>
      </c>
      <c r="B1423" s="115" t="s">
        <v>8939</v>
      </c>
      <c r="C1423" s="115" t="s">
        <v>9338</v>
      </c>
      <c r="D1423" s="109" t="s">
        <v>10424</v>
      </c>
      <c r="E1423" s="106" t="s">
        <v>10425</v>
      </c>
      <c r="F1423" s="109" t="s">
        <v>9496</v>
      </c>
      <c r="G1423" s="115" t="s">
        <v>9324</v>
      </c>
      <c r="H1423" s="115" t="s">
        <v>9323</v>
      </c>
      <c r="I1423" s="109" t="s">
        <v>10376</v>
      </c>
      <c r="J1423" s="239" t="s">
        <v>10377</v>
      </c>
      <c r="K1423" s="109" t="s">
        <v>9440</v>
      </c>
      <c r="L1423" s="109" t="s">
        <v>9496</v>
      </c>
    </row>
    <row r="1424" spans="1:12" s="58" customFormat="1" ht="14.85" customHeight="1" x14ac:dyDescent="0.25">
      <c r="A1424" s="108" t="s">
        <v>9308</v>
      </c>
      <c r="B1424" s="115" t="s">
        <v>8939</v>
      </c>
      <c r="C1424" s="115" t="s">
        <v>9338</v>
      </c>
      <c r="D1424" s="109" t="s">
        <v>10424</v>
      </c>
      <c r="E1424" s="106" t="s">
        <v>10425</v>
      </c>
      <c r="F1424" s="109" t="s">
        <v>9496</v>
      </c>
      <c r="G1424" s="115" t="s">
        <v>9324</v>
      </c>
      <c r="H1424" s="115" t="s">
        <v>9323</v>
      </c>
      <c r="I1424" s="109" t="s">
        <v>10378</v>
      </c>
      <c r="J1424" s="239" t="s">
        <v>10379</v>
      </c>
      <c r="K1424" s="109" t="s">
        <v>9440</v>
      </c>
      <c r="L1424" s="109" t="s">
        <v>9496</v>
      </c>
    </row>
    <row r="1425" spans="1:12" s="58" customFormat="1" ht="14.85" customHeight="1" x14ac:dyDescent="0.25">
      <c r="A1425" s="108" t="s">
        <v>9308</v>
      </c>
      <c r="B1425" s="115" t="s">
        <v>8939</v>
      </c>
      <c r="C1425" s="115" t="s">
        <v>9338</v>
      </c>
      <c r="D1425" s="109" t="s">
        <v>10424</v>
      </c>
      <c r="E1425" s="106" t="s">
        <v>10425</v>
      </c>
      <c r="F1425" s="109" t="s">
        <v>9496</v>
      </c>
      <c r="G1425" s="115" t="s">
        <v>9324</v>
      </c>
      <c r="H1425" s="115" t="s">
        <v>9323</v>
      </c>
      <c r="I1425" s="109" t="s">
        <v>10380</v>
      </c>
      <c r="J1425" s="239" t="s">
        <v>10381</v>
      </c>
      <c r="K1425" s="109" t="s">
        <v>9440</v>
      </c>
      <c r="L1425" s="109" t="s">
        <v>9496</v>
      </c>
    </row>
    <row r="1426" spans="1:12" s="58" customFormat="1" ht="14.85" customHeight="1" x14ac:dyDescent="0.25">
      <c r="A1426" s="108" t="s">
        <v>9308</v>
      </c>
      <c r="B1426" s="115" t="s">
        <v>8939</v>
      </c>
      <c r="C1426" s="115" t="s">
        <v>9338</v>
      </c>
      <c r="D1426" s="109" t="s">
        <v>10424</v>
      </c>
      <c r="E1426" s="106" t="s">
        <v>10425</v>
      </c>
      <c r="F1426" s="109" t="s">
        <v>9496</v>
      </c>
      <c r="G1426" s="115" t="s">
        <v>9324</v>
      </c>
      <c r="H1426" s="115" t="s">
        <v>9323</v>
      </c>
      <c r="I1426" s="109" t="s">
        <v>10382</v>
      </c>
      <c r="J1426" s="239" t="s">
        <v>10383</v>
      </c>
      <c r="K1426" s="109" t="s">
        <v>9440</v>
      </c>
      <c r="L1426" s="109" t="s">
        <v>9496</v>
      </c>
    </row>
    <row r="1427" spans="1:12" s="58" customFormat="1" ht="14.85" customHeight="1" x14ac:dyDescent="0.25">
      <c r="A1427" s="108" t="s">
        <v>9308</v>
      </c>
      <c r="B1427" s="115" t="s">
        <v>8939</v>
      </c>
      <c r="C1427" s="115" t="s">
        <v>9338</v>
      </c>
      <c r="D1427" s="109" t="s">
        <v>10424</v>
      </c>
      <c r="E1427" s="106" t="s">
        <v>10425</v>
      </c>
      <c r="F1427" s="109" t="s">
        <v>9496</v>
      </c>
      <c r="G1427" s="115" t="s">
        <v>9324</v>
      </c>
      <c r="H1427" s="115" t="s">
        <v>9323</v>
      </c>
      <c r="I1427" s="109" t="s">
        <v>10384</v>
      </c>
      <c r="J1427" s="239" t="s">
        <v>10385</v>
      </c>
      <c r="K1427" s="109" t="s">
        <v>9440</v>
      </c>
      <c r="L1427" s="109" t="s">
        <v>9496</v>
      </c>
    </row>
    <row r="1428" spans="1:12" s="58" customFormat="1" ht="14.85" customHeight="1" x14ac:dyDescent="0.25">
      <c r="A1428" s="108" t="s">
        <v>9308</v>
      </c>
      <c r="B1428" s="115" t="s">
        <v>8939</v>
      </c>
      <c r="C1428" s="115" t="s">
        <v>9338</v>
      </c>
      <c r="D1428" s="109" t="s">
        <v>10424</v>
      </c>
      <c r="E1428" s="106" t="s">
        <v>10425</v>
      </c>
      <c r="F1428" s="109" t="s">
        <v>9496</v>
      </c>
      <c r="G1428" s="115" t="s">
        <v>9324</v>
      </c>
      <c r="H1428" s="115" t="s">
        <v>9323</v>
      </c>
      <c r="I1428" s="109" t="s">
        <v>10386</v>
      </c>
      <c r="J1428" s="239" t="s">
        <v>10387</v>
      </c>
      <c r="K1428" s="109" t="s">
        <v>9440</v>
      </c>
      <c r="L1428" s="109" t="s">
        <v>9496</v>
      </c>
    </row>
    <row r="1429" spans="1:12" s="58" customFormat="1" ht="14.85" customHeight="1" x14ac:dyDescent="0.25">
      <c r="A1429" s="108" t="s">
        <v>9308</v>
      </c>
      <c r="B1429" s="115" t="s">
        <v>8939</v>
      </c>
      <c r="C1429" s="115" t="s">
        <v>9338</v>
      </c>
      <c r="D1429" s="109" t="s">
        <v>10424</v>
      </c>
      <c r="E1429" s="106" t="s">
        <v>10425</v>
      </c>
      <c r="F1429" s="109" t="s">
        <v>9496</v>
      </c>
      <c r="G1429" s="115" t="s">
        <v>9324</v>
      </c>
      <c r="H1429" s="115" t="s">
        <v>9323</v>
      </c>
      <c r="I1429" s="109" t="s">
        <v>10388</v>
      </c>
      <c r="J1429" s="239" t="s">
        <v>10389</v>
      </c>
      <c r="K1429" s="109" t="s">
        <v>9440</v>
      </c>
      <c r="L1429" s="109" t="s">
        <v>9496</v>
      </c>
    </row>
    <row r="1430" spans="1:12" s="58" customFormat="1" ht="14.85" customHeight="1" x14ac:dyDescent="0.25">
      <c r="A1430" s="108" t="s">
        <v>9308</v>
      </c>
      <c r="B1430" s="115" t="s">
        <v>8939</v>
      </c>
      <c r="C1430" s="115" t="s">
        <v>9338</v>
      </c>
      <c r="D1430" s="109" t="s">
        <v>10424</v>
      </c>
      <c r="E1430" s="106" t="s">
        <v>10425</v>
      </c>
      <c r="F1430" s="109" t="s">
        <v>9496</v>
      </c>
      <c r="G1430" s="115" t="s">
        <v>9324</v>
      </c>
      <c r="H1430" s="115" t="s">
        <v>9323</v>
      </c>
      <c r="I1430" s="109" t="s">
        <v>10390</v>
      </c>
      <c r="J1430" s="239" t="s">
        <v>10391</v>
      </c>
      <c r="K1430" s="109" t="s">
        <v>9440</v>
      </c>
      <c r="L1430" s="109" t="s">
        <v>9496</v>
      </c>
    </row>
    <row r="1431" spans="1:12" s="58" customFormat="1" ht="14.85" customHeight="1" x14ac:dyDescent="0.25">
      <c r="A1431" s="108" t="s">
        <v>9308</v>
      </c>
      <c r="B1431" s="115" t="s">
        <v>8939</v>
      </c>
      <c r="C1431" s="115" t="s">
        <v>9338</v>
      </c>
      <c r="D1431" s="109" t="s">
        <v>10426</v>
      </c>
      <c r="E1431" s="106" t="s">
        <v>10427</v>
      </c>
      <c r="F1431" s="109" t="s">
        <v>9496</v>
      </c>
      <c r="G1431" s="115" t="s">
        <v>9324</v>
      </c>
      <c r="H1431" s="115" t="s">
        <v>9323</v>
      </c>
      <c r="I1431" s="109" t="s">
        <v>10372</v>
      </c>
      <c r="J1431" s="239" t="s">
        <v>10373</v>
      </c>
      <c r="K1431" s="109" t="s">
        <v>9440</v>
      </c>
      <c r="L1431" s="109" t="s">
        <v>9496</v>
      </c>
    </row>
    <row r="1432" spans="1:12" s="58" customFormat="1" ht="14.85" customHeight="1" x14ac:dyDescent="0.25">
      <c r="A1432" s="108" t="s">
        <v>9308</v>
      </c>
      <c r="B1432" s="115" t="s">
        <v>8939</v>
      </c>
      <c r="C1432" s="115" t="s">
        <v>9338</v>
      </c>
      <c r="D1432" s="109" t="s">
        <v>10426</v>
      </c>
      <c r="E1432" s="106" t="s">
        <v>10427</v>
      </c>
      <c r="F1432" s="109" t="s">
        <v>9496</v>
      </c>
      <c r="G1432" s="115" t="s">
        <v>9324</v>
      </c>
      <c r="H1432" s="115" t="s">
        <v>9323</v>
      </c>
      <c r="I1432" s="109" t="s">
        <v>10374</v>
      </c>
      <c r="J1432" s="239" t="s">
        <v>10375</v>
      </c>
      <c r="K1432" s="109" t="s">
        <v>9440</v>
      </c>
      <c r="L1432" s="109" t="s">
        <v>9496</v>
      </c>
    </row>
    <row r="1433" spans="1:12" s="58" customFormat="1" ht="14.85" customHeight="1" x14ac:dyDescent="0.25">
      <c r="A1433" s="108" t="s">
        <v>9308</v>
      </c>
      <c r="B1433" s="115" t="s">
        <v>8939</v>
      </c>
      <c r="C1433" s="115" t="s">
        <v>9338</v>
      </c>
      <c r="D1433" s="109" t="s">
        <v>10426</v>
      </c>
      <c r="E1433" s="106" t="s">
        <v>10427</v>
      </c>
      <c r="F1433" s="109" t="s">
        <v>9496</v>
      </c>
      <c r="G1433" s="115" t="s">
        <v>9324</v>
      </c>
      <c r="H1433" s="115" t="s">
        <v>9323</v>
      </c>
      <c r="I1433" s="109" t="s">
        <v>10376</v>
      </c>
      <c r="J1433" s="239" t="s">
        <v>10377</v>
      </c>
      <c r="K1433" s="109" t="s">
        <v>9440</v>
      </c>
      <c r="L1433" s="109" t="s">
        <v>9496</v>
      </c>
    </row>
    <row r="1434" spans="1:12" s="58" customFormat="1" ht="14.85" customHeight="1" x14ac:dyDescent="0.25">
      <c r="A1434" s="108" t="s">
        <v>9308</v>
      </c>
      <c r="B1434" s="115" t="s">
        <v>8939</v>
      </c>
      <c r="C1434" s="115" t="s">
        <v>9338</v>
      </c>
      <c r="D1434" s="109" t="s">
        <v>10426</v>
      </c>
      <c r="E1434" s="106" t="s">
        <v>10427</v>
      </c>
      <c r="F1434" s="109" t="s">
        <v>9496</v>
      </c>
      <c r="G1434" s="115" t="s">
        <v>9324</v>
      </c>
      <c r="H1434" s="115" t="s">
        <v>9323</v>
      </c>
      <c r="I1434" s="109" t="s">
        <v>10378</v>
      </c>
      <c r="J1434" s="239" t="s">
        <v>10379</v>
      </c>
      <c r="K1434" s="109" t="s">
        <v>9440</v>
      </c>
      <c r="L1434" s="109" t="s">
        <v>9496</v>
      </c>
    </row>
    <row r="1435" spans="1:12" s="58" customFormat="1" ht="14.85" customHeight="1" x14ac:dyDescent="0.25">
      <c r="A1435" s="108" t="s">
        <v>9308</v>
      </c>
      <c r="B1435" s="115" t="s">
        <v>8939</v>
      </c>
      <c r="C1435" s="115" t="s">
        <v>9338</v>
      </c>
      <c r="D1435" s="109" t="s">
        <v>10426</v>
      </c>
      <c r="E1435" s="106" t="s">
        <v>10427</v>
      </c>
      <c r="F1435" s="109" t="s">
        <v>9496</v>
      </c>
      <c r="G1435" s="115" t="s">
        <v>9324</v>
      </c>
      <c r="H1435" s="115" t="s">
        <v>9323</v>
      </c>
      <c r="I1435" s="109" t="s">
        <v>10380</v>
      </c>
      <c r="J1435" s="239" t="s">
        <v>10381</v>
      </c>
      <c r="K1435" s="109" t="s">
        <v>9440</v>
      </c>
      <c r="L1435" s="109" t="s">
        <v>9496</v>
      </c>
    </row>
    <row r="1436" spans="1:12" s="58" customFormat="1" ht="14.85" customHeight="1" x14ac:dyDescent="0.25">
      <c r="A1436" s="108" t="s">
        <v>9308</v>
      </c>
      <c r="B1436" s="115" t="s">
        <v>8939</v>
      </c>
      <c r="C1436" s="115" t="s">
        <v>9338</v>
      </c>
      <c r="D1436" s="109" t="s">
        <v>10426</v>
      </c>
      <c r="E1436" s="106" t="s">
        <v>10427</v>
      </c>
      <c r="F1436" s="109" t="s">
        <v>9496</v>
      </c>
      <c r="G1436" s="115" t="s">
        <v>9324</v>
      </c>
      <c r="H1436" s="115" t="s">
        <v>9323</v>
      </c>
      <c r="I1436" s="109" t="s">
        <v>10382</v>
      </c>
      <c r="J1436" s="239" t="s">
        <v>10383</v>
      </c>
      <c r="K1436" s="109" t="s">
        <v>9440</v>
      </c>
      <c r="L1436" s="109" t="s">
        <v>9496</v>
      </c>
    </row>
    <row r="1437" spans="1:12" s="58" customFormat="1" ht="14.85" customHeight="1" x14ac:dyDescent="0.25">
      <c r="A1437" s="108" t="s">
        <v>9308</v>
      </c>
      <c r="B1437" s="115" t="s">
        <v>8939</v>
      </c>
      <c r="C1437" s="115" t="s">
        <v>9338</v>
      </c>
      <c r="D1437" s="109" t="s">
        <v>10426</v>
      </c>
      <c r="E1437" s="106" t="s">
        <v>10427</v>
      </c>
      <c r="F1437" s="109" t="s">
        <v>9496</v>
      </c>
      <c r="G1437" s="115" t="s">
        <v>9324</v>
      </c>
      <c r="H1437" s="115" t="s">
        <v>9323</v>
      </c>
      <c r="I1437" s="109" t="s">
        <v>10384</v>
      </c>
      <c r="J1437" s="239" t="s">
        <v>10385</v>
      </c>
      <c r="K1437" s="109" t="s">
        <v>9440</v>
      </c>
      <c r="L1437" s="109" t="s">
        <v>9496</v>
      </c>
    </row>
    <row r="1438" spans="1:12" s="58" customFormat="1" ht="14.85" customHeight="1" x14ac:dyDescent="0.25">
      <c r="A1438" s="108" t="s">
        <v>9308</v>
      </c>
      <c r="B1438" s="115" t="s">
        <v>8939</v>
      </c>
      <c r="C1438" s="115" t="s">
        <v>9338</v>
      </c>
      <c r="D1438" s="109" t="s">
        <v>10426</v>
      </c>
      <c r="E1438" s="106" t="s">
        <v>10427</v>
      </c>
      <c r="F1438" s="109" t="s">
        <v>9496</v>
      </c>
      <c r="G1438" s="115" t="s">
        <v>9324</v>
      </c>
      <c r="H1438" s="115" t="s">
        <v>9323</v>
      </c>
      <c r="I1438" s="109" t="s">
        <v>10386</v>
      </c>
      <c r="J1438" s="239" t="s">
        <v>10387</v>
      </c>
      <c r="K1438" s="109" t="s">
        <v>9440</v>
      </c>
      <c r="L1438" s="109" t="s">
        <v>9496</v>
      </c>
    </row>
    <row r="1439" spans="1:12" s="58" customFormat="1" ht="14.85" customHeight="1" x14ac:dyDescent="0.25">
      <c r="A1439" s="108" t="s">
        <v>9308</v>
      </c>
      <c r="B1439" s="115" t="s">
        <v>8939</v>
      </c>
      <c r="C1439" s="115" t="s">
        <v>9338</v>
      </c>
      <c r="D1439" s="109" t="s">
        <v>10426</v>
      </c>
      <c r="E1439" s="106" t="s">
        <v>10427</v>
      </c>
      <c r="F1439" s="109" t="s">
        <v>9496</v>
      </c>
      <c r="G1439" s="115" t="s">
        <v>9324</v>
      </c>
      <c r="H1439" s="115" t="s">
        <v>9323</v>
      </c>
      <c r="I1439" s="109">
        <v>2095</v>
      </c>
      <c r="J1439" s="239" t="s">
        <v>10389</v>
      </c>
      <c r="K1439" s="109" t="s">
        <v>9440</v>
      </c>
      <c r="L1439" s="109" t="s">
        <v>9496</v>
      </c>
    </row>
    <row r="1440" spans="1:12" s="58" customFormat="1" ht="14.85" customHeight="1" x14ac:dyDescent="0.25">
      <c r="A1440" s="108" t="s">
        <v>9308</v>
      </c>
      <c r="B1440" s="115" t="s">
        <v>8939</v>
      </c>
      <c r="C1440" s="115" t="s">
        <v>9338</v>
      </c>
      <c r="D1440" s="109" t="s">
        <v>10426</v>
      </c>
      <c r="E1440" s="106" t="s">
        <v>10427</v>
      </c>
      <c r="F1440" s="109" t="s">
        <v>9496</v>
      </c>
      <c r="G1440" s="115" t="s">
        <v>9324</v>
      </c>
      <c r="H1440" s="115" t="s">
        <v>9323</v>
      </c>
      <c r="I1440" s="109" t="s">
        <v>10390</v>
      </c>
      <c r="J1440" s="239" t="s">
        <v>10391</v>
      </c>
      <c r="K1440" s="109" t="s">
        <v>9440</v>
      </c>
      <c r="L1440" s="109" t="s">
        <v>9496</v>
      </c>
    </row>
    <row r="1441" spans="1:12" s="58" customFormat="1" ht="14.85" customHeight="1" x14ac:dyDescent="0.25">
      <c r="A1441" s="108" t="s">
        <v>9308</v>
      </c>
      <c r="B1441" s="115" t="s">
        <v>8939</v>
      </c>
      <c r="C1441" s="115" t="s">
        <v>9338</v>
      </c>
      <c r="D1441" s="109" t="s">
        <v>10428</v>
      </c>
      <c r="E1441" s="106" t="s">
        <v>10429</v>
      </c>
      <c r="F1441" s="109" t="s">
        <v>9496</v>
      </c>
      <c r="G1441" s="115" t="s">
        <v>9324</v>
      </c>
      <c r="H1441" s="115" t="s">
        <v>9323</v>
      </c>
      <c r="I1441" s="109" t="s">
        <v>10090</v>
      </c>
      <c r="J1441" s="239" t="s">
        <v>10091</v>
      </c>
      <c r="K1441" s="109" t="s">
        <v>9440</v>
      </c>
      <c r="L1441" s="109" t="s">
        <v>9496</v>
      </c>
    </row>
    <row r="1442" spans="1:12" s="58" customFormat="1" ht="14.85" customHeight="1" x14ac:dyDescent="0.25">
      <c r="A1442" s="108" t="s">
        <v>9308</v>
      </c>
      <c r="B1442" s="115" t="s">
        <v>8939</v>
      </c>
      <c r="C1442" s="115" t="s">
        <v>9338</v>
      </c>
      <c r="D1442" s="109" t="s">
        <v>10428</v>
      </c>
      <c r="E1442" s="106" t="s">
        <v>10429</v>
      </c>
      <c r="F1442" s="109" t="s">
        <v>9496</v>
      </c>
      <c r="G1442" s="115" t="s">
        <v>9324</v>
      </c>
      <c r="H1442" s="115" t="s">
        <v>9323</v>
      </c>
      <c r="I1442" s="109" t="s">
        <v>10386</v>
      </c>
      <c r="J1442" s="239" t="s">
        <v>10387</v>
      </c>
      <c r="K1442" s="109" t="s">
        <v>9440</v>
      </c>
      <c r="L1442" s="109" t="s">
        <v>9496</v>
      </c>
    </row>
    <row r="1443" spans="1:12" s="58" customFormat="1" ht="14.85" customHeight="1" x14ac:dyDescent="0.25">
      <c r="A1443" s="108" t="s">
        <v>9308</v>
      </c>
      <c r="B1443" s="115" t="s">
        <v>8939</v>
      </c>
      <c r="C1443" s="115" t="s">
        <v>9338</v>
      </c>
      <c r="D1443" s="109" t="s">
        <v>10428</v>
      </c>
      <c r="E1443" s="106" t="s">
        <v>10429</v>
      </c>
      <c r="F1443" s="109" t="s">
        <v>9496</v>
      </c>
      <c r="G1443" s="115" t="s">
        <v>9324</v>
      </c>
      <c r="H1443" s="115" t="s">
        <v>9323</v>
      </c>
      <c r="I1443" s="109" t="s">
        <v>10092</v>
      </c>
      <c r="J1443" s="239" t="s">
        <v>10093</v>
      </c>
      <c r="K1443" s="109" t="s">
        <v>9440</v>
      </c>
      <c r="L1443" s="109" t="s">
        <v>9496</v>
      </c>
    </row>
    <row r="1444" spans="1:12" s="58" customFormat="1" ht="14.85" customHeight="1" x14ac:dyDescent="0.25">
      <c r="A1444" s="108" t="s">
        <v>9308</v>
      </c>
      <c r="B1444" s="115" t="s">
        <v>8939</v>
      </c>
      <c r="C1444" s="115" t="s">
        <v>9338</v>
      </c>
      <c r="D1444" s="109" t="s">
        <v>10430</v>
      </c>
      <c r="E1444" s="106" t="s">
        <v>10431</v>
      </c>
      <c r="F1444" s="109" t="s">
        <v>9496</v>
      </c>
      <c r="G1444" s="115" t="s">
        <v>9324</v>
      </c>
      <c r="H1444" s="115" t="s">
        <v>9323</v>
      </c>
      <c r="I1444" s="109" t="s">
        <v>10090</v>
      </c>
      <c r="J1444" s="239" t="s">
        <v>10091</v>
      </c>
      <c r="K1444" s="109" t="s">
        <v>9440</v>
      </c>
      <c r="L1444" s="109" t="s">
        <v>9496</v>
      </c>
    </row>
    <row r="1445" spans="1:12" s="58" customFormat="1" ht="14.85" customHeight="1" x14ac:dyDescent="0.25">
      <c r="A1445" s="108" t="s">
        <v>9308</v>
      </c>
      <c r="B1445" s="115" t="s">
        <v>8939</v>
      </c>
      <c r="C1445" s="115" t="s">
        <v>9338</v>
      </c>
      <c r="D1445" s="109" t="s">
        <v>10430</v>
      </c>
      <c r="E1445" s="106" t="s">
        <v>10431</v>
      </c>
      <c r="F1445" s="109" t="s">
        <v>9496</v>
      </c>
      <c r="G1445" s="115" t="s">
        <v>9324</v>
      </c>
      <c r="H1445" s="115" t="s">
        <v>9323</v>
      </c>
      <c r="I1445" s="109" t="s">
        <v>10378</v>
      </c>
      <c r="J1445" s="239" t="s">
        <v>10379</v>
      </c>
      <c r="K1445" s="109" t="s">
        <v>9440</v>
      </c>
      <c r="L1445" s="109" t="s">
        <v>9496</v>
      </c>
    </row>
    <row r="1446" spans="1:12" s="58" customFormat="1" ht="14.85" customHeight="1" x14ac:dyDescent="0.25">
      <c r="A1446" s="108" t="s">
        <v>9308</v>
      </c>
      <c r="B1446" s="115" t="s">
        <v>8939</v>
      </c>
      <c r="C1446" s="115" t="s">
        <v>9338</v>
      </c>
      <c r="D1446" s="109" t="s">
        <v>10430</v>
      </c>
      <c r="E1446" s="106" t="s">
        <v>10431</v>
      </c>
      <c r="F1446" s="109" t="s">
        <v>9496</v>
      </c>
      <c r="G1446" s="115" t="s">
        <v>9324</v>
      </c>
      <c r="H1446" s="115" t="s">
        <v>9323</v>
      </c>
      <c r="I1446" s="109" t="s">
        <v>10384</v>
      </c>
      <c r="J1446" s="239" t="s">
        <v>10385</v>
      </c>
      <c r="K1446" s="109" t="s">
        <v>9440</v>
      </c>
      <c r="L1446" s="109" t="s">
        <v>9496</v>
      </c>
    </row>
    <row r="1447" spans="1:12" s="58" customFormat="1" ht="14.85" customHeight="1" x14ac:dyDescent="0.25">
      <c r="A1447" s="108" t="s">
        <v>9308</v>
      </c>
      <c r="B1447" s="115" t="s">
        <v>8939</v>
      </c>
      <c r="C1447" s="115" t="s">
        <v>9338</v>
      </c>
      <c r="D1447" s="109" t="s">
        <v>10430</v>
      </c>
      <c r="E1447" s="106" t="s">
        <v>10431</v>
      </c>
      <c r="F1447" s="109" t="s">
        <v>9496</v>
      </c>
      <c r="G1447" s="115" t="s">
        <v>9324</v>
      </c>
      <c r="H1447" s="115" t="s">
        <v>9323</v>
      </c>
      <c r="I1447" s="109" t="s">
        <v>10388</v>
      </c>
      <c r="J1447" s="239" t="s">
        <v>10389</v>
      </c>
      <c r="K1447" s="109" t="s">
        <v>9440</v>
      </c>
      <c r="L1447" s="109" t="s">
        <v>9496</v>
      </c>
    </row>
    <row r="1448" spans="1:12" s="58" customFormat="1" ht="14.85" customHeight="1" x14ac:dyDescent="0.25">
      <c r="A1448" s="108" t="s">
        <v>9308</v>
      </c>
      <c r="B1448" s="115" t="s">
        <v>8939</v>
      </c>
      <c r="C1448" s="115" t="s">
        <v>9338</v>
      </c>
      <c r="D1448" s="109" t="s">
        <v>10430</v>
      </c>
      <c r="E1448" s="106" t="s">
        <v>10431</v>
      </c>
      <c r="F1448" s="109" t="s">
        <v>9496</v>
      </c>
      <c r="G1448" s="115" t="s">
        <v>9324</v>
      </c>
      <c r="H1448" s="115" t="s">
        <v>9323</v>
      </c>
      <c r="I1448" s="109" t="s">
        <v>10092</v>
      </c>
      <c r="J1448" s="239" t="s">
        <v>10093</v>
      </c>
      <c r="K1448" s="109" t="s">
        <v>9440</v>
      </c>
      <c r="L1448" s="109" t="s">
        <v>9496</v>
      </c>
    </row>
    <row r="1449" spans="1:12" s="58" customFormat="1" ht="14.85" customHeight="1" x14ac:dyDescent="0.25">
      <c r="A1449" s="108" t="s">
        <v>9308</v>
      </c>
      <c r="B1449" s="115" t="s">
        <v>8939</v>
      </c>
      <c r="C1449" s="115" t="s">
        <v>9338</v>
      </c>
      <c r="D1449" s="109" t="s">
        <v>10432</v>
      </c>
      <c r="E1449" s="106" t="s">
        <v>10433</v>
      </c>
      <c r="F1449" s="109" t="s">
        <v>9496</v>
      </c>
      <c r="G1449" s="115" t="s">
        <v>9324</v>
      </c>
      <c r="H1449" s="115" t="s">
        <v>9323</v>
      </c>
      <c r="I1449" s="109" t="s">
        <v>10382</v>
      </c>
      <c r="J1449" s="239" t="s">
        <v>10383</v>
      </c>
      <c r="K1449" s="109" t="s">
        <v>9440</v>
      </c>
      <c r="L1449" s="109" t="s">
        <v>9496</v>
      </c>
    </row>
    <row r="1450" spans="1:12" s="58" customFormat="1" ht="14.85" customHeight="1" x14ac:dyDescent="0.25">
      <c r="A1450" s="108" t="s">
        <v>9308</v>
      </c>
      <c r="B1450" s="115" t="s">
        <v>8939</v>
      </c>
      <c r="C1450" s="115" t="s">
        <v>9338</v>
      </c>
      <c r="D1450" s="109" t="s">
        <v>10432</v>
      </c>
      <c r="E1450" s="106" t="s">
        <v>10433</v>
      </c>
      <c r="F1450" s="109" t="s">
        <v>9496</v>
      </c>
      <c r="G1450" s="115" t="s">
        <v>9324</v>
      </c>
      <c r="H1450" s="115" t="s">
        <v>9323</v>
      </c>
      <c r="I1450" s="109" t="s">
        <v>10384</v>
      </c>
      <c r="J1450" s="239" t="s">
        <v>10385</v>
      </c>
      <c r="K1450" s="109" t="s">
        <v>9440</v>
      </c>
      <c r="L1450" s="109" t="s">
        <v>9496</v>
      </c>
    </row>
    <row r="1451" spans="1:12" s="58" customFormat="1" ht="14.85" customHeight="1" x14ac:dyDescent="0.25">
      <c r="A1451" s="108" t="s">
        <v>9308</v>
      </c>
      <c r="B1451" s="115" t="s">
        <v>8939</v>
      </c>
      <c r="C1451" s="115" t="s">
        <v>9338</v>
      </c>
      <c r="D1451" s="109" t="s">
        <v>10432</v>
      </c>
      <c r="E1451" s="106" t="s">
        <v>10433</v>
      </c>
      <c r="F1451" s="109" t="s">
        <v>9496</v>
      </c>
      <c r="G1451" s="115" t="s">
        <v>9324</v>
      </c>
      <c r="H1451" s="115" t="s">
        <v>9323</v>
      </c>
      <c r="I1451" s="109" t="s">
        <v>10434</v>
      </c>
      <c r="J1451" s="239" t="s">
        <v>10435</v>
      </c>
      <c r="K1451" s="109" t="s">
        <v>9440</v>
      </c>
      <c r="L1451" s="109" t="s">
        <v>9496</v>
      </c>
    </row>
    <row r="1452" spans="1:12" s="58" customFormat="1" ht="14.85" customHeight="1" x14ac:dyDescent="0.25">
      <c r="A1452" s="108" t="s">
        <v>9308</v>
      </c>
      <c r="B1452" s="115" t="s">
        <v>8939</v>
      </c>
      <c r="C1452" s="115" t="s">
        <v>9338</v>
      </c>
      <c r="D1452" s="109" t="s">
        <v>10432</v>
      </c>
      <c r="E1452" s="106" t="s">
        <v>10433</v>
      </c>
      <c r="F1452" s="109" t="s">
        <v>9496</v>
      </c>
      <c r="G1452" s="115" t="s">
        <v>9324</v>
      </c>
      <c r="H1452" s="115" t="s">
        <v>9323</v>
      </c>
      <c r="I1452" s="109" t="s">
        <v>10436</v>
      </c>
      <c r="J1452" s="239" t="s">
        <v>10437</v>
      </c>
      <c r="K1452" s="109" t="s">
        <v>9440</v>
      </c>
      <c r="L1452" s="109" t="s">
        <v>9496</v>
      </c>
    </row>
    <row r="1453" spans="1:12" s="58" customFormat="1" ht="14.85" customHeight="1" x14ac:dyDescent="0.25">
      <c r="A1453" s="108" t="s">
        <v>9308</v>
      </c>
      <c r="B1453" s="115" t="s">
        <v>8939</v>
      </c>
      <c r="C1453" s="115" t="s">
        <v>9338</v>
      </c>
      <c r="D1453" s="109" t="s">
        <v>10438</v>
      </c>
      <c r="E1453" s="106" t="s">
        <v>10439</v>
      </c>
      <c r="F1453" s="109" t="s">
        <v>9496</v>
      </c>
      <c r="G1453" s="115" t="s">
        <v>9324</v>
      </c>
      <c r="H1453" s="115" t="s">
        <v>9323</v>
      </c>
      <c r="I1453" s="109" t="s">
        <v>10436</v>
      </c>
      <c r="J1453" s="239" t="s">
        <v>10437</v>
      </c>
      <c r="K1453" s="109" t="s">
        <v>9440</v>
      </c>
      <c r="L1453" s="109" t="s">
        <v>9496</v>
      </c>
    </row>
    <row r="1454" spans="1:12" s="58" customFormat="1" ht="14.85" customHeight="1" x14ac:dyDescent="0.25">
      <c r="A1454" s="108" t="s">
        <v>9308</v>
      </c>
      <c r="B1454" s="115" t="s">
        <v>8939</v>
      </c>
      <c r="C1454" s="115" t="s">
        <v>9338</v>
      </c>
      <c r="D1454" s="109" t="s">
        <v>10440</v>
      </c>
      <c r="E1454" s="106" t="s">
        <v>10441</v>
      </c>
      <c r="F1454" s="109" t="s">
        <v>9496</v>
      </c>
      <c r="G1454" s="115" t="s">
        <v>9324</v>
      </c>
      <c r="H1454" s="115" t="s">
        <v>9324</v>
      </c>
      <c r="I1454" s="109" t="s">
        <v>10436</v>
      </c>
      <c r="J1454" s="239" t="s">
        <v>10437</v>
      </c>
      <c r="K1454" s="109" t="s">
        <v>9440</v>
      </c>
      <c r="L1454" s="109" t="s">
        <v>9496</v>
      </c>
    </row>
    <row r="1455" spans="1:12" s="58" customFormat="1" ht="14.85" customHeight="1" x14ac:dyDescent="0.25">
      <c r="A1455" s="108" t="s">
        <v>9308</v>
      </c>
      <c r="B1455" s="115" t="s">
        <v>8939</v>
      </c>
      <c r="C1455" s="115" t="s">
        <v>9338</v>
      </c>
      <c r="D1455" s="109" t="s">
        <v>10442</v>
      </c>
      <c r="E1455" s="106" t="s">
        <v>10443</v>
      </c>
      <c r="F1455" s="109" t="s">
        <v>9496</v>
      </c>
      <c r="G1455" s="115" t="s">
        <v>9324</v>
      </c>
      <c r="H1455" s="115" t="s">
        <v>9323</v>
      </c>
      <c r="I1455" s="109" t="s">
        <v>10090</v>
      </c>
      <c r="J1455" s="239" t="s">
        <v>10091</v>
      </c>
      <c r="K1455" s="109" t="s">
        <v>9440</v>
      </c>
      <c r="L1455" s="109" t="s">
        <v>9496</v>
      </c>
    </row>
    <row r="1456" spans="1:12" s="58" customFormat="1" ht="14.85" customHeight="1" x14ac:dyDescent="0.25">
      <c r="A1456" s="108" t="s">
        <v>9308</v>
      </c>
      <c r="B1456" s="115" t="s">
        <v>8939</v>
      </c>
      <c r="C1456" s="115" t="s">
        <v>9338</v>
      </c>
      <c r="D1456" s="109" t="s">
        <v>10442</v>
      </c>
      <c r="E1456" s="106" t="s">
        <v>10443</v>
      </c>
      <c r="F1456" s="109" t="s">
        <v>9496</v>
      </c>
      <c r="G1456" s="115" t="s">
        <v>9324</v>
      </c>
      <c r="H1456" s="115" t="s">
        <v>9323</v>
      </c>
      <c r="I1456" s="109" t="s">
        <v>10436</v>
      </c>
      <c r="J1456" s="239" t="s">
        <v>10437</v>
      </c>
      <c r="K1456" s="109" t="s">
        <v>9440</v>
      </c>
      <c r="L1456" s="109" t="s">
        <v>9496</v>
      </c>
    </row>
    <row r="1457" spans="1:12" s="58" customFormat="1" ht="14.85" customHeight="1" x14ac:dyDescent="0.25">
      <c r="A1457" s="108" t="s">
        <v>9308</v>
      </c>
      <c r="B1457" s="115" t="s">
        <v>8939</v>
      </c>
      <c r="C1457" s="115" t="s">
        <v>9338</v>
      </c>
      <c r="D1457" s="109" t="s">
        <v>10442</v>
      </c>
      <c r="E1457" s="106" t="s">
        <v>10443</v>
      </c>
      <c r="F1457" s="109" t="s">
        <v>9496</v>
      </c>
      <c r="G1457" s="115" t="s">
        <v>9324</v>
      </c>
      <c r="H1457" s="115" t="s">
        <v>9323</v>
      </c>
      <c r="I1457" s="109" t="s">
        <v>10092</v>
      </c>
      <c r="J1457" s="239" t="s">
        <v>10093</v>
      </c>
      <c r="K1457" s="109" t="s">
        <v>9440</v>
      </c>
      <c r="L1457" s="109" t="s">
        <v>9496</v>
      </c>
    </row>
    <row r="1458" spans="1:12" s="58" customFormat="1" ht="14.85" customHeight="1" x14ac:dyDescent="0.25">
      <c r="A1458" s="108" t="s">
        <v>9308</v>
      </c>
      <c r="B1458" s="115" t="s">
        <v>8939</v>
      </c>
      <c r="C1458" s="115" t="s">
        <v>9338</v>
      </c>
      <c r="D1458" s="109" t="s">
        <v>10444</v>
      </c>
      <c r="E1458" s="106" t="s">
        <v>10445</v>
      </c>
      <c r="F1458" s="109" t="s">
        <v>9496</v>
      </c>
      <c r="G1458" s="115" t="s">
        <v>9324</v>
      </c>
      <c r="H1458" s="115" t="s">
        <v>9323</v>
      </c>
      <c r="I1458" s="109" t="s">
        <v>10434</v>
      </c>
      <c r="J1458" s="239" t="s">
        <v>10435</v>
      </c>
      <c r="K1458" s="109" t="s">
        <v>9440</v>
      </c>
      <c r="L1458" s="109" t="s">
        <v>9496</v>
      </c>
    </row>
    <row r="1459" spans="1:12" s="58" customFormat="1" ht="14.85" customHeight="1" x14ac:dyDescent="0.25">
      <c r="A1459" s="108" t="s">
        <v>9308</v>
      </c>
      <c r="B1459" s="115" t="s">
        <v>8939</v>
      </c>
      <c r="C1459" s="115" t="s">
        <v>9338</v>
      </c>
      <c r="D1459" s="109" t="s">
        <v>10446</v>
      </c>
      <c r="E1459" s="106" t="s">
        <v>10447</v>
      </c>
      <c r="F1459" s="109" t="s">
        <v>9496</v>
      </c>
      <c r="G1459" s="115" t="s">
        <v>9324</v>
      </c>
      <c r="H1459" s="115" t="s">
        <v>9324</v>
      </c>
      <c r="I1459" s="109" t="s">
        <v>10434</v>
      </c>
      <c r="J1459" s="239" t="s">
        <v>10435</v>
      </c>
      <c r="K1459" s="109" t="s">
        <v>9440</v>
      </c>
      <c r="L1459" s="109" t="s">
        <v>9496</v>
      </c>
    </row>
    <row r="1460" spans="1:12" s="58" customFormat="1" ht="14.85" customHeight="1" x14ac:dyDescent="0.25">
      <c r="A1460" s="108" t="s">
        <v>9308</v>
      </c>
      <c r="B1460" s="115" t="s">
        <v>8939</v>
      </c>
      <c r="C1460" s="115" t="s">
        <v>9338</v>
      </c>
      <c r="D1460" s="109" t="s">
        <v>10448</v>
      </c>
      <c r="E1460" s="106" t="s">
        <v>10449</v>
      </c>
      <c r="F1460" s="109" t="s">
        <v>9496</v>
      </c>
      <c r="G1460" s="115" t="s">
        <v>9324</v>
      </c>
      <c r="H1460" s="115" t="s">
        <v>9323</v>
      </c>
      <c r="I1460" s="109" t="s">
        <v>10090</v>
      </c>
      <c r="J1460" s="239" t="s">
        <v>10091</v>
      </c>
      <c r="K1460" s="109" t="s">
        <v>9440</v>
      </c>
      <c r="L1460" s="109" t="s">
        <v>9496</v>
      </c>
    </row>
    <row r="1461" spans="1:12" s="58" customFormat="1" ht="14.85" customHeight="1" x14ac:dyDescent="0.25">
      <c r="A1461" s="108" t="s">
        <v>9308</v>
      </c>
      <c r="B1461" s="115" t="s">
        <v>8939</v>
      </c>
      <c r="C1461" s="115" t="s">
        <v>9338</v>
      </c>
      <c r="D1461" s="109" t="s">
        <v>10448</v>
      </c>
      <c r="E1461" s="106" t="s">
        <v>10449</v>
      </c>
      <c r="F1461" s="109" t="s">
        <v>9496</v>
      </c>
      <c r="G1461" s="115" t="s">
        <v>9324</v>
      </c>
      <c r="H1461" s="115" t="s">
        <v>9323</v>
      </c>
      <c r="I1461" s="109" t="s">
        <v>10434</v>
      </c>
      <c r="J1461" s="239" t="s">
        <v>10435</v>
      </c>
      <c r="K1461" s="109" t="s">
        <v>9440</v>
      </c>
      <c r="L1461" s="109" t="s">
        <v>9496</v>
      </c>
    </row>
    <row r="1462" spans="1:12" s="58" customFormat="1" ht="14.85" customHeight="1" x14ac:dyDescent="0.25">
      <c r="A1462" s="108" t="s">
        <v>9308</v>
      </c>
      <c r="B1462" s="115" t="s">
        <v>8939</v>
      </c>
      <c r="C1462" s="115" t="s">
        <v>9338</v>
      </c>
      <c r="D1462" s="109" t="s">
        <v>10448</v>
      </c>
      <c r="E1462" s="106" t="s">
        <v>10449</v>
      </c>
      <c r="F1462" s="109" t="s">
        <v>9496</v>
      </c>
      <c r="G1462" s="115" t="s">
        <v>9324</v>
      </c>
      <c r="H1462" s="115" t="s">
        <v>9323</v>
      </c>
      <c r="I1462" s="109" t="s">
        <v>10092</v>
      </c>
      <c r="J1462" s="239" t="s">
        <v>10093</v>
      </c>
      <c r="K1462" s="109" t="s">
        <v>9440</v>
      </c>
      <c r="L1462" s="109" t="s">
        <v>9496</v>
      </c>
    </row>
    <row r="1463" spans="1:12" s="58" customFormat="1" ht="14.85" customHeight="1" x14ac:dyDescent="0.25">
      <c r="A1463" s="108" t="s">
        <v>9308</v>
      </c>
      <c r="B1463" s="115" t="s">
        <v>8939</v>
      </c>
      <c r="C1463" s="115" t="s">
        <v>9338</v>
      </c>
      <c r="D1463" s="109" t="s">
        <v>10450</v>
      </c>
      <c r="E1463" s="106" t="s">
        <v>10451</v>
      </c>
      <c r="F1463" s="109" t="s">
        <v>9496</v>
      </c>
      <c r="G1463" s="115" t="s">
        <v>9324</v>
      </c>
      <c r="H1463" s="115" t="s">
        <v>9323</v>
      </c>
      <c r="I1463" s="109" t="s">
        <v>10452</v>
      </c>
      <c r="J1463" s="239" t="s">
        <v>10453</v>
      </c>
      <c r="K1463" s="109" t="s">
        <v>9440</v>
      </c>
      <c r="L1463" s="109" t="s">
        <v>9496</v>
      </c>
    </row>
    <row r="1464" spans="1:12" s="58" customFormat="1" ht="14.85" customHeight="1" x14ac:dyDescent="0.25">
      <c r="A1464" s="108" t="s">
        <v>9308</v>
      </c>
      <c r="B1464" s="115" t="s">
        <v>8939</v>
      </c>
      <c r="C1464" s="115" t="s">
        <v>9338</v>
      </c>
      <c r="D1464" s="109" t="s">
        <v>10450</v>
      </c>
      <c r="E1464" s="106" t="s">
        <v>10451</v>
      </c>
      <c r="F1464" s="109" t="s">
        <v>9496</v>
      </c>
      <c r="G1464" s="115" t="s">
        <v>9324</v>
      </c>
      <c r="H1464" s="115" t="s">
        <v>9323</v>
      </c>
      <c r="I1464" s="109" t="s">
        <v>10454</v>
      </c>
      <c r="J1464" s="239" t="s">
        <v>10455</v>
      </c>
      <c r="K1464" s="109" t="s">
        <v>9440</v>
      </c>
      <c r="L1464" s="109" t="s">
        <v>9496</v>
      </c>
    </row>
    <row r="1465" spans="1:12" s="58" customFormat="1" ht="14.85" customHeight="1" x14ac:dyDescent="0.25">
      <c r="A1465" s="108" t="s">
        <v>9308</v>
      </c>
      <c r="B1465" s="115" t="s">
        <v>8939</v>
      </c>
      <c r="C1465" s="115" t="s">
        <v>9338</v>
      </c>
      <c r="D1465" s="109" t="s">
        <v>10450</v>
      </c>
      <c r="E1465" s="106" t="s">
        <v>10451</v>
      </c>
      <c r="F1465" s="109" t="s">
        <v>9496</v>
      </c>
      <c r="G1465" s="115" t="s">
        <v>9324</v>
      </c>
      <c r="H1465" s="115" t="s">
        <v>9323</v>
      </c>
      <c r="I1465" s="109" t="s">
        <v>10456</v>
      </c>
      <c r="J1465" s="239" t="s">
        <v>10455</v>
      </c>
      <c r="K1465" s="109" t="s">
        <v>9440</v>
      </c>
      <c r="L1465" s="109" t="s">
        <v>9496</v>
      </c>
    </row>
    <row r="1466" spans="1:12" s="58" customFormat="1" ht="14.85" customHeight="1" x14ac:dyDescent="0.25">
      <c r="A1466" s="108" t="s">
        <v>9308</v>
      </c>
      <c r="B1466" s="115" t="s">
        <v>8939</v>
      </c>
      <c r="C1466" s="115" t="s">
        <v>9338</v>
      </c>
      <c r="D1466" s="109" t="s">
        <v>10450</v>
      </c>
      <c r="E1466" s="106" t="s">
        <v>10451</v>
      </c>
      <c r="F1466" s="109" t="s">
        <v>9496</v>
      </c>
      <c r="G1466" s="115" t="s">
        <v>9324</v>
      </c>
      <c r="H1466" s="115" t="s">
        <v>9323</v>
      </c>
      <c r="I1466" s="109" t="s">
        <v>10457</v>
      </c>
      <c r="J1466" s="239" t="s">
        <v>10458</v>
      </c>
      <c r="K1466" s="109" t="s">
        <v>9440</v>
      </c>
      <c r="L1466" s="109" t="s">
        <v>9496</v>
      </c>
    </row>
    <row r="1467" spans="1:12" s="58" customFormat="1" ht="14.85" customHeight="1" x14ac:dyDescent="0.25">
      <c r="A1467" s="108" t="s">
        <v>9308</v>
      </c>
      <c r="B1467" s="115" t="s">
        <v>8939</v>
      </c>
      <c r="C1467" s="115" t="s">
        <v>9338</v>
      </c>
      <c r="D1467" s="109" t="s">
        <v>10459</v>
      </c>
      <c r="E1467" s="106" t="s">
        <v>10460</v>
      </c>
      <c r="F1467" s="109" t="s">
        <v>9496</v>
      </c>
      <c r="G1467" s="115" t="s">
        <v>9324</v>
      </c>
      <c r="H1467" s="115" t="s">
        <v>9324</v>
      </c>
      <c r="I1467" s="109" t="s">
        <v>10452</v>
      </c>
      <c r="J1467" s="239" t="s">
        <v>10453</v>
      </c>
      <c r="K1467" s="109" t="s">
        <v>9440</v>
      </c>
      <c r="L1467" s="109" t="s">
        <v>9496</v>
      </c>
    </row>
    <row r="1468" spans="1:12" s="58" customFormat="1" ht="14.85" customHeight="1" x14ac:dyDescent="0.25">
      <c r="A1468" s="108" t="s">
        <v>9308</v>
      </c>
      <c r="B1468" s="115" t="s">
        <v>8939</v>
      </c>
      <c r="C1468" s="115" t="s">
        <v>9338</v>
      </c>
      <c r="D1468" s="109" t="s">
        <v>10459</v>
      </c>
      <c r="E1468" s="106" t="s">
        <v>10460</v>
      </c>
      <c r="F1468" s="109" t="s">
        <v>9496</v>
      </c>
      <c r="G1468" s="115" t="s">
        <v>9324</v>
      </c>
      <c r="H1468" s="115" t="s">
        <v>9324</v>
      </c>
      <c r="I1468" s="109" t="s">
        <v>10454</v>
      </c>
      <c r="J1468" s="239" t="s">
        <v>10455</v>
      </c>
      <c r="K1468" s="109" t="s">
        <v>9440</v>
      </c>
      <c r="L1468" s="109" t="s">
        <v>9496</v>
      </c>
    </row>
    <row r="1469" spans="1:12" s="58" customFormat="1" ht="14.85" customHeight="1" x14ac:dyDescent="0.25">
      <c r="A1469" s="108" t="s">
        <v>9308</v>
      </c>
      <c r="B1469" s="115" t="s">
        <v>8939</v>
      </c>
      <c r="C1469" s="115" t="s">
        <v>9338</v>
      </c>
      <c r="D1469" s="109" t="s">
        <v>10459</v>
      </c>
      <c r="E1469" s="106" t="s">
        <v>10460</v>
      </c>
      <c r="F1469" s="109" t="s">
        <v>9496</v>
      </c>
      <c r="G1469" s="115" t="s">
        <v>9324</v>
      </c>
      <c r="H1469" s="115" t="s">
        <v>9324</v>
      </c>
      <c r="I1469" s="109" t="s">
        <v>10456</v>
      </c>
      <c r="J1469" s="239" t="s">
        <v>10455</v>
      </c>
      <c r="K1469" s="109" t="s">
        <v>9440</v>
      </c>
      <c r="L1469" s="109" t="s">
        <v>9496</v>
      </c>
    </row>
    <row r="1470" spans="1:12" s="58" customFormat="1" ht="14.85" customHeight="1" x14ac:dyDescent="0.25">
      <c r="A1470" s="108" t="s">
        <v>9308</v>
      </c>
      <c r="B1470" s="115" t="s">
        <v>8939</v>
      </c>
      <c r="C1470" s="115" t="s">
        <v>9338</v>
      </c>
      <c r="D1470" s="109" t="s">
        <v>10459</v>
      </c>
      <c r="E1470" s="106" t="s">
        <v>10460</v>
      </c>
      <c r="F1470" s="109" t="s">
        <v>9496</v>
      </c>
      <c r="G1470" s="115" t="s">
        <v>9324</v>
      </c>
      <c r="H1470" s="115" t="s">
        <v>9324</v>
      </c>
      <c r="I1470" s="109" t="s">
        <v>10457</v>
      </c>
      <c r="J1470" s="239" t="s">
        <v>10458</v>
      </c>
      <c r="K1470" s="109" t="s">
        <v>9440</v>
      </c>
      <c r="L1470" s="109" t="s">
        <v>9496</v>
      </c>
    </row>
    <row r="1471" spans="1:12" s="58" customFormat="1" ht="14.85" customHeight="1" x14ac:dyDescent="0.25">
      <c r="A1471" s="108" t="s">
        <v>9308</v>
      </c>
      <c r="B1471" s="115" t="s">
        <v>8939</v>
      </c>
      <c r="C1471" s="115" t="s">
        <v>9338</v>
      </c>
      <c r="D1471" s="109" t="s">
        <v>10461</v>
      </c>
      <c r="E1471" s="106" t="s">
        <v>10462</v>
      </c>
      <c r="F1471" s="109" t="s">
        <v>9496</v>
      </c>
      <c r="G1471" s="115" t="s">
        <v>9324</v>
      </c>
      <c r="H1471" s="115" t="s">
        <v>9323</v>
      </c>
      <c r="I1471" s="109">
        <v>2030</v>
      </c>
      <c r="J1471" s="239" t="s">
        <v>10377</v>
      </c>
      <c r="K1471" s="109" t="s">
        <v>9440</v>
      </c>
      <c r="L1471" s="109" t="s">
        <v>9496</v>
      </c>
    </row>
    <row r="1472" spans="1:12" s="58" customFormat="1" ht="14.85" customHeight="1" x14ac:dyDescent="0.25">
      <c r="A1472" s="108" t="s">
        <v>9308</v>
      </c>
      <c r="B1472" s="115" t="s">
        <v>8939</v>
      </c>
      <c r="C1472" s="115" t="s">
        <v>9338</v>
      </c>
      <c r="D1472" s="109" t="s">
        <v>10461</v>
      </c>
      <c r="E1472" s="106" t="s">
        <v>10462</v>
      </c>
      <c r="F1472" s="109" t="s">
        <v>9496</v>
      </c>
      <c r="G1472" s="115" t="s">
        <v>9324</v>
      </c>
      <c r="H1472" s="115" t="s">
        <v>9323</v>
      </c>
      <c r="I1472" s="109" t="s">
        <v>10452</v>
      </c>
      <c r="J1472" s="239" t="s">
        <v>10453</v>
      </c>
      <c r="K1472" s="109" t="s">
        <v>9440</v>
      </c>
      <c r="L1472" s="109" t="s">
        <v>9496</v>
      </c>
    </row>
    <row r="1473" spans="1:12" s="58" customFormat="1" ht="14.85" customHeight="1" x14ac:dyDescent="0.25">
      <c r="A1473" s="108" t="s">
        <v>9308</v>
      </c>
      <c r="B1473" s="115" t="s">
        <v>8939</v>
      </c>
      <c r="C1473" s="115" t="s">
        <v>9338</v>
      </c>
      <c r="D1473" s="109" t="s">
        <v>10461</v>
      </c>
      <c r="E1473" s="106" t="s">
        <v>10462</v>
      </c>
      <c r="F1473" s="109" t="s">
        <v>9496</v>
      </c>
      <c r="G1473" s="115" t="s">
        <v>9324</v>
      </c>
      <c r="H1473" s="115" t="s">
        <v>9323</v>
      </c>
      <c r="I1473" s="109" t="s">
        <v>10454</v>
      </c>
      <c r="J1473" s="239" t="s">
        <v>10455</v>
      </c>
      <c r="K1473" s="109" t="s">
        <v>9440</v>
      </c>
      <c r="L1473" s="109" t="s">
        <v>9496</v>
      </c>
    </row>
    <row r="1474" spans="1:12" s="58" customFormat="1" ht="14.85" customHeight="1" x14ac:dyDescent="0.25">
      <c r="A1474" s="108" t="s">
        <v>9308</v>
      </c>
      <c r="B1474" s="115" t="s">
        <v>8939</v>
      </c>
      <c r="C1474" s="115" t="s">
        <v>9338</v>
      </c>
      <c r="D1474" s="109" t="s">
        <v>10461</v>
      </c>
      <c r="E1474" s="106" t="s">
        <v>10462</v>
      </c>
      <c r="F1474" s="109" t="s">
        <v>9496</v>
      </c>
      <c r="G1474" s="115" t="s">
        <v>9324</v>
      </c>
      <c r="H1474" s="115" t="s">
        <v>9323</v>
      </c>
      <c r="I1474" s="109" t="s">
        <v>10456</v>
      </c>
      <c r="J1474" s="239" t="s">
        <v>10455</v>
      </c>
      <c r="K1474" s="109" t="s">
        <v>9440</v>
      </c>
      <c r="L1474" s="109" t="s">
        <v>9496</v>
      </c>
    </row>
    <row r="1475" spans="1:12" s="58" customFormat="1" ht="14.85" customHeight="1" x14ac:dyDescent="0.25">
      <c r="A1475" s="108" t="s">
        <v>9308</v>
      </c>
      <c r="B1475" s="115" t="s">
        <v>8939</v>
      </c>
      <c r="C1475" s="115" t="s">
        <v>9338</v>
      </c>
      <c r="D1475" s="109" t="s">
        <v>10461</v>
      </c>
      <c r="E1475" s="106" t="s">
        <v>10462</v>
      </c>
      <c r="F1475" s="109" t="s">
        <v>9496</v>
      </c>
      <c r="G1475" s="115" t="s">
        <v>9324</v>
      </c>
      <c r="H1475" s="115" t="s">
        <v>9323</v>
      </c>
      <c r="I1475" s="109" t="s">
        <v>10457</v>
      </c>
      <c r="J1475" s="239" t="s">
        <v>10458</v>
      </c>
      <c r="K1475" s="109" t="s">
        <v>9440</v>
      </c>
      <c r="L1475" s="109" t="s">
        <v>9496</v>
      </c>
    </row>
    <row r="1476" spans="1:12" s="58" customFormat="1" ht="14.85" customHeight="1" x14ac:dyDescent="0.25">
      <c r="A1476" s="108" t="s">
        <v>9308</v>
      </c>
      <c r="B1476" s="115" t="s">
        <v>8939</v>
      </c>
      <c r="C1476" s="115" t="s">
        <v>9338</v>
      </c>
      <c r="D1476" s="109" t="s">
        <v>10463</v>
      </c>
      <c r="E1476" s="106" t="s">
        <v>10464</v>
      </c>
      <c r="F1476" s="109" t="s">
        <v>9496</v>
      </c>
      <c r="G1476" s="115" t="s">
        <v>9324</v>
      </c>
      <c r="H1476" s="115" t="s">
        <v>9323</v>
      </c>
      <c r="I1476" s="109" t="s">
        <v>10049</v>
      </c>
      <c r="J1476" s="239" t="s">
        <v>10050</v>
      </c>
      <c r="K1476" s="109" t="s">
        <v>9440</v>
      </c>
      <c r="L1476" s="109" t="s">
        <v>9496</v>
      </c>
    </row>
    <row r="1477" spans="1:12" s="58" customFormat="1" ht="14.85" customHeight="1" x14ac:dyDescent="0.25">
      <c r="A1477" s="108" t="s">
        <v>9308</v>
      </c>
      <c r="B1477" s="115" t="s">
        <v>8939</v>
      </c>
      <c r="C1477" s="115" t="s">
        <v>9338</v>
      </c>
      <c r="D1477" s="109" t="s">
        <v>10463</v>
      </c>
      <c r="E1477" s="106" t="s">
        <v>10464</v>
      </c>
      <c r="F1477" s="109" t="s">
        <v>9496</v>
      </c>
      <c r="G1477" s="115" t="s">
        <v>9324</v>
      </c>
      <c r="H1477" s="115" t="s">
        <v>9323</v>
      </c>
      <c r="I1477" s="109" t="s">
        <v>10061</v>
      </c>
      <c r="J1477" s="239" t="s">
        <v>10062</v>
      </c>
      <c r="K1477" s="109" t="s">
        <v>9440</v>
      </c>
      <c r="L1477" s="109" t="s">
        <v>9496</v>
      </c>
    </row>
    <row r="1478" spans="1:12" s="58" customFormat="1" ht="14.85" customHeight="1" x14ac:dyDescent="0.25">
      <c r="A1478" s="108" t="s">
        <v>9308</v>
      </c>
      <c r="B1478" s="115" t="s">
        <v>8939</v>
      </c>
      <c r="C1478" s="115" t="s">
        <v>9338</v>
      </c>
      <c r="D1478" s="109" t="s">
        <v>10463</v>
      </c>
      <c r="E1478" s="106" t="s">
        <v>10464</v>
      </c>
      <c r="F1478" s="109" t="s">
        <v>9496</v>
      </c>
      <c r="G1478" s="115" t="s">
        <v>9324</v>
      </c>
      <c r="H1478" s="115" t="s">
        <v>9323</v>
      </c>
      <c r="I1478" s="109" t="s">
        <v>10027</v>
      </c>
      <c r="J1478" s="239" t="s">
        <v>10028</v>
      </c>
      <c r="K1478" s="109" t="s">
        <v>9440</v>
      </c>
      <c r="L1478" s="109" t="s">
        <v>9496</v>
      </c>
    </row>
    <row r="1479" spans="1:12" s="58" customFormat="1" ht="14.85" customHeight="1" x14ac:dyDescent="0.25">
      <c r="A1479" s="108" t="s">
        <v>9308</v>
      </c>
      <c r="B1479" s="115" t="s">
        <v>8939</v>
      </c>
      <c r="C1479" s="115" t="s">
        <v>9338</v>
      </c>
      <c r="D1479" s="109" t="s">
        <v>10465</v>
      </c>
      <c r="E1479" s="106" t="s">
        <v>10466</v>
      </c>
      <c r="F1479" s="109" t="s">
        <v>9496</v>
      </c>
      <c r="G1479" s="115" t="s">
        <v>9324</v>
      </c>
      <c r="H1479" s="115" t="s">
        <v>9324</v>
      </c>
      <c r="I1479" s="109" t="s">
        <v>10049</v>
      </c>
      <c r="J1479" s="239" t="s">
        <v>10050</v>
      </c>
      <c r="K1479" s="109" t="s">
        <v>9440</v>
      </c>
      <c r="L1479" s="109" t="s">
        <v>9496</v>
      </c>
    </row>
    <row r="1480" spans="1:12" s="58" customFormat="1" ht="14.85" customHeight="1" x14ac:dyDescent="0.25">
      <c r="A1480" s="108" t="s">
        <v>9308</v>
      </c>
      <c r="B1480" s="115" t="s">
        <v>8939</v>
      </c>
      <c r="C1480" s="115" t="s">
        <v>9338</v>
      </c>
      <c r="D1480" s="109" t="s">
        <v>10465</v>
      </c>
      <c r="E1480" s="106" t="s">
        <v>10466</v>
      </c>
      <c r="F1480" s="109" t="s">
        <v>9496</v>
      </c>
      <c r="G1480" s="115" t="s">
        <v>9324</v>
      </c>
      <c r="H1480" s="115" t="s">
        <v>9324</v>
      </c>
      <c r="I1480" s="109" t="s">
        <v>10061</v>
      </c>
      <c r="J1480" s="239" t="s">
        <v>10062</v>
      </c>
      <c r="K1480" s="109" t="s">
        <v>9440</v>
      </c>
      <c r="L1480" s="109" t="s">
        <v>9496</v>
      </c>
    </row>
    <row r="1481" spans="1:12" s="58" customFormat="1" ht="14.85" customHeight="1" x14ac:dyDescent="0.25">
      <c r="A1481" s="108" t="s">
        <v>9308</v>
      </c>
      <c r="B1481" s="115" t="s">
        <v>8939</v>
      </c>
      <c r="C1481" s="115" t="s">
        <v>9338</v>
      </c>
      <c r="D1481" s="109" t="s">
        <v>10465</v>
      </c>
      <c r="E1481" s="106" t="s">
        <v>10466</v>
      </c>
      <c r="F1481" s="109" t="s">
        <v>9496</v>
      </c>
      <c r="G1481" s="115" t="s">
        <v>9324</v>
      </c>
      <c r="H1481" s="115" t="s">
        <v>9324</v>
      </c>
      <c r="I1481" s="109" t="s">
        <v>10027</v>
      </c>
      <c r="J1481" s="239" t="s">
        <v>10028</v>
      </c>
      <c r="K1481" s="109" t="s">
        <v>9440</v>
      </c>
      <c r="L1481" s="109" t="s">
        <v>9496</v>
      </c>
    </row>
    <row r="1482" spans="1:12" s="58" customFormat="1" ht="14.85" customHeight="1" x14ac:dyDescent="0.25">
      <c r="A1482" s="108" t="s">
        <v>9308</v>
      </c>
      <c r="B1482" s="115" t="s">
        <v>8939</v>
      </c>
      <c r="C1482" s="115" t="s">
        <v>9338</v>
      </c>
      <c r="D1482" s="109" t="s">
        <v>10467</v>
      </c>
      <c r="E1482" s="106" t="s">
        <v>10468</v>
      </c>
      <c r="F1482" s="109" t="s">
        <v>9496</v>
      </c>
      <c r="G1482" s="115" t="s">
        <v>9324</v>
      </c>
      <c r="H1482" s="115" t="s">
        <v>9323</v>
      </c>
      <c r="I1482" s="109" t="s">
        <v>10452</v>
      </c>
      <c r="J1482" s="239" t="s">
        <v>10453</v>
      </c>
      <c r="K1482" s="109" t="s">
        <v>9440</v>
      </c>
      <c r="L1482" s="109" t="s">
        <v>9496</v>
      </c>
    </row>
    <row r="1483" spans="1:12" s="58" customFormat="1" ht="14.85" customHeight="1" x14ac:dyDescent="0.25">
      <c r="A1483" s="108" t="s">
        <v>9308</v>
      </c>
      <c r="B1483" s="115" t="s">
        <v>8939</v>
      </c>
      <c r="C1483" s="115" t="s">
        <v>9338</v>
      </c>
      <c r="D1483" s="109" t="s">
        <v>10467</v>
      </c>
      <c r="E1483" s="106" t="s">
        <v>10468</v>
      </c>
      <c r="F1483" s="109" t="s">
        <v>9496</v>
      </c>
      <c r="G1483" s="115" t="s">
        <v>9324</v>
      </c>
      <c r="H1483" s="115" t="s">
        <v>9323</v>
      </c>
      <c r="I1483" s="109" t="s">
        <v>10454</v>
      </c>
      <c r="J1483" s="239" t="s">
        <v>10455</v>
      </c>
      <c r="K1483" s="109" t="s">
        <v>9440</v>
      </c>
      <c r="L1483" s="109" t="s">
        <v>9496</v>
      </c>
    </row>
    <row r="1484" spans="1:12" s="58" customFormat="1" ht="14.85" customHeight="1" x14ac:dyDescent="0.25">
      <c r="A1484" s="108" t="s">
        <v>9308</v>
      </c>
      <c r="B1484" s="115" t="s">
        <v>8939</v>
      </c>
      <c r="C1484" s="115" t="s">
        <v>9338</v>
      </c>
      <c r="D1484" s="109" t="s">
        <v>10467</v>
      </c>
      <c r="E1484" s="106" t="s">
        <v>10468</v>
      </c>
      <c r="F1484" s="109" t="s">
        <v>9496</v>
      </c>
      <c r="G1484" s="115" t="s">
        <v>9324</v>
      </c>
      <c r="H1484" s="115" t="s">
        <v>9323</v>
      </c>
      <c r="I1484" s="109" t="s">
        <v>10456</v>
      </c>
      <c r="J1484" s="239" t="s">
        <v>10455</v>
      </c>
      <c r="K1484" s="109" t="s">
        <v>9440</v>
      </c>
      <c r="L1484" s="109" t="s">
        <v>9496</v>
      </c>
    </row>
    <row r="1485" spans="1:12" s="58" customFormat="1" ht="14.85" customHeight="1" x14ac:dyDescent="0.25">
      <c r="A1485" s="108" t="s">
        <v>9308</v>
      </c>
      <c r="B1485" s="115" t="s">
        <v>8939</v>
      </c>
      <c r="C1485" s="115" t="s">
        <v>9338</v>
      </c>
      <c r="D1485" s="109" t="s">
        <v>10467</v>
      </c>
      <c r="E1485" s="106" t="s">
        <v>10468</v>
      </c>
      <c r="F1485" s="109" t="s">
        <v>9496</v>
      </c>
      <c r="G1485" s="115" t="s">
        <v>9324</v>
      </c>
      <c r="H1485" s="115" t="s">
        <v>9323</v>
      </c>
      <c r="I1485" s="109" t="s">
        <v>10457</v>
      </c>
      <c r="J1485" s="239" t="s">
        <v>10458</v>
      </c>
      <c r="K1485" s="109" t="s">
        <v>9440</v>
      </c>
      <c r="L1485" s="109" t="s">
        <v>9496</v>
      </c>
    </row>
    <row r="1486" spans="1:12" s="58" customFormat="1" ht="14.85" customHeight="1" x14ac:dyDescent="0.25">
      <c r="A1486" s="108" t="s">
        <v>9308</v>
      </c>
      <c r="B1486" s="115" t="s">
        <v>8939</v>
      </c>
      <c r="C1486" s="115" t="s">
        <v>9338</v>
      </c>
      <c r="D1486" s="109" t="s">
        <v>10469</v>
      </c>
      <c r="E1486" s="106" t="s">
        <v>10470</v>
      </c>
      <c r="F1486" s="109" t="s">
        <v>9496</v>
      </c>
      <c r="G1486" s="115" t="s">
        <v>9324</v>
      </c>
      <c r="H1486" s="115" t="s">
        <v>9323</v>
      </c>
      <c r="I1486" s="109" t="s">
        <v>10090</v>
      </c>
      <c r="J1486" s="239" t="s">
        <v>10091</v>
      </c>
      <c r="K1486" s="109" t="s">
        <v>9440</v>
      </c>
      <c r="L1486" s="109" t="s">
        <v>9496</v>
      </c>
    </row>
    <row r="1487" spans="1:12" s="58" customFormat="1" ht="14.85" customHeight="1" x14ac:dyDescent="0.25">
      <c r="A1487" s="108" t="s">
        <v>9308</v>
      </c>
      <c r="B1487" s="115" t="s">
        <v>8939</v>
      </c>
      <c r="C1487" s="115" t="s">
        <v>9338</v>
      </c>
      <c r="D1487" s="109" t="s">
        <v>10469</v>
      </c>
      <c r="E1487" s="106" t="s">
        <v>10470</v>
      </c>
      <c r="F1487" s="109" t="s">
        <v>9496</v>
      </c>
      <c r="G1487" s="115" t="s">
        <v>9324</v>
      </c>
      <c r="H1487" s="115" t="s">
        <v>9323</v>
      </c>
      <c r="I1487" s="109" t="s">
        <v>10471</v>
      </c>
      <c r="J1487" s="239" t="s">
        <v>10472</v>
      </c>
      <c r="K1487" s="109" t="s">
        <v>9440</v>
      </c>
      <c r="L1487" s="109" t="s">
        <v>9496</v>
      </c>
    </row>
    <row r="1488" spans="1:12" s="58" customFormat="1" ht="14.85" customHeight="1" x14ac:dyDescent="0.25">
      <c r="A1488" s="108" t="s">
        <v>9308</v>
      </c>
      <c r="B1488" s="115" t="s">
        <v>8939</v>
      </c>
      <c r="C1488" s="115" t="s">
        <v>9338</v>
      </c>
      <c r="D1488" s="109" t="s">
        <v>10469</v>
      </c>
      <c r="E1488" s="106" t="s">
        <v>10470</v>
      </c>
      <c r="F1488" s="109" t="s">
        <v>9496</v>
      </c>
      <c r="G1488" s="115" t="s">
        <v>9324</v>
      </c>
      <c r="H1488" s="115" t="s">
        <v>9323</v>
      </c>
      <c r="I1488" s="109" t="s">
        <v>10452</v>
      </c>
      <c r="J1488" s="239" t="s">
        <v>10453</v>
      </c>
      <c r="K1488" s="109" t="s">
        <v>9440</v>
      </c>
      <c r="L1488" s="109" t="s">
        <v>9496</v>
      </c>
    </row>
    <row r="1489" spans="1:12" s="58" customFormat="1" ht="14.85" customHeight="1" x14ac:dyDescent="0.25">
      <c r="A1489" s="108" t="s">
        <v>9308</v>
      </c>
      <c r="B1489" s="115" t="s">
        <v>8939</v>
      </c>
      <c r="C1489" s="115" t="s">
        <v>9338</v>
      </c>
      <c r="D1489" s="109" t="s">
        <v>10469</v>
      </c>
      <c r="E1489" s="106" t="s">
        <v>10470</v>
      </c>
      <c r="F1489" s="109" t="s">
        <v>9496</v>
      </c>
      <c r="G1489" s="115" t="s">
        <v>9324</v>
      </c>
      <c r="H1489" s="115" t="s">
        <v>9323</v>
      </c>
      <c r="I1489" s="109" t="s">
        <v>10454</v>
      </c>
      <c r="J1489" s="239" t="s">
        <v>10455</v>
      </c>
      <c r="K1489" s="109" t="s">
        <v>9440</v>
      </c>
      <c r="L1489" s="109" t="s">
        <v>9496</v>
      </c>
    </row>
    <row r="1490" spans="1:12" s="58" customFormat="1" ht="14.85" customHeight="1" x14ac:dyDescent="0.25">
      <c r="A1490" s="108" t="s">
        <v>9308</v>
      </c>
      <c r="B1490" s="115" t="s">
        <v>8939</v>
      </c>
      <c r="C1490" s="115" t="s">
        <v>9338</v>
      </c>
      <c r="D1490" s="109" t="s">
        <v>10469</v>
      </c>
      <c r="E1490" s="106" t="s">
        <v>10470</v>
      </c>
      <c r="F1490" s="109" t="s">
        <v>9496</v>
      </c>
      <c r="G1490" s="115" t="s">
        <v>9324</v>
      </c>
      <c r="H1490" s="115" t="s">
        <v>9323</v>
      </c>
      <c r="I1490" s="109" t="s">
        <v>10456</v>
      </c>
      <c r="J1490" s="239" t="s">
        <v>10455</v>
      </c>
      <c r="K1490" s="109" t="s">
        <v>9440</v>
      </c>
      <c r="L1490" s="109" t="s">
        <v>9496</v>
      </c>
    </row>
    <row r="1491" spans="1:12" s="58" customFormat="1" ht="14.85" customHeight="1" x14ac:dyDescent="0.25">
      <c r="A1491" s="108" t="s">
        <v>9308</v>
      </c>
      <c r="B1491" s="115" t="s">
        <v>8939</v>
      </c>
      <c r="C1491" s="115" t="s">
        <v>9338</v>
      </c>
      <c r="D1491" s="109" t="s">
        <v>10469</v>
      </c>
      <c r="E1491" s="106" t="s">
        <v>10470</v>
      </c>
      <c r="F1491" s="109" t="s">
        <v>9496</v>
      </c>
      <c r="G1491" s="115" t="s">
        <v>9324</v>
      </c>
      <c r="H1491" s="115" t="s">
        <v>9323</v>
      </c>
      <c r="I1491" s="109" t="s">
        <v>10092</v>
      </c>
      <c r="J1491" s="239" t="s">
        <v>10093</v>
      </c>
      <c r="K1491" s="109" t="s">
        <v>9440</v>
      </c>
      <c r="L1491" s="109" t="s">
        <v>9496</v>
      </c>
    </row>
    <row r="1492" spans="1:12" s="58" customFormat="1" ht="14.85" customHeight="1" x14ac:dyDescent="0.25">
      <c r="A1492" s="108" t="s">
        <v>9308</v>
      </c>
      <c r="B1492" s="115" t="s">
        <v>8939</v>
      </c>
      <c r="C1492" s="115" t="s">
        <v>9338</v>
      </c>
      <c r="D1492" s="109" t="s">
        <v>10469</v>
      </c>
      <c r="E1492" s="106" t="s">
        <v>10470</v>
      </c>
      <c r="F1492" s="109" t="s">
        <v>9496</v>
      </c>
      <c r="G1492" s="115" t="s">
        <v>9324</v>
      </c>
      <c r="H1492" s="115" t="s">
        <v>9323</v>
      </c>
      <c r="I1492" s="109" t="s">
        <v>10457</v>
      </c>
      <c r="J1492" s="239" t="s">
        <v>10458</v>
      </c>
      <c r="K1492" s="109" t="s">
        <v>9440</v>
      </c>
      <c r="L1492" s="109" t="s">
        <v>9496</v>
      </c>
    </row>
    <row r="1493" spans="1:12" s="58" customFormat="1" ht="14.85" customHeight="1" x14ac:dyDescent="0.25">
      <c r="A1493" s="108" t="s">
        <v>9308</v>
      </c>
      <c r="B1493" s="115" t="s">
        <v>8939</v>
      </c>
      <c r="C1493" s="115" t="s">
        <v>9338</v>
      </c>
      <c r="D1493" s="109" t="s">
        <v>10473</v>
      </c>
      <c r="E1493" s="106" t="s">
        <v>10474</v>
      </c>
      <c r="F1493" s="109" t="s">
        <v>9496</v>
      </c>
      <c r="G1493" s="115" t="s">
        <v>9324</v>
      </c>
      <c r="H1493" s="115" t="s">
        <v>9323</v>
      </c>
      <c r="I1493" s="109" t="s">
        <v>10090</v>
      </c>
      <c r="J1493" s="239" t="s">
        <v>10091</v>
      </c>
      <c r="K1493" s="109" t="s">
        <v>9440</v>
      </c>
      <c r="L1493" s="109" t="s">
        <v>9496</v>
      </c>
    </row>
    <row r="1494" spans="1:12" s="58" customFormat="1" ht="14.85" customHeight="1" x14ac:dyDescent="0.25">
      <c r="A1494" s="108" t="s">
        <v>9308</v>
      </c>
      <c r="B1494" s="115" t="s">
        <v>8939</v>
      </c>
      <c r="C1494" s="115" t="s">
        <v>9338</v>
      </c>
      <c r="D1494" s="109" t="s">
        <v>10473</v>
      </c>
      <c r="E1494" s="106" t="s">
        <v>10474</v>
      </c>
      <c r="F1494" s="109" t="s">
        <v>9496</v>
      </c>
      <c r="G1494" s="115" t="s">
        <v>9324</v>
      </c>
      <c r="H1494" s="115" t="s">
        <v>9323</v>
      </c>
      <c r="I1494" s="109" t="s">
        <v>10049</v>
      </c>
      <c r="J1494" s="239" t="s">
        <v>10050</v>
      </c>
      <c r="K1494" s="109" t="s">
        <v>9440</v>
      </c>
      <c r="L1494" s="109" t="s">
        <v>9496</v>
      </c>
    </row>
    <row r="1495" spans="1:12" s="58" customFormat="1" ht="14.85" customHeight="1" x14ac:dyDescent="0.25">
      <c r="A1495" s="108" t="s">
        <v>9308</v>
      </c>
      <c r="B1495" s="115" t="s">
        <v>8939</v>
      </c>
      <c r="C1495" s="115" t="s">
        <v>9338</v>
      </c>
      <c r="D1495" s="109" t="s">
        <v>10473</v>
      </c>
      <c r="E1495" s="106" t="s">
        <v>10474</v>
      </c>
      <c r="F1495" s="109" t="s">
        <v>9496</v>
      </c>
      <c r="G1495" s="115" t="s">
        <v>9324</v>
      </c>
      <c r="H1495" s="115" t="s">
        <v>9323</v>
      </c>
      <c r="I1495" s="109" t="s">
        <v>10092</v>
      </c>
      <c r="J1495" s="239" t="s">
        <v>10093</v>
      </c>
      <c r="K1495" s="109" t="s">
        <v>9440</v>
      </c>
      <c r="L1495" s="109" t="s">
        <v>9496</v>
      </c>
    </row>
    <row r="1496" spans="1:12" s="58" customFormat="1" ht="14.85" customHeight="1" x14ac:dyDescent="0.25">
      <c r="A1496" s="108" t="s">
        <v>9308</v>
      </c>
      <c r="B1496" s="115" t="s">
        <v>8939</v>
      </c>
      <c r="C1496" s="115" t="s">
        <v>9338</v>
      </c>
      <c r="D1496" s="109" t="s">
        <v>10473</v>
      </c>
      <c r="E1496" s="106" t="s">
        <v>10474</v>
      </c>
      <c r="F1496" s="109" t="s">
        <v>9496</v>
      </c>
      <c r="G1496" s="115" t="s">
        <v>9324</v>
      </c>
      <c r="H1496" s="115" t="s">
        <v>9323</v>
      </c>
      <c r="I1496" s="109" t="s">
        <v>10061</v>
      </c>
      <c r="J1496" s="239" t="s">
        <v>10062</v>
      </c>
      <c r="K1496" s="109" t="s">
        <v>9440</v>
      </c>
      <c r="L1496" s="109" t="s">
        <v>9496</v>
      </c>
    </row>
    <row r="1497" spans="1:12" s="58" customFormat="1" ht="14.85" customHeight="1" x14ac:dyDescent="0.25">
      <c r="A1497" s="108" t="s">
        <v>9308</v>
      </c>
      <c r="B1497" s="115" t="s">
        <v>8939</v>
      </c>
      <c r="C1497" s="115" t="s">
        <v>9338</v>
      </c>
      <c r="D1497" s="109" t="s">
        <v>10473</v>
      </c>
      <c r="E1497" s="106" t="s">
        <v>10474</v>
      </c>
      <c r="F1497" s="109" t="s">
        <v>9496</v>
      </c>
      <c r="G1497" s="115" t="s">
        <v>9324</v>
      </c>
      <c r="H1497" s="115" t="s">
        <v>9323</v>
      </c>
      <c r="I1497" s="109" t="s">
        <v>10027</v>
      </c>
      <c r="J1497" s="239" t="s">
        <v>10028</v>
      </c>
      <c r="K1497" s="109" t="s">
        <v>9440</v>
      </c>
      <c r="L1497" s="109" t="s">
        <v>9496</v>
      </c>
    </row>
    <row r="1498" spans="1:12" s="58" customFormat="1" ht="14.85" customHeight="1" x14ac:dyDescent="0.25">
      <c r="A1498" s="108" t="s">
        <v>9308</v>
      </c>
      <c r="B1498" s="115" t="s">
        <v>8939</v>
      </c>
      <c r="C1498" s="115" t="s">
        <v>9338</v>
      </c>
      <c r="D1498" s="109" t="s">
        <v>10475</v>
      </c>
      <c r="E1498" s="106" t="s">
        <v>10476</v>
      </c>
      <c r="F1498" s="109" t="s">
        <v>9496</v>
      </c>
      <c r="G1498" s="115" t="s">
        <v>9324</v>
      </c>
      <c r="H1498" s="115" t="s">
        <v>9323</v>
      </c>
      <c r="I1498" s="109" t="s">
        <v>10090</v>
      </c>
      <c r="J1498" s="239" t="s">
        <v>10091</v>
      </c>
      <c r="K1498" s="109" t="s">
        <v>9440</v>
      </c>
      <c r="L1498" s="109" t="s">
        <v>9496</v>
      </c>
    </row>
    <row r="1499" spans="1:12" s="58" customFormat="1" ht="14.85" customHeight="1" x14ac:dyDescent="0.25">
      <c r="A1499" s="108" t="s">
        <v>9308</v>
      </c>
      <c r="B1499" s="115" t="s">
        <v>8939</v>
      </c>
      <c r="C1499" s="115" t="s">
        <v>9338</v>
      </c>
      <c r="D1499" s="109" t="s">
        <v>10475</v>
      </c>
      <c r="E1499" s="106" t="s">
        <v>10476</v>
      </c>
      <c r="F1499" s="109" t="s">
        <v>9496</v>
      </c>
      <c r="G1499" s="115" t="s">
        <v>9324</v>
      </c>
      <c r="H1499" s="115" t="s">
        <v>9323</v>
      </c>
      <c r="I1499" s="109" t="s">
        <v>10452</v>
      </c>
      <c r="J1499" s="239" t="s">
        <v>10453</v>
      </c>
      <c r="K1499" s="109" t="s">
        <v>9440</v>
      </c>
      <c r="L1499" s="109" t="s">
        <v>9496</v>
      </c>
    </row>
    <row r="1500" spans="1:12" s="58" customFormat="1" ht="14.85" customHeight="1" x14ac:dyDescent="0.25">
      <c r="A1500" s="108" t="s">
        <v>9308</v>
      </c>
      <c r="B1500" s="115" t="s">
        <v>8939</v>
      </c>
      <c r="C1500" s="115" t="s">
        <v>9338</v>
      </c>
      <c r="D1500" s="109" t="s">
        <v>10475</v>
      </c>
      <c r="E1500" s="106" t="s">
        <v>10476</v>
      </c>
      <c r="F1500" s="109" t="s">
        <v>9496</v>
      </c>
      <c r="G1500" s="115" t="s">
        <v>9324</v>
      </c>
      <c r="H1500" s="115" t="s">
        <v>9323</v>
      </c>
      <c r="I1500" s="109" t="s">
        <v>10454</v>
      </c>
      <c r="J1500" s="239" t="s">
        <v>10455</v>
      </c>
      <c r="K1500" s="109" t="s">
        <v>9440</v>
      </c>
      <c r="L1500" s="109" t="s">
        <v>9496</v>
      </c>
    </row>
    <row r="1501" spans="1:12" s="58" customFormat="1" ht="14.85" customHeight="1" x14ac:dyDescent="0.25">
      <c r="A1501" s="108" t="s">
        <v>9308</v>
      </c>
      <c r="B1501" s="115" t="s">
        <v>8939</v>
      </c>
      <c r="C1501" s="115" t="s">
        <v>9338</v>
      </c>
      <c r="D1501" s="109" t="s">
        <v>10475</v>
      </c>
      <c r="E1501" s="106" t="s">
        <v>10476</v>
      </c>
      <c r="F1501" s="109" t="s">
        <v>9496</v>
      </c>
      <c r="G1501" s="115" t="s">
        <v>9324</v>
      </c>
      <c r="H1501" s="115" t="s">
        <v>9323</v>
      </c>
      <c r="I1501" s="109" t="s">
        <v>10456</v>
      </c>
      <c r="J1501" s="239" t="s">
        <v>10455</v>
      </c>
      <c r="K1501" s="109" t="s">
        <v>9440</v>
      </c>
      <c r="L1501" s="109" t="s">
        <v>9496</v>
      </c>
    </row>
    <row r="1502" spans="1:12" s="58" customFormat="1" ht="14.85" customHeight="1" x14ac:dyDescent="0.25">
      <c r="A1502" s="108" t="s">
        <v>9308</v>
      </c>
      <c r="B1502" s="115" t="s">
        <v>8939</v>
      </c>
      <c r="C1502" s="115" t="s">
        <v>9338</v>
      </c>
      <c r="D1502" s="109" t="s">
        <v>10475</v>
      </c>
      <c r="E1502" s="106" t="s">
        <v>10476</v>
      </c>
      <c r="F1502" s="109" t="s">
        <v>9496</v>
      </c>
      <c r="G1502" s="115" t="s">
        <v>9324</v>
      </c>
      <c r="H1502" s="115" t="s">
        <v>9323</v>
      </c>
      <c r="I1502" s="109" t="s">
        <v>10092</v>
      </c>
      <c r="J1502" s="239" t="s">
        <v>10093</v>
      </c>
      <c r="K1502" s="109" t="s">
        <v>9440</v>
      </c>
      <c r="L1502" s="109" t="s">
        <v>9496</v>
      </c>
    </row>
    <row r="1503" spans="1:12" s="58" customFormat="1" ht="14.85" customHeight="1" x14ac:dyDescent="0.25">
      <c r="A1503" s="108" t="s">
        <v>9308</v>
      </c>
      <c r="B1503" s="115" t="s">
        <v>8939</v>
      </c>
      <c r="C1503" s="115" t="s">
        <v>9338</v>
      </c>
      <c r="D1503" s="109" t="s">
        <v>10475</v>
      </c>
      <c r="E1503" s="106" t="s">
        <v>10476</v>
      </c>
      <c r="F1503" s="109" t="s">
        <v>9496</v>
      </c>
      <c r="G1503" s="115" t="s">
        <v>9324</v>
      </c>
      <c r="H1503" s="115" t="s">
        <v>9323</v>
      </c>
      <c r="I1503" s="109" t="s">
        <v>10457</v>
      </c>
      <c r="J1503" s="239" t="s">
        <v>10458</v>
      </c>
      <c r="K1503" s="109" t="s">
        <v>9440</v>
      </c>
      <c r="L1503" s="109" t="s">
        <v>9496</v>
      </c>
    </row>
    <row r="1504" spans="1:12" s="58" customFormat="1" ht="14.85" customHeight="1" x14ac:dyDescent="0.25">
      <c r="A1504" s="108" t="s">
        <v>9308</v>
      </c>
      <c r="B1504" s="115" t="s">
        <v>8939</v>
      </c>
      <c r="C1504" s="115" t="s">
        <v>9338</v>
      </c>
      <c r="D1504" s="109" t="s">
        <v>10477</v>
      </c>
      <c r="E1504" s="106" t="s">
        <v>10478</v>
      </c>
      <c r="F1504" s="109" t="s">
        <v>9496</v>
      </c>
      <c r="G1504" s="115" t="s">
        <v>9324</v>
      </c>
      <c r="H1504" s="115" t="s">
        <v>9324</v>
      </c>
      <c r="I1504" s="109" t="s">
        <v>10471</v>
      </c>
      <c r="J1504" s="239" t="s">
        <v>10472</v>
      </c>
      <c r="K1504" s="109" t="s">
        <v>9440</v>
      </c>
      <c r="L1504" s="109" t="s">
        <v>9496</v>
      </c>
    </row>
    <row r="1505" spans="1:12" s="58" customFormat="1" ht="14.85" customHeight="1" x14ac:dyDescent="0.25">
      <c r="A1505" s="108" t="s">
        <v>9308</v>
      </c>
      <c r="B1505" s="115" t="s">
        <v>8939</v>
      </c>
      <c r="C1505" s="115" t="s">
        <v>9338</v>
      </c>
      <c r="D1505" s="109" t="s">
        <v>10477</v>
      </c>
      <c r="E1505" s="106" t="s">
        <v>10478</v>
      </c>
      <c r="F1505" s="109" t="s">
        <v>9496</v>
      </c>
      <c r="G1505" s="115" t="s">
        <v>9324</v>
      </c>
      <c r="H1505" s="115" t="s">
        <v>9324</v>
      </c>
      <c r="I1505" s="109" t="s">
        <v>10452</v>
      </c>
      <c r="J1505" s="239" t="s">
        <v>10453</v>
      </c>
      <c r="K1505" s="109" t="s">
        <v>9440</v>
      </c>
      <c r="L1505" s="109" t="s">
        <v>9496</v>
      </c>
    </row>
    <row r="1506" spans="1:12" s="58" customFormat="1" ht="14.85" customHeight="1" x14ac:dyDescent="0.25">
      <c r="A1506" s="108" t="s">
        <v>9308</v>
      </c>
      <c r="B1506" s="115" t="s">
        <v>8939</v>
      </c>
      <c r="C1506" s="115" t="s">
        <v>9338</v>
      </c>
      <c r="D1506" s="109" t="s">
        <v>10477</v>
      </c>
      <c r="E1506" s="106" t="s">
        <v>10478</v>
      </c>
      <c r="F1506" s="109" t="s">
        <v>9496</v>
      </c>
      <c r="G1506" s="115" t="s">
        <v>9324</v>
      </c>
      <c r="H1506" s="115" t="s">
        <v>9324</v>
      </c>
      <c r="I1506" s="109" t="s">
        <v>10454</v>
      </c>
      <c r="J1506" s="239" t="s">
        <v>10455</v>
      </c>
      <c r="K1506" s="109" t="s">
        <v>9440</v>
      </c>
      <c r="L1506" s="109" t="s">
        <v>9496</v>
      </c>
    </row>
    <row r="1507" spans="1:12" s="58" customFormat="1" ht="14.85" customHeight="1" x14ac:dyDescent="0.25">
      <c r="A1507" s="108" t="s">
        <v>9308</v>
      </c>
      <c r="B1507" s="115" t="s">
        <v>8939</v>
      </c>
      <c r="C1507" s="115" t="s">
        <v>9338</v>
      </c>
      <c r="D1507" s="109" t="s">
        <v>10477</v>
      </c>
      <c r="E1507" s="106" t="s">
        <v>10478</v>
      </c>
      <c r="F1507" s="109" t="s">
        <v>9496</v>
      </c>
      <c r="G1507" s="115" t="s">
        <v>9324</v>
      </c>
      <c r="H1507" s="115" t="s">
        <v>9324</v>
      </c>
      <c r="I1507" s="109" t="s">
        <v>10456</v>
      </c>
      <c r="J1507" s="239" t="s">
        <v>10455</v>
      </c>
      <c r="K1507" s="109" t="s">
        <v>9440</v>
      </c>
      <c r="L1507" s="109" t="s">
        <v>9496</v>
      </c>
    </row>
    <row r="1508" spans="1:12" s="58" customFormat="1" ht="14.85" customHeight="1" x14ac:dyDescent="0.25">
      <c r="A1508" s="108" t="s">
        <v>9308</v>
      </c>
      <c r="B1508" s="115" t="s">
        <v>8939</v>
      </c>
      <c r="C1508" s="115" t="s">
        <v>9338</v>
      </c>
      <c r="D1508" s="109" t="s">
        <v>10477</v>
      </c>
      <c r="E1508" s="106" t="s">
        <v>10478</v>
      </c>
      <c r="F1508" s="109" t="s">
        <v>9496</v>
      </c>
      <c r="G1508" s="115" t="s">
        <v>9324</v>
      </c>
      <c r="H1508" s="115" t="s">
        <v>9324</v>
      </c>
      <c r="I1508" s="109" t="s">
        <v>10457</v>
      </c>
      <c r="J1508" s="239" t="s">
        <v>10458</v>
      </c>
      <c r="K1508" s="109" t="s">
        <v>9440</v>
      </c>
      <c r="L1508" s="109" t="s">
        <v>9496</v>
      </c>
    </row>
    <row r="1509" spans="1:12" s="58" customFormat="1" ht="14.85" customHeight="1" x14ac:dyDescent="0.25">
      <c r="A1509" s="108" t="s">
        <v>9308</v>
      </c>
      <c r="B1509" s="115" t="s">
        <v>8939</v>
      </c>
      <c r="C1509" s="115" t="s">
        <v>9338</v>
      </c>
      <c r="D1509" s="109" t="s">
        <v>10479</v>
      </c>
      <c r="E1509" s="106" t="s">
        <v>10480</v>
      </c>
      <c r="F1509" s="109" t="s">
        <v>9496</v>
      </c>
      <c r="G1509" s="115" t="s">
        <v>9324</v>
      </c>
      <c r="H1509" s="115" t="s">
        <v>9323</v>
      </c>
      <c r="I1509" s="109" t="s">
        <v>10049</v>
      </c>
      <c r="J1509" s="239" t="s">
        <v>10050</v>
      </c>
      <c r="K1509" s="109" t="s">
        <v>9440</v>
      </c>
      <c r="L1509" s="109" t="s">
        <v>9496</v>
      </c>
    </row>
    <row r="1510" spans="1:12" s="58" customFormat="1" ht="14.85" customHeight="1" x14ac:dyDescent="0.25">
      <c r="A1510" s="108" t="s">
        <v>9308</v>
      </c>
      <c r="B1510" s="115" t="s">
        <v>8939</v>
      </c>
      <c r="C1510" s="115" t="s">
        <v>9338</v>
      </c>
      <c r="D1510" s="109" t="s">
        <v>10479</v>
      </c>
      <c r="E1510" s="106" t="s">
        <v>10480</v>
      </c>
      <c r="F1510" s="109" t="s">
        <v>9496</v>
      </c>
      <c r="G1510" s="115" t="s">
        <v>9324</v>
      </c>
      <c r="H1510" s="115" t="s">
        <v>9323</v>
      </c>
      <c r="I1510" s="109" t="s">
        <v>10061</v>
      </c>
      <c r="J1510" s="239" t="s">
        <v>10062</v>
      </c>
      <c r="K1510" s="109" t="s">
        <v>9440</v>
      </c>
      <c r="L1510" s="109" t="s">
        <v>9496</v>
      </c>
    </row>
    <row r="1511" spans="1:12" s="58" customFormat="1" ht="14.85" customHeight="1" x14ac:dyDescent="0.25">
      <c r="A1511" s="108" t="s">
        <v>9308</v>
      </c>
      <c r="B1511" s="115" t="s">
        <v>8939</v>
      </c>
      <c r="C1511" s="115" t="s">
        <v>9338</v>
      </c>
      <c r="D1511" s="109" t="s">
        <v>10479</v>
      </c>
      <c r="E1511" s="106" t="s">
        <v>10480</v>
      </c>
      <c r="F1511" s="109" t="s">
        <v>9496</v>
      </c>
      <c r="G1511" s="115" t="s">
        <v>9324</v>
      </c>
      <c r="H1511" s="115" t="s">
        <v>9323</v>
      </c>
      <c r="I1511" s="109" t="s">
        <v>10027</v>
      </c>
      <c r="J1511" s="239" t="s">
        <v>10028</v>
      </c>
      <c r="K1511" s="109" t="s">
        <v>9440</v>
      </c>
      <c r="L1511" s="109" t="s">
        <v>9496</v>
      </c>
    </row>
    <row r="1512" spans="1:12" s="58" customFormat="1" ht="14.85" customHeight="1" x14ac:dyDescent="0.25">
      <c r="A1512" s="108" t="s">
        <v>9308</v>
      </c>
      <c r="B1512" s="115" t="s">
        <v>8939</v>
      </c>
      <c r="C1512" s="115" t="s">
        <v>9338</v>
      </c>
      <c r="D1512" s="109" t="s">
        <v>10481</v>
      </c>
      <c r="E1512" s="106" t="s">
        <v>10482</v>
      </c>
      <c r="F1512" s="109" t="s">
        <v>9496</v>
      </c>
      <c r="G1512" s="115" t="s">
        <v>9324</v>
      </c>
      <c r="H1512" s="115" t="s">
        <v>9323</v>
      </c>
      <c r="I1512" s="109" t="s">
        <v>10471</v>
      </c>
      <c r="J1512" s="239" t="s">
        <v>10472</v>
      </c>
      <c r="K1512" s="109" t="s">
        <v>9440</v>
      </c>
      <c r="L1512" s="109" t="s">
        <v>9496</v>
      </c>
    </row>
    <row r="1513" spans="1:12" s="58" customFormat="1" ht="14.85" customHeight="1" x14ac:dyDescent="0.25">
      <c r="A1513" s="108" t="s">
        <v>9308</v>
      </c>
      <c r="B1513" s="115" t="s">
        <v>8939</v>
      </c>
      <c r="C1513" s="115" t="s">
        <v>9338</v>
      </c>
      <c r="D1513" s="109" t="s">
        <v>10481</v>
      </c>
      <c r="E1513" s="106" t="s">
        <v>10482</v>
      </c>
      <c r="F1513" s="109" t="s">
        <v>9496</v>
      </c>
      <c r="G1513" s="115" t="s">
        <v>9324</v>
      </c>
      <c r="H1513" s="115" t="s">
        <v>9323</v>
      </c>
      <c r="I1513" s="109" t="s">
        <v>10452</v>
      </c>
      <c r="J1513" s="239" t="s">
        <v>10453</v>
      </c>
      <c r="K1513" s="109" t="s">
        <v>9440</v>
      </c>
      <c r="L1513" s="109" t="s">
        <v>9496</v>
      </c>
    </row>
    <row r="1514" spans="1:12" s="58" customFormat="1" ht="14.85" customHeight="1" x14ac:dyDescent="0.25">
      <c r="A1514" s="108" t="s">
        <v>9308</v>
      </c>
      <c r="B1514" s="115" t="s">
        <v>8939</v>
      </c>
      <c r="C1514" s="115" t="s">
        <v>9338</v>
      </c>
      <c r="D1514" s="109" t="s">
        <v>10481</v>
      </c>
      <c r="E1514" s="106" t="s">
        <v>10482</v>
      </c>
      <c r="F1514" s="109" t="s">
        <v>9496</v>
      </c>
      <c r="G1514" s="115" t="s">
        <v>9324</v>
      </c>
      <c r="H1514" s="115" t="s">
        <v>9323</v>
      </c>
      <c r="I1514" s="109" t="s">
        <v>10454</v>
      </c>
      <c r="J1514" s="239" t="s">
        <v>10455</v>
      </c>
      <c r="K1514" s="109" t="s">
        <v>9440</v>
      </c>
      <c r="L1514" s="109" t="s">
        <v>9496</v>
      </c>
    </row>
    <row r="1515" spans="1:12" s="58" customFormat="1" ht="14.85" customHeight="1" x14ac:dyDescent="0.25">
      <c r="A1515" s="108" t="s">
        <v>9308</v>
      </c>
      <c r="B1515" s="115" t="s">
        <v>8939</v>
      </c>
      <c r="C1515" s="115" t="s">
        <v>9338</v>
      </c>
      <c r="D1515" s="109" t="s">
        <v>10481</v>
      </c>
      <c r="E1515" s="106" t="s">
        <v>10482</v>
      </c>
      <c r="F1515" s="109" t="s">
        <v>9496</v>
      </c>
      <c r="G1515" s="115" t="s">
        <v>9324</v>
      </c>
      <c r="H1515" s="115" t="s">
        <v>9323</v>
      </c>
      <c r="I1515" s="109" t="s">
        <v>10456</v>
      </c>
      <c r="J1515" s="239" t="s">
        <v>10455</v>
      </c>
      <c r="K1515" s="109" t="s">
        <v>9440</v>
      </c>
      <c r="L1515" s="109" t="s">
        <v>9496</v>
      </c>
    </row>
    <row r="1516" spans="1:12" s="58" customFormat="1" ht="14.85" customHeight="1" x14ac:dyDescent="0.25">
      <c r="A1516" s="108" t="s">
        <v>9308</v>
      </c>
      <c r="B1516" s="115" t="s">
        <v>8939</v>
      </c>
      <c r="C1516" s="115" t="s">
        <v>9338</v>
      </c>
      <c r="D1516" s="109" t="s">
        <v>10481</v>
      </c>
      <c r="E1516" s="106" t="s">
        <v>10482</v>
      </c>
      <c r="F1516" s="109" t="s">
        <v>9496</v>
      </c>
      <c r="G1516" s="115" t="s">
        <v>9324</v>
      </c>
      <c r="H1516" s="115" t="s">
        <v>9323</v>
      </c>
      <c r="I1516" s="109" t="s">
        <v>10457</v>
      </c>
      <c r="J1516" s="239" t="s">
        <v>10458</v>
      </c>
      <c r="K1516" s="109" t="s">
        <v>9440</v>
      </c>
      <c r="L1516" s="109" t="s">
        <v>9496</v>
      </c>
    </row>
    <row r="1517" spans="1:12" s="58" customFormat="1" ht="14.85" customHeight="1" x14ac:dyDescent="0.25">
      <c r="A1517" s="108" t="s">
        <v>9308</v>
      </c>
      <c r="B1517" s="115" t="s">
        <v>8939</v>
      </c>
      <c r="C1517" s="115" t="s">
        <v>9338</v>
      </c>
      <c r="D1517" s="109" t="s">
        <v>10483</v>
      </c>
      <c r="E1517" s="106" t="s">
        <v>10484</v>
      </c>
      <c r="F1517" s="109" t="s">
        <v>9496</v>
      </c>
      <c r="G1517" s="115" t="s">
        <v>9324</v>
      </c>
      <c r="H1517" s="115" t="s">
        <v>9323</v>
      </c>
      <c r="I1517" s="109" t="s">
        <v>10471</v>
      </c>
      <c r="J1517" s="239" t="s">
        <v>10472</v>
      </c>
      <c r="K1517" s="109" t="s">
        <v>9440</v>
      </c>
      <c r="L1517" s="109" t="s">
        <v>9496</v>
      </c>
    </row>
    <row r="1518" spans="1:12" s="58" customFormat="1" ht="14.85" customHeight="1" x14ac:dyDescent="0.25">
      <c r="A1518" s="108" t="s">
        <v>9308</v>
      </c>
      <c r="B1518" s="115" t="s">
        <v>8939</v>
      </c>
      <c r="C1518" s="115" t="s">
        <v>9338</v>
      </c>
      <c r="D1518" s="109" t="s">
        <v>10483</v>
      </c>
      <c r="E1518" s="106" t="s">
        <v>10484</v>
      </c>
      <c r="F1518" s="109" t="s">
        <v>9496</v>
      </c>
      <c r="G1518" s="115" t="s">
        <v>9324</v>
      </c>
      <c r="H1518" s="115" t="s">
        <v>9323</v>
      </c>
      <c r="I1518" s="109" t="s">
        <v>10452</v>
      </c>
      <c r="J1518" s="239" t="s">
        <v>10453</v>
      </c>
      <c r="K1518" s="109" t="s">
        <v>9440</v>
      </c>
      <c r="L1518" s="109" t="s">
        <v>9496</v>
      </c>
    </row>
    <row r="1519" spans="1:12" s="58" customFormat="1" ht="14.85" customHeight="1" x14ac:dyDescent="0.25">
      <c r="A1519" s="108" t="s">
        <v>9308</v>
      </c>
      <c r="B1519" s="115" t="s">
        <v>8939</v>
      </c>
      <c r="C1519" s="115" t="s">
        <v>9338</v>
      </c>
      <c r="D1519" s="109" t="s">
        <v>10483</v>
      </c>
      <c r="E1519" s="106" t="s">
        <v>10484</v>
      </c>
      <c r="F1519" s="109" t="s">
        <v>9496</v>
      </c>
      <c r="G1519" s="115" t="s">
        <v>9324</v>
      </c>
      <c r="H1519" s="115" t="s">
        <v>9323</v>
      </c>
      <c r="I1519" s="109" t="s">
        <v>10454</v>
      </c>
      <c r="J1519" s="239" t="s">
        <v>10455</v>
      </c>
      <c r="K1519" s="109" t="s">
        <v>9440</v>
      </c>
      <c r="L1519" s="109" t="s">
        <v>9496</v>
      </c>
    </row>
    <row r="1520" spans="1:12" s="58" customFormat="1" ht="14.85" customHeight="1" x14ac:dyDescent="0.25">
      <c r="A1520" s="108" t="s">
        <v>9308</v>
      </c>
      <c r="B1520" s="115" t="s">
        <v>8939</v>
      </c>
      <c r="C1520" s="115" t="s">
        <v>9338</v>
      </c>
      <c r="D1520" s="109" t="s">
        <v>10483</v>
      </c>
      <c r="E1520" s="106" t="s">
        <v>10484</v>
      </c>
      <c r="F1520" s="109" t="s">
        <v>9496</v>
      </c>
      <c r="G1520" s="115" t="s">
        <v>9324</v>
      </c>
      <c r="H1520" s="115" t="s">
        <v>9323</v>
      </c>
      <c r="I1520" s="109" t="s">
        <v>10456</v>
      </c>
      <c r="J1520" s="239" t="s">
        <v>10455</v>
      </c>
      <c r="K1520" s="109" t="s">
        <v>9440</v>
      </c>
      <c r="L1520" s="109" t="s">
        <v>9496</v>
      </c>
    </row>
    <row r="1521" spans="1:12" s="240" customFormat="1" ht="14.85" customHeight="1" x14ac:dyDescent="0.25">
      <c r="A1521" s="108" t="s">
        <v>9308</v>
      </c>
      <c r="B1521" s="115" t="s">
        <v>8939</v>
      </c>
      <c r="C1521" s="115" t="s">
        <v>9338</v>
      </c>
      <c r="D1521" s="109" t="s">
        <v>10483</v>
      </c>
      <c r="E1521" s="106" t="s">
        <v>10484</v>
      </c>
      <c r="F1521" s="109" t="s">
        <v>9496</v>
      </c>
      <c r="G1521" s="115" t="s">
        <v>9324</v>
      </c>
      <c r="H1521" s="115" t="s">
        <v>9323</v>
      </c>
      <c r="I1521" s="109" t="s">
        <v>10457</v>
      </c>
      <c r="J1521" s="239" t="s">
        <v>10458</v>
      </c>
      <c r="K1521" s="109" t="s">
        <v>9440</v>
      </c>
      <c r="L1521" s="109" t="s">
        <v>9496</v>
      </c>
    </row>
    <row r="1522" spans="1:12" s="240" customFormat="1" ht="14.85" customHeight="1" x14ac:dyDescent="0.25">
      <c r="A1522" s="108" t="s">
        <v>9308</v>
      </c>
      <c r="B1522" s="115" t="s">
        <v>8939</v>
      </c>
      <c r="C1522" s="115" t="s">
        <v>9338</v>
      </c>
      <c r="D1522" s="109" t="s">
        <v>10485</v>
      </c>
      <c r="E1522" s="106" t="s">
        <v>10486</v>
      </c>
      <c r="F1522" s="109" t="s">
        <v>9496</v>
      </c>
      <c r="G1522" s="115" t="s">
        <v>9324</v>
      </c>
      <c r="H1522" s="115" t="s">
        <v>9323</v>
      </c>
      <c r="I1522" s="109" t="s">
        <v>10049</v>
      </c>
      <c r="J1522" s="239" t="s">
        <v>10050</v>
      </c>
      <c r="K1522" s="109" t="s">
        <v>9440</v>
      </c>
      <c r="L1522" s="109" t="s">
        <v>9496</v>
      </c>
    </row>
    <row r="1523" spans="1:12" s="240" customFormat="1" ht="14.85" customHeight="1" x14ac:dyDescent="0.25">
      <c r="A1523" s="108" t="s">
        <v>9308</v>
      </c>
      <c r="B1523" s="115" t="s">
        <v>8939</v>
      </c>
      <c r="C1523" s="115" t="s">
        <v>9338</v>
      </c>
      <c r="D1523" s="109" t="s">
        <v>10485</v>
      </c>
      <c r="E1523" s="106" t="s">
        <v>10486</v>
      </c>
      <c r="F1523" s="109" t="s">
        <v>9496</v>
      </c>
      <c r="G1523" s="115" t="s">
        <v>9324</v>
      </c>
      <c r="H1523" s="115" t="s">
        <v>9323</v>
      </c>
      <c r="I1523" s="109" t="s">
        <v>10061</v>
      </c>
      <c r="J1523" s="239" t="s">
        <v>10062</v>
      </c>
      <c r="K1523" s="109" t="s">
        <v>9440</v>
      </c>
      <c r="L1523" s="109" t="s">
        <v>9496</v>
      </c>
    </row>
    <row r="1524" spans="1:12" s="58" customFormat="1" ht="14.85" customHeight="1" x14ac:dyDescent="0.25">
      <c r="A1524" s="108" t="s">
        <v>9308</v>
      </c>
      <c r="B1524" s="115" t="s">
        <v>8939</v>
      </c>
      <c r="C1524" s="115" t="s">
        <v>9338</v>
      </c>
      <c r="D1524" s="109" t="s">
        <v>10485</v>
      </c>
      <c r="E1524" s="106" t="s">
        <v>10486</v>
      </c>
      <c r="F1524" s="109" t="s">
        <v>9496</v>
      </c>
      <c r="G1524" s="115" t="s">
        <v>9324</v>
      </c>
      <c r="H1524" s="115" t="s">
        <v>9323</v>
      </c>
      <c r="I1524" s="109" t="s">
        <v>10027</v>
      </c>
      <c r="J1524" s="239" t="s">
        <v>10028</v>
      </c>
      <c r="K1524" s="109" t="s">
        <v>9440</v>
      </c>
      <c r="L1524" s="109" t="s">
        <v>9496</v>
      </c>
    </row>
    <row r="1525" spans="1:12" s="58" customFormat="1" ht="14.85" customHeight="1" x14ac:dyDescent="0.25">
      <c r="A1525" s="108" t="s">
        <v>9308</v>
      </c>
      <c r="B1525" s="115" t="s">
        <v>8939</v>
      </c>
      <c r="C1525" s="115" t="s">
        <v>9338</v>
      </c>
      <c r="D1525" s="109" t="s">
        <v>10487</v>
      </c>
      <c r="E1525" s="106" t="s">
        <v>10488</v>
      </c>
      <c r="F1525" s="109" t="s">
        <v>9496</v>
      </c>
      <c r="G1525" s="115" t="s">
        <v>9324</v>
      </c>
      <c r="H1525" s="115" t="s">
        <v>9323</v>
      </c>
      <c r="I1525" s="109" t="s">
        <v>10049</v>
      </c>
      <c r="J1525" s="239" t="s">
        <v>10050</v>
      </c>
      <c r="K1525" s="109" t="s">
        <v>9440</v>
      </c>
      <c r="L1525" s="109" t="s">
        <v>9496</v>
      </c>
    </row>
    <row r="1526" spans="1:12" s="58" customFormat="1" ht="14.85" customHeight="1" x14ac:dyDescent="0.25">
      <c r="A1526" s="108" t="s">
        <v>9308</v>
      </c>
      <c r="B1526" s="115" t="s">
        <v>8939</v>
      </c>
      <c r="C1526" s="115" t="s">
        <v>9338</v>
      </c>
      <c r="D1526" s="109" t="s">
        <v>10487</v>
      </c>
      <c r="E1526" s="106" t="s">
        <v>10488</v>
      </c>
      <c r="F1526" s="109" t="s">
        <v>9496</v>
      </c>
      <c r="G1526" s="115" t="s">
        <v>9324</v>
      </c>
      <c r="H1526" s="115" t="s">
        <v>9323</v>
      </c>
      <c r="I1526" s="109" t="s">
        <v>10061</v>
      </c>
      <c r="J1526" s="239" t="s">
        <v>10062</v>
      </c>
      <c r="K1526" s="109" t="s">
        <v>9440</v>
      </c>
      <c r="L1526" s="109" t="s">
        <v>9496</v>
      </c>
    </row>
    <row r="1527" spans="1:12" s="58" customFormat="1" ht="14.85" customHeight="1" x14ac:dyDescent="0.25">
      <c r="A1527" s="108" t="s">
        <v>9308</v>
      </c>
      <c r="B1527" s="115" t="s">
        <v>8939</v>
      </c>
      <c r="C1527" s="115" t="s">
        <v>9338</v>
      </c>
      <c r="D1527" s="109" t="s">
        <v>10487</v>
      </c>
      <c r="E1527" s="106" t="s">
        <v>10488</v>
      </c>
      <c r="F1527" s="109" t="s">
        <v>9496</v>
      </c>
      <c r="G1527" s="115" t="s">
        <v>9324</v>
      </c>
      <c r="H1527" s="115" t="s">
        <v>9323</v>
      </c>
      <c r="I1527" s="109" t="s">
        <v>10027</v>
      </c>
      <c r="J1527" s="239" t="s">
        <v>10028</v>
      </c>
      <c r="K1527" s="109" t="s">
        <v>9440</v>
      </c>
      <c r="L1527" s="109" t="s">
        <v>9496</v>
      </c>
    </row>
    <row r="1528" spans="1:12" s="58" customFormat="1" ht="14.85" customHeight="1" x14ac:dyDescent="0.25">
      <c r="A1528" s="108" t="s">
        <v>9308</v>
      </c>
      <c r="B1528" s="115" t="s">
        <v>8939</v>
      </c>
      <c r="C1528" s="115" t="s">
        <v>9338</v>
      </c>
      <c r="D1528" s="109" t="s">
        <v>10489</v>
      </c>
      <c r="E1528" s="106" t="s">
        <v>10490</v>
      </c>
      <c r="F1528" s="109" t="s">
        <v>9496</v>
      </c>
      <c r="G1528" s="115" t="s">
        <v>9324</v>
      </c>
      <c r="H1528" s="115" t="s">
        <v>9323</v>
      </c>
      <c r="I1528" s="109" t="s">
        <v>10049</v>
      </c>
      <c r="J1528" s="239" t="s">
        <v>10050</v>
      </c>
      <c r="K1528" s="109" t="s">
        <v>9440</v>
      </c>
      <c r="L1528" s="109" t="s">
        <v>9496</v>
      </c>
    </row>
    <row r="1529" spans="1:12" s="58" customFormat="1" ht="14.85" customHeight="1" x14ac:dyDescent="0.25">
      <c r="A1529" s="108" t="s">
        <v>9308</v>
      </c>
      <c r="B1529" s="115" t="s">
        <v>8939</v>
      </c>
      <c r="C1529" s="115" t="s">
        <v>9338</v>
      </c>
      <c r="D1529" s="109" t="s">
        <v>10489</v>
      </c>
      <c r="E1529" s="106" t="s">
        <v>10490</v>
      </c>
      <c r="F1529" s="109" t="s">
        <v>9496</v>
      </c>
      <c r="G1529" s="115" t="s">
        <v>9324</v>
      </c>
      <c r="H1529" s="115" t="s">
        <v>9323</v>
      </c>
      <c r="I1529" s="109" t="s">
        <v>10061</v>
      </c>
      <c r="J1529" s="239" t="s">
        <v>10062</v>
      </c>
      <c r="K1529" s="109" t="s">
        <v>9440</v>
      </c>
      <c r="L1529" s="109" t="s">
        <v>9496</v>
      </c>
    </row>
    <row r="1530" spans="1:12" s="58" customFormat="1" ht="14.85" customHeight="1" x14ac:dyDescent="0.25">
      <c r="A1530" s="108" t="s">
        <v>9308</v>
      </c>
      <c r="B1530" s="115" t="s">
        <v>8939</v>
      </c>
      <c r="C1530" s="115" t="s">
        <v>9338</v>
      </c>
      <c r="D1530" s="109" t="s">
        <v>10489</v>
      </c>
      <c r="E1530" s="106" t="s">
        <v>10490</v>
      </c>
      <c r="F1530" s="109" t="s">
        <v>9496</v>
      </c>
      <c r="G1530" s="115" t="s">
        <v>9324</v>
      </c>
      <c r="H1530" s="115" t="s">
        <v>9323</v>
      </c>
      <c r="I1530" s="109" t="s">
        <v>10027</v>
      </c>
      <c r="J1530" s="239" t="s">
        <v>10028</v>
      </c>
      <c r="K1530" s="109" t="s">
        <v>9440</v>
      </c>
      <c r="L1530" s="109" t="s">
        <v>9496</v>
      </c>
    </row>
    <row r="1531" spans="1:12" s="58" customFormat="1" ht="14.85" customHeight="1" x14ac:dyDescent="0.25">
      <c r="A1531" s="108" t="s">
        <v>9308</v>
      </c>
      <c r="B1531" s="115" t="s">
        <v>8939</v>
      </c>
      <c r="C1531" s="115" t="s">
        <v>9338</v>
      </c>
      <c r="D1531" s="109" t="s">
        <v>10491</v>
      </c>
      <c r="E1531" s="106" t="s">
        <v>10492</v>
      </c>
      <c r="F1531" s="109" t="s">
        <v>9496</v>
      </c>
      <c r="G1531" s="115" t="s">
        <v>9324</v>
      </c>
      <c r="H1531" s="115" t="s">
        <v>9323</v>
      </c>
      <c r="I1531" s="109" t="s">
        <v>10471</v>
      </c>
      <c r="J1531" s="239" t="s">
        <v>10472</v>
      </c>
      <c r="K1531" s="109" t="s">
        <v>9440</v>
      </c>
      <c r="L1531" s="109" t="s">
        <v>9496</v>
      </c>
    </row>
    <row r="1532" spans="1:12" s="58" customFormat="1" ht="14.85" customHeight="1" x14ac:dyDescent="0.25">
      <c r="A1532" s="108" t="s">
        <v>9308</v>
      </c>
      <c r="B1532" s="115" t="s">
        <v>8939</v>
      </c>
      <c r="C1532" s="115" t="s">
        <v>9338</v>
      </c>
      <c r="D1532" s="109" t="s">
        <v>10491</v>
      </c>
      <c r="E1532" s="106" t="s">
        <v>10492</v>
      </c>
      <c r="F1532" s="109" t="s">
        <v>9496</v>
      </c>
      <c r="G1532" s="115" t="s">
        <v>9324</v>
      </c>
      <c r="H1532" s="115" t="s">
        <v>9323</v>
      </c>
      <c r="I1532" s="109" t="s">
        <v>10452</v>
      </c>
      <c r="J1532" s="239" t="s">
        <v>10453</v>
      </c>
      <c r="K1532" s="109" t="s">
        <v>9440</v>
      </c>
      <c r="L1532" s="109" t="s">
        <v>9496</v>
      </c>
    </row>
    <row r="1533" spans="1:12" s="58" customFormat="1" ht="14.85" customHeight="1" x14ac:dyDescent="0.25">
      <c r="A1533" s="108" t="s">
        <v>9308</v>
      </c>
      <c r="B1533" s="115" t="s">
        <v>8939</v>
      </c>
      <c r="C1533" s="115" t="s">
        <v>9338</v>
      </c>
      <c r="D1533" s="109" t="s">
        <v>10491</v>
      </c>
      <c r="E1533" s="106" t="s">
        <v>10492</v>
      </c>
      <c r="F1533" s="109" t="s">
        <v>9496</v>
      </c>
      <c r="G1533" s="115" t="s">
        <v>9324</v>
      </c>
      <c r="H1533" s="115" t="s">
        <v>9323</v>
      </c>
      <c r="I1533" s="109" t="s">
        <v>10454</v>
      </c>
      <c r="J1533" s="239" t="s">
        <v>10455</v>
      </c>
      <c r="K1533" s="109" t="s">
        <v>9440</v>
      </c>
      <c r="L1533" s="109" t="s">
        <v>9496</v>
      </c>
    </row>
    <row r="1534" spans="1:12" s="58" customFormat="1" ht="14.85" customHeight="1" x14ac:dyDescent="0.25">
      <c r="A1534" s="108" t="s">
        <v>9308</v>
      </c>
      <c r="B1534" s="115" t="s">
        <v>8939</v>
      </c>
      <c r="C1534" s="115" t="s">
        <v>9338</v>
      </c>
      <c r="D1534" s="109" t="s">
        <v>10491</v>
      </c>
      <c r="E1534" s="106" t="s">
        <v>10492</v>
      </c>
      <c r="F1534" s="109" t="s">
        <v>9496</v>
      </c>
      <c r="G1534" s="115" t="s">
        <v>9324</v>
      </c>
      <c r="H1534" s="115" t="s">
        <v>9323</v>
      </c>
      <c r="I1534" s="109" t="s">
        <v>10456</v>
      </c>
      <c r="J1534" s="239" t="s">
        <v>10455</v>
      </c>
      <c r="K1534" s="109" t="s">
        <v>9440</v>
      </c>
      <c r="L1534" s="109" t="s">
        <v>9496</v>
      </c>
    </row>
    <row r="1535" spans="1:12" s="58" customFormat="1" ht="14.85" customHeight="1" x14ac:dyDescent="0.25">
      <c r="A1535" s="108" t="s">
        <v>9308</v>
      </c>
      <c r="B1535" s="115" t="s">
        <v>8939</v>
      </c>
      <c r="C1535" s="115" t="s">
        <v>9338</v>
      </c>
      <c r="D1535" s="109" t="s">
        <v>10491</v>
      </c>
      <c r="E1535" s="106" t="s">
        <v>10492</v>
      </c>
      <c r="F1535" s="109" t="s">
        <v>9496</v>
      </c>
      <c r="G1535" s="115" t="s">
        <v>9324</v>
      </c>
      <c r="H1535" s="115" t="s">
        <v>9323</v>
      </c>
      <c r="I1535" s="109" t="s">
        <v>10457</v>
      </c>
      <c r="J1535" s="239" t="s">
        <v>10458</v>
      </c>
      <c r="K1535" s="109" t="s">
        <v>9440</v>
      </c>
      <c r="L1535" s="109" t="s">
        <v>9496</v>
      </c>
    </row>
    <row r="1536" spans="1:12" s="58" customFormat="1" ht="14.85" customHeight="1" x14ac:dyDescent="0.25">
      <c r="A1536" s="108" t="s">
        <v>9308</v>
      </c>
      <c r="B1536" s="115" t="s">
        <v>8939</v>
      </c>
      <c r="C1536" s="115" t="s">
        <v>9338</v>
      </c>
      <c r="D1536" s="109" t="s">
        <v>10493</v>
      </c>
      <c r="E1536" s="106" t="s">
        <v>10494</v>
      </c>
      <c r="F1536" s="109" t="s">
        <v>9496</v>
      </c>
      <c r="G1536" s="115" t="s">
        <v>9324</v>
      </c>
      <c r="H1536" s="115" t="s">
        <v>9323</v>
      </c>
      <c r="I1536" s="109" t="s">
        <v>10495</v>
      </c>
      <c r="J1536" s="239" t="s">
        <v>10496</v>
      </c>
      <c r="K1536" s="109" t="s">
        <v>9440</v>
      </c>
      <c r="L1536" s="109" t="s">
        <v>9496</v>
      </c>
    </row>
    <row r="1537" spans="1:12" s="58" customFormat="1" ht="14.85" customHeight="1" x14ac:dyDescent="0.25">
      <c r="A1537" s="108" t="s">
        <v>9308</v>
      </c>
      <c r="B1537" s="115" t="s">
        <v>8939</v>
      </c>
      <c r="C1537" s="115" t="s">
        <v>9338</v>
      </c>
      <c r="D1537" s="109" t="s">
        <v>10493</v>
      </c>
      <c r="E1537" s="106" t="s">
        <v>10494</v>
      </c>
      <c r="F1537" s="109" t="s">
        <v>9496</v>
      </c>
      <c r="G1537" s="115" t="s">
        <v>9324</v>
      </c>
      <c r="H1537" s="115" t="s">
        <v>9323</v>
      </c>
      <c r="I1537" s="109" t="s">
        <v>10497</v>
      </c>
      <c r="J1537" s="239" t="s">
        <v>10498</v>
      </c>
      <c r="K1537" s="109" t="s">
        <v>9440</v>
      </c>
      <c r="L1537" s="109" t="s">
        <v>9496</v>
      </c>
    </row>
    <row r="1538" spans="1:12" s="58" customFormat="1" ht="14.85" customHeight="1" x14ac:dyDescent="0.25">
      <c r="A1538" s="108" t="s">
        <v>9308</v>
      </c>
      <c r="B1538" s="115" t="s">
        <v>8939</v>
      </c>
      <c r="C1538" s="115" t="s">
        <v>9338</v>
      </c>
      <c r="D1538" s="109" t="s">
        <v>10493</v>
      </c>
      <c r="E1538" s="106" t="s">
        <v>10494</v>
      </c>
      <c r="F1538" s="109" t="s">
        <v>9496</v>
      </c>
      <c r="G1538" s="115" t="s">
        <v>9324</v>
      </c>
      <c r="H1538" s="115" t="s">
        <v>9323</v>
      </c>
      <c r="I1538" s="109" t="s">
        <v>10499</v>
      </c>
      <c r="J1538" s="239" t="s">
        <v>10500</v>
      </c>
      <c r="K1538" s="109" t="s">
        <v>9440</v>
      </c>
      <c r="L1538" s="109" t="s">
        <v>9496</v>
      </c>
    </row>
    <row r="1539" spans="1:12" s="58" customFormat="1" ht="14.85" customHeight="1" x14ac:dyDescent="0.25">
      <c r="A1539" s="108" t="s">
        <v>9308</v>
      </c>
      <c r="B1539" s="115" t="s">
        <v>8939</v>
      </c>
      <c r="C1539" s="115" t="s">
        <v>9338</v>
      </c>
      <c r="D1539" s="109" t="s">
        <v>10493</v>
      </c>
      <c r="E1539" s="106" t="s">
        <v>10494</v>
      </c>
      <c r="F1539" s="109" t="s">
        <v>9496</v>
      </c>
      <c r="G1539" s="115" t="s">
        <v>9324</v>
      </c>
      <c r="H1539" s="115" t="s">
        <v>9323</v>
      </c>
      <c r="I1539" s="109" t="s">
        <v>10501</v>
      </c>
      <c r="J1539" s="239" t="s">
        <v>10502</v>
      </c>
      <c r="K1539" s="109" t="s">
        <v>9440</v>
      </c>
      <c r="L1539" s="109" t="s">
        <v>9496</v>
      </c>
    </row>
    <row r="1540" spans="1:12" s="58" customFormat="1" ht="14.85" customHeight="1" x14ac:dyDescent="0.25">
      <c r="A1540" s="108" t="s">
        <v>9308</v>
      </c>
      <c r="B1540" s="115" t="s">
        <v>8939</v>
      </c>
      <c r="C1540" s="115" t="s">
        <v>9338</v>
      </c>
      <c r="D1540" s="109" t="s">
        <v>10493</v>
      </c>
      <c r="E1540" s="106" t="s">
        <v>10494</v>
      </c>
      <c r="F1540" s="109" t="s">
        <v>9496</v>
      </c>
      <c r="G1540" s="115" t="s">
        <v>9324</v>
      </c>
      <c r="H1540" s="115" t="s">
        <v>9323</v>
      </c>
      <c r="I1540" s="109" t="s">
        <v>10503</v>
      </c>
      <c r="J1540" s="239" t="s">
        <v>10504</v>
      </c>
      <c r="K1540" s="109" t="s">
        <v>9440</v>
      </c>
      <c r="L1540" s="109" t="s">
        <v>9496</v>
      </c>
    </row>
    <row r="1541" spans="1:12" s="58" customFormat="1" ht="14.85" customHeight="1" x14ac:dyDescent="0.25">
      <c r="A1541" s="108" t="s">
        <v>9308</v>
      </c>
      <c r="B1541" s="115" t="s">
        <v>8939</v>
      </c>
      <c r="C1541" s="115" t="s">
        <v>9338</v>
      </c>
      <c r="D1541" s="109" t="s">
        <v>10493</v>
      </c>
      <c r="E1541" s="106" t="s">
        <v>10494</v>
      </c>
      <c r="F1541" s="109" t="s">
        <v>9496</v>
      </c>
      <c r="G1541" s="115" t="s">
        <v>9324</v>
      </c>
      <c r="H1541" s="115" t="s">
        <v>9323</v>
      </c>
      <c r="I1541" s="109" t="s">
        <v>10162</v>
      </c>
      <c r="J1541" s="239" t="s">
        <v>10163</v>
      </c>
      <c r="K1541" s="109" t="s">
        <v>9440</v>
      </c>
      <c r="L1541" s="109" t="s">
        <v>9496</v>
      </c>
    </row>
    <row r="1542" spans="1:12" s="58" customFormat="1" ht="14.85" customHeight="1" x14ac:dyDescent="0.25">
      <c r="A1542" s="108" t="s">
        <v>9308</v>
      </c>
      <c r="B1542" s="115" t="s">
        <v>8939</v>
      </c>
      <c r="C1542" s="115" t="s">
        <v>9338</v>
      </c>
      <c r="D1542" s="109" t="s">
        <v>10505</v>
      </c>
      <c r="E1542" s="106" t="s">
        <v>10506</v>
      </c>
      <c r="F1542" s="109" t="s">
        <v>9496</v>
      </c>
      <c r="G1542" s="115" t="s">
        <v>9324</v>
      </c>
      <c r="H1542" s="115" t="s">
        <v>9323</v>
      </c>
      <c r="I1542" s="109" t="s">
        <v>10162</v>
      </c>
      <c r="J1542" s="239" t="s">
        <v>10163</v>
      </c>
      <c r="K1542" s="109" t="s">
        <v>9440</v>
      </c>
      <c r="L1542" s="109" t="s">
        <v>9496</v>
      </c>
    </row>
    <row r="1543" spans="1:12" s="58" customFormat="1" ht="14.85" customHeight="1" x14ac:dyDescent="0.25">
      <c r="A1543" s="108" t="s">
        <v>9308</v>
      </c>
      <c r="B1543" s="115" t="s">
        <v>8939</v>
      </c>
      <c r="C1543" s="115" t="s">
        <v>9338</v>
      </c>
      <c r="D1543" s="109" t="s">
        <v>10507</v>
      </c>
      <c r="E1543" s="106" t="s">
        <v>10508</v>
      </c>
      <c r="F1543" s="109" t="s">
        <v>9496</v>
      </c>
      <c r="G1543" s="115" t="s">
        <v>9324</v>
      </c>
      <c r="H1543" s="115" t="s">
        <v>9323</v>
      </c>
      <c r="I1543" s="109" t="s">
        <v>10162</v>
      </c>
      <c r="J1543" s="239" t="s">
        <v>10163</v>
      </c>
      <c r="K1543" s="109" t="s">
        <v>9440</v>
      </c>
      <c r="L1543" s="109" t="s">
        <v>9496</v>
      </c>
    </row>
    <row r="1544" spans="1:12" s="58" customFormat="1" ht="14.85" customHeight="1" x14ac:dyDescent="0.25">
      <c r="A1544" s="108" t="s">
        <v>9308</v>
      </c>
      <c r="B1544" s="115" t="s">
        <v>8939</v>
      </c>
      <c r="C1544" s="115" t="s">
        <v>9338</v>
      </c>
      <c r="D1544" s="109" t="s">
        <v>10509</v>
      </c>
      <c r="E1544" s="58" t="s">
        <v>10510</v>
      </c>
      <c r="F1544" s="109" t="s">
        <v>9496</v>
      </c>
      <c r="G1544" s="115" t="s">
        <v>9324</v>
      </c>
      <c r="H1544" s="115" t="s">
        <v>9323</v>
      </c>
      <c r="I1544" s="109" t="s">
        <v>10503</v>
      </c>
      <c r="J1544" s="239" t="s">
        <v>10504</v>
      </c>
      <c r="K1544" s="109" t="s">
        <v>9440</v>
      </c>
      <c r="L1544" s="109" t="s">
        <v>9496</v>
      </c>
    </row>
    <row r="1545" spans="1:12" s="58" customFormat="1" ht="14.85" customHeight="1" x14ac:dyDescent="0.25">
      <c r="A1545" s="108" t="s">
        <v>9308</v>
      </c>
      <c r="B1545" s="115" t="s">
        <v>8939</v>
      </c>
      <c r="C1545" s="115" t="s">
        <v>9338</v>
      </c>
      <c r="D1545" s="109" t="s">
        <v>10511</v>
      </c>
      <c r="E1545" s="58" t="s">
        <v>10512</v>
      </c>
      <c r="F1545" s="109" t="s">
        <v>9496</v>
      </c>
      <c r="G1545" s="115" t="s">
        <v>9324</v>
      </c>
      <c r="H1545" s="115" t="s">
        <v>9323</v>
      </c>
      <c r="I1545" s="109" t="s">
        <v>10503</v>
      </c>
      <c r="J1545" s="239" t="s">
        <v>10504</v>
      </c>
      <c r="K1545" s="109" t="s">
        <v>9440</v>
      </c>
      <c r="L1545" s="109" t="s">
        <v>9496</v>
      </c>
    </row>
    <row r="1546" spans="1:12" s="58" customFormat="1" ht="14.85" customHeight="1" x14ac:dyDescent="0.25">
      <c r="A1546" s="108" t="s">
        <v>9308</v>
      </c>
      <c r="B1546" s="115" t="s">
        <v>8939</v>
      </c>
      <c r="C1546" s="115" t="s">
        <v>9338</v>
      </c>
      <c r="D1546" s="109" t="s">
        <v>10513</v>
      </c>
      <c r="E1546" s="58" t="s">
        <v>10514</v>
      </c>
      <c r="F1546" s="109" t="s">
        <v>9496</v>
      </c>
      <c r="G1546" s="115" t="s">
        <v>9324</v>
      </c>
      <c r="H1546" s="115" t="s">
        <v>9324</v>
      </c>
      <c r="I1546" s="109" t="s">
        <v>10503</v>
      </c>
      <c r="J1546" s="239" t="s">
        <v>10504</v>
      </c>
      <c r="K1546" s="109" t="s">
        <v>9440</v>
      </c>
      <c r="L1546" s="109" t="s">
        <v>9496</v>
      </c>
    </row>
    <row r="1547" spans="1:12" s="58" customFormat="1" ht="14.85" customHeight="1" x14ac:dyDescent="0.25">
      <c r="A1547" s="108" t="s">
        <v>9308</v>
      </c>
      <c r="B1547" s="115" t="s">
        <v>8939</v>
      </c>
      <c r="C1547" s="115" t="s">
        <v>9338</v>
      </c>
      <c r="D1547" s="109" t="s">
        <v>10515</v>
      </c>
      <c r="E1547" s="106" t="s">
        <v>10516</v>
      </c>
      <c r="F1547" s="109" t="s">
        <v>9496</v>
      </c>
      <c r="G1547" s="115" t="s">
        <v>9324</v>
      </c>
      <c r="H1547" s="115" t="s">
        <v>9323</v>
      </c>
      <c r="I1547" s="109" t="s">
        <v>10162</v>
      </c>
      <c r="J1547" s="239" t="s">
        <v>10163</v>
      </c>
      <c r="K1547" s="109" t="s">
        <v>9440</v>
      </c>
      <c r="L1547" s="109" t="s">
        <v>9496</v>
      </c>
    </row>
    <row r="1548" spans="1:12" s="58" customFormat="1" ht="14.85" customHeight="1" x14ac:dyDescent="0.25">
      <c r="A1548" s="108" t="s">
        <v>9308</v>
      </c>
      <c r="B1548" s="115" t="s">
        <v>8939</v>
      </c>
      <c r="C1548" s="115" t="s">
        <v>9338</v>
      </c>
      <c r="D1548" s="109" t="s">
        <v>10517</v>
      </c>
      <c r="E1548" s="106" t="s">
        <v>10518</v>
      </c>
      <c r="F1548" s="109" t="s">
        <v>9496</v>
      </c>
      <c r="G1548" s="115" t="s">
        <v>9324</v>
      </c>
      <c r="H1548" s="115" t="s">
        <v>9323</v>
      </c>
      <c r="I1548" s="109" t="s">
        <v>10501</v>
      </c>
      <c r="J1548" s="239" t="s">
        <v>10502</v>
      </c>
      <c r="K1548" s="109" t="s">
        <v>9440</v>
      </c>
      <c r="L1548" s="109" t="s">
        <v>9496</v>
      </c>
    </row>
    <row r="1549" spans="1:12" s="58" customFormat="1" ht="14.85" customHeight="1" x14ac:dyDescent="0.25">
      <c r="A1549" s="108" t="s">
        <v>9308</v>
      </c>
      <c r="B1549" s="115" t="s">
        <v>8939</v>
      </c>
      <c r="C1549" s="115" t="s">
        <v>9338</v>
      </c>
      <c r="D1549" s="109" t="s">
        <v>10517</v>
      </c>
      <c r="E1549" s="106" t="s">
        <v>10518</v>
      </c>
      <c r="F1549" s="109" t="s">
        <v>9496</v>
      </c>
      <c r="G1549" s="115" t="s">
        <v>9324</v>
      </c>
      <c r="H1549" s="115" t="s">
        <v>9323</v>
      </c>
      <c r="I1549" s="109" t="s">
        <v>10503</v>
      </c>
      <c r="J1549" s="239" t="s">
        <v>10504</v>
      </c>
      <c r="K1549" s="109" t="s">
        <v>9440</v>
      </c>
      <c r="L1549" s="109" t="s">
        <v>9496</v>
      </c>
    </row>
    <row r="1550" spans="1:12" s="58" customFormat="1" ht="14.85" customHeight="1" x14ac:dyDescent="0.25">
      <c r="A1550" s="108" t="s">
        <v>9308</v>
      </c>
      <c r="B1550" s="115" t="s">
        <v>8939</v>
      </c>
      <c r="C1550" s="115" t="s">
        <v>9338</v>
      </c>
      <c r="D1550" s="109" t="s">
        <v>10519</v>
      </c>
      <c r="E1550" s="106" t="s">
        <v>10520</v>
      </c>
      <c r="F1550" s="109" t="s">
        <v>9496</v>
      </c>
      <c r="G1550" s="115" t="s">
        <v>9324</v>
      </c>
      <c r="H1550" s="115" t="s">
        <v>9323</v>
      </c>
      <c r="I1550" s="109" t="s">
        <v>10501</v>
      </c>
      <c r="J1550" s="239" t="s">
        <v>10502</v>
      </c>
      <c r="K1550" s="109" t="s">
        <v>9440</v>
      </c>
      <c r="L1550" s="109" t="s">
        <v>9496</v>
      </c>
    </row>
    <row r="1551" spans="1:12" s="58" customFormat="1" ht="14.85" customHeight="1" x14ac:dyDescent="0.25">
      <c r="A1551" s="108" t="s">
        <v>9308</v>
      </c>
      <c r="B1551" s="115" t="s">
        <v>8939</v>
      </c>
      <c r="C1551" s="115" t="s">
        <v>9338</v>
      </c>
      <c r="D1551" s="109" t="s">
        <v>10519</v>
      </c>
      <c r="E1551" s="106" t="s">
        <v>10520</v>
      </c>
      <c r="F1551" s="109" t="s">
        <v>9496</v>
      </c>
      <c r="G1551" s="115" t="s">
        <v>9324</v>
      </c>
      <c r="H1551" s="115" t="s">
        <v>9323</v>
      </c>
      <c r="I1551" s="109" t="s">
        <v>10503</v>
      </c>
      <c r="J1551" s="239" t="s">
        <v>10504</v>
      </c>
      <c r="K1551" s="109" t="s">
        <v>9440</v>
      </c>
      <c r="L1551" s="109" t="s">
        <v>9496</v>
      </c>
    </row>
    <row r="1552" spans="1:12" s="58" customFormat="1" ht="14.85" customHeight="1" x14ac:dyDescent="0.25">
      <c r="A1552" s="108" t="s">
        <v>9308</v>
      </c>
      <c r="B1552" s="115" t="s">
        <v>8939</v>
      </c>
      <c r="C1552" s="115" t="s">
        <v>9338</v>
      </c>
      <c r="D1552" s="109" t="s">
        <v>10521</v>
      </c>
      <c r="E1552" s="106" t="s">
        <v>10522</v>
      </c>
      <c r="F1552" s="109" t="s">
        <v>9496</v>
      </c>
      <c r="G1552" s="115" t="s">
        <v>9324</v>
      </c>
      <c r="H1552" s="115" t="s">
        <v>9324</v>
      </c>
      <c r="I1552" s="109" t="s">
        <v>10501</v>
      </c>
      <c r="J1552" s="239" t="s">
        <v>10502</v>
      </c>
      <c r="K1552" s="109" t="s">
        <v>9440</v>
      </c>
      <c r="L1552" s="109" t="s">
        <v>9496</v>
      </c>
    </row>
    <row r="1553" spans="1:12" s="58" customFormat="1" ht="14.85" customHeight="1" x14ac:dyDescent="0.25">
      <c r="A1553" s="108" t="s">
        <v>9308</v>
      </c>
      <c r="B1553" s="115" t="s">
        <v>8939</v>
      </c>
      <c r="C1553" s="115" t="s">
        <v>9338</v>
      </c>
      <c r="D1553" s="109" t="s">
        <v>10521</v>
      </c>
      <c r="E1553" s="106" t="s">
        <v>10522</v>
      </c>
      <c r="F1553" s="109" t="s">
        <v>9496</v>
      </c>
      <c r="G1553" s="115" t="s">
        <v>9324</v>
      </c>
      <c r="H1553" s="115" t="s">
        <v>9324</v>
      </c>
      <c r="I1553" s="109" t="s">
        <v>10503</v>
      </c>
      <c r="J1553" s="239" t="s">
        <v>10504</v>
      </c>
      <c r="K1553" s="109" t="s">
        <v>9440</v>
      </c>
      <c r="L1553" s="109" t="s">
        <v>9496</v>
      </c>
    </row>
    <row r="1554" spans="1:12" s="58" customFormat="1" ht="14.85" customHeight="1" x14ac:dyDescent="0.25">
      <c r="A1554" s="108" t="s">
        <v>9308</v>
      </c>
      <c r="B1554" s="115" t="s">
        <v>8939</v>
      </c>
      <c r="C1554" s="115" t="s">
        <v>9338</v>
      </c>
      <c r="D1554" s="109" t="s">
        <v>10523</v>
      </c>
      <c r="E1554" s="106" t="s">
        <v>10524</v>
      </c>
      <c r="F1554" s="109" t="s">
        <v>9496</v>
      </c>
      <c r="G1554" s="115" t="s">
        <v>9324</v>
      </c>
      <c r="H1554" s="115" t="s">
        <v>9323</v>
      </c>
      <c r="I1554" s="109" t="s">
        <v>10162</v>
      </c>
      <c r="J1554" s="239" t="s">
        <v>10163</v>
      </c>
      <c r="K1554" s="109" t="s">
        <v>9440</v>
      </c>
      <c r="L1554" s="109" t="s">
        <v>9496</v>
      </c>
    </row>
    <row r="1555" spans="1:12" s="58" customFormat="1" ht="14.85" customHeight="1" x14ac:dyDescent="0.25">
      <c r="A1555" s="108" t="s">
        <v>9308</v>
      </c>
      <c r="B1555" s="115" t="s">
        <v>8939</v>
      </c>
      <c r="C1555" s="115" t="s">
        <v>9338</v>
      </c>
      <c r="D1555" s="109" t="s">
        <v>10525</v>
      </c>
      <c r="E1555" s="106" t="s">
        <v>10526</v>
      </c>
      <c r="F1555" s="109" t="s">
        <v>9496</v>
      </c>
      <c r="G1555" s="115" t="s">
        <v>9324</v>
      </c>
      <c r="H1555" s="115" t="s">
        <v>9323</v>
      </c>
      <c r="I1555" s="109" t="s">
        <v>10090</v>
      </c>
      <c r="J1555" s="239" t="s">
        <v>10091</v>
      </c>
      <c r="K1555" s="109" t="s">
        <v>9440</v>
      </c>
      <c r="L1555" s="109" t="s">
        <v>9496</v>
      </c>
    </row>
    <row r="1556" spans="1:12" s="58" customFormat="1" ht="14.85" customHeight="1" x14ac:dyDescent="0.25">
      <c r="A1556" s="108" t="s">
        <v>9308</v>
      </c>
      <c r="B1556" s="115" t="s">
        <v>8939</v>
      </c>
      <c r="C1556" s="115" t="s">
        <v>9338</v>
      </c>
      <c r="D1556" s="109" t="s">
        <v>10525</v>
      </c>
      <c r="E1556" s="106" t="s">
        <v>10526</v>
      </c>
      <c r="F1556" s="109" t="s">
        <v>9496</v>
      </c>
      <c r="G1556" s="115" t="s">
        <v>9324</v>
      </c>
      <c r="H1556" s="115" t="s">
        <v>9323</v>
      </c>
      <c r="I1556" s="109" t="s">
        <v>10503</v>
      </c>
      <c r="J1556" s="239" t="s">
        <v>10504</v>
      </c>
      <c r="K1556" s="109" t="s">
        <v>9440</v>
      </c>
      <c r="L1556" s="109" t="s">
        <v>9496</v>
      </c>
    </row>
    <row r="1557" spans="1:12" s="58" customFormat="1" ht="14.85" customHeight="1" x14ac:dyDescent="0.25">
      <c r="A1557" s="108" t="s">
        <v>9308</v>
      </c>
      <c r="B1557" s="115" t="s">
        <v>8939</v>
      </c>
      <c r="C1557" s="115" t="s">
        <v>9338</v>
      </c>
      <c r="D1557" s="109" t="s">
        <v>10525</v>
      </c>
      <c r="E1557" s="106" t="s">
        <v>10526</v>
      </c>
      <c r="F1557" s="109" t="s">
        <v>9496</v>
      </c>
      <c r="G1557" s="115" t="s">
        <v>9324</v>
      </c>
      <c r="H1557" s="115" t="s">
        <v>9323</v>
      </c>
      <c r="I1557" s="109" t="s">
        <v>10092</v>
      </c>
      <c r="J1557" s="239" t="s">
        <v>10093</v>
      </c>
      <c r="K1557" s="109" t="s">
        <v>9440</v>
      </c>
      <c r="L1557" s="109" t="s">
        <v>9496</v>
      </c>
    </row>
    <row r="1558" spans="1:12" s="58" customFormat="1" ht="14.85" customHeight="1" x14ac:dyDescent="0.25">
      <c r="A1558" s="108" t="s">
        <v>9308</v>
      </c>
      <c r="B1558" s="115" t="s">
        <v>8939</v>
      </c>
      <c r="C1558" s="115" t="s">
        <v>9338</v>
      </c>
      <c r="D1558" s="109" t="s">
        <v>10527</v>
      </c>
      <c r="E1558" s="106" t="s">
        <v>10528</v>
      </c>
      <c r="F1558" s="109" t="s">
        <v>9496</v>
      </c>
      <c r="G1558" s="115" t="s">
        <v>9324</v>
      </c>
      <c r="H1558" s="115" t="s">
        <v>9323</v>
      </c>
      <c r="I1558" s="109" t="s">
        <v>10090</v>
      </c>
      <c r="J1558" s="239" t="s">
        <v>10091</v>
      </c>
      <c r="K1558" s="109" t="s">
        <v>9440</v>
      </c>
      <c r="L1558" s="109" t="s">
        <v>9496</v>
      </c>
    </row>
    <row r="1559" spans="1:12" s="58" customFormat="1" ht="14.85" customHeight="1" x14ac:dyDescent="0.25">
      <c r="A1559" s="108" t="s">
        <v>9308</v>
      </c>
      <c r="B1559" s="115" t="s">
        <v>8939</v>
      </c>
      <c r="C1559" s="115" t="s">
        <v>9338</v>
      </c>
      <c r="D1559" s="109" t="s">
        <v>10527</v>
      </c>
      <c r="E1559" s="106" t="s">
        <v>10528</v>
      </c>
      <c r="F1559" s="109" t="s">
        <v>9496</v>
      </c>
      <c r="G1559" s="115" t="s">
        <v>9324</v>
      </c>
      <c r="H1559" s="115" t="s">
        <v>9323</v>
      </c>
      <c r="I1559" s="109" t="s">
        <v>10501</v>
      </c>
      <c r="J1559" s="239" t="s">
        <v>10502</v>
      </c>
      <c r="K1559" s="109" t="s">
        <v>9440</v>
      </c>
      <c r="L1559" s="109" t="s">
        <v>9496</v>
      </c>
    </row>
    <row r="1560" spans="1:12" s="58" customFormat="1" ht="14.85" customHeight="1" x14ac:dyDescent="0.25">
      <c r="A1560" s="108" t="s">
        <v>9308</v>
      </c>
      <c r="B1560" s="115" t="s">
        <v>8939</v>
      </c>
      <c r="C1560" s="115" t="s">
        <v>9338</v>
      </c>
      <c r="D1560" s="109" t="s">
        <v>10527</v>
      </c>
      <c r="E1560" s="106" t="s">
        <v>10528</v>
      </c>
      <c r="F1560" s="109" t="s">
        <v>9496</v>
      </c>
      <c r="G1560" s="115" t="s">
        <v>9324</v>
      </c>
      <c r="H1560" s="115" t="s">
        <v>9323</v>
      </c>
      <c r="I1560" s="109" t="s">
        <v>10503</v>
      </c>
      <c r="J1560" s="239" t="s">
        <v>10504</v>
      </c>
      <c r="K1560" s="109" t="s">
        <v>9440</v>
      </c>
      <c r="L1560" s="109" t="s">
        <v>9496</v>
      </c>
    </row>
    <row r="1561" spans="1:12" s="58" customFormat="1" ht="14.85" customHeight="1" x14ac:dyDescent="0.25">
      <c r="A1561" s="108" t="s">
        <v>9308</v>
      </c>
      <c r="B1561" s="115" t="s">
        <v>8939</v>
      </c>
      <c r="C1561" s="115" t="s">
        <v>9338</v>
      </c>
      <c r="D1561" s="109" t="s">
        <v>10527</v>
      </c>
      <c r="E1561" s="106" t="s">
        <v>10528</v>
      </c>
      <c r="F1561" s="109" t="s">
        <v>9496</v>
      </c>
      <c r="G1561" s="115" t="s">
        <v>9324</v>
      </c>
      <c r="H1561" s="115" t="s">
        <v>9323</v>
      </c>
      <c r="I1561" s="109" t="s">
        <v>10092</v>
      </c>
      <c r="J1561" s="239" t="s">
        <v>10093</v>
      </c>
      <c r="K1561" s="109" t="s">
        <v>9440</v>
      </c>
      <c r="L1561" s="109" t="s">
        <v>9496</v>
      </c>
    </row>
    <row r="1562" spans="1:12" s="58" customFormat="1" ht="14.85" customHeight="1" x14ac:dyDescent="0.25">
      <c r="A1562" s="108" t="s">
        <v>9308</v>
      </c>
      <c r="B1562" s="115" t="s">
        <v>8939</v>
      </c>
      <c r="C1562" s="115" t="s">
        <v>9338</v>
      </c>
      <c r="D1562" s="109" t="s">
        <v>10529</v>
      </c>
      <c r="E1562" s="106" t="s">
        <v>10530</v>
      </c>
      <c r="F1562" s="109" t="s">
        <v>9496</v>
      </c>
      <c r="G1562" s="115" t="s">
        <v>9324</v>
      </c>
      <c r="H1562" s="115" t="s">
        <v>9323</v>
      </c>
      <c r="I1562" s="109" t="s">
        <v>10497</v>
      </c>
      <c r="J1562" s="239" t="s">
        <v>10498</v>
      </c>
      <c r="K1562" s="109" t="s">
        <v>9440</v>
      </c>
      <c r="L1562" s="109" t="s">
        <v>9496</v>
      </c>
    </row>
    <row r="1563" spans="1:12" s="58" customFormat="1" ht="14.85" customHeight="1" x14ac:dyDescent="0.25">
      <c r="A1563" s="108" t="s">
        <v>9308</v>
      </c>
      <c r="B1563" s="115" t="s">
        <v>8939</v>
      </c>
      <c r="C1563" s="115" t="s">
        <v>9338</v>
      </c>
      <c r="D1563" s="109" t="s">
        <v>10531</v>
      </c>
      <c r="E1563" s="106" t="s">
        <v>10532</v>
      </c>
      <c r="F1563" s="109" t="s">
        <v>9496</v>
      </c>
      <c r="G1563" s="115" t="s">
        <v>9324</v>
      </c>
      <c r="H1563" s="115" t="s">
        <v>9323</v>
      </c>
      <c r="I1563" s="109" t="s">
        <v>10497</v>
      </c>
      <c r="J1563" s="239" t="s">
        <v>10498</v>
      </c>
      <c r="K1563" s="109" t="s">
        <v>9440</v>
      </c>
      <c r="L1563" s="109" t="s">
        <v>9496</v>
      </c>
    </row>
    <row r="1564" spans="1:12" s="58" customFormat="1" ht="14.85" customHeight="1" x14ac:dyDescent="0.25">
      <c r="A1564" s="108" t="s">
        <v>9308</v>
      </c>
      <c r="B1564" s="115" t="s">
        <v>8939</v>
      </c>
      <c r="C1564" s="115" t="s">
        <v>9338</v>
      </c>
      <c r="D1564" s="109" t="s">
        <v>10533</v>
      </c>
      <c r="E1564" s="106" t="s">
        <v>10534</v>
      </c>
      <c r="F1564" s="109" t="s">
        <v>9496</v>
      </c>
      <c r="G1564" s="115" t="s">
        <v>9324</v>
      </c>
      <c r="H1564" s="115" t="s">
        <v>9324</v>
      </c>
      <c r="I1564" s="109" t="s">
        <v>10497</v>
      </c>
      <c r="J1564" s="239" t="s">
        <v>10498</v>
      </c>
      <c r="K1564" s="109" t="s">
        <v>9440</v>
      </c>
      <c r="L1564" s="109" t="s">
        <v>9496</v>
      </c>
    </row>
    <row r="1565" spans="1:12" s="58" customFormat="1" ht="14.85" customHeight="1" x14ac:dyDescent="0.25">
      <c r="A1565" s="108" t="s">
        <v>9308</v>
      </c>
      <c r="B1565" s="115" t="s">
        <v>8939</v>
      </c>
      <c r="C1565" s="115" t="s">
        <v>9338</v>
      </c>
      <c r="D1565" s="109" t="s">
        <v>10535</v>
      </c>
      <c r="E1565" s="106" t="s">
        <v>10536</v>
      </c>
      <c r="F1565" s="109" t="s">
        <v>9496</v>
      </c>
      <c r="G1565" s="115" t="s">
        <v>9324</v>
      </c>
      <c r="H1565" s="115" t="s">
        <v>9323</v>
      </c>
      <c r="I1565" s="109" t="s">
        <v>10499</v>
      </c>
      <c r="J1565" s="239" t="s">
        <v>10500</v>
      </c>
      <c r="K1565" s="109" t="s">
        <v>9440</v>
      </c>
      <c r="L1565" s="109" t="s">
        <v>9496</v>
      </c>
    </row>
    <row r="1566" spans="1:12" s="58" customFormat="1" ht="14.85" customHeight="1" x14ac:dyDescent="0.25">
      <c r="A1566" s="108" t="s">
        <v>9308</v>
      </c>
      <c r="B1566" s="115" t="s">
        <v>8939</v>
      </c>
      <c r="C1566" s="115" t="s">
        <v>9338</v>
      </c>
      <c r="D1566" s="109" t="s">
        <v>10537</v>
      </c>
      <c r="E1566" s="106" t="s">
        <v>10538</v>
      </c>
      <c r="F1566" s="109" t="s">
        <v>9496</v>
      </c>
      <c r="G1566" s="115" t="s">
        <v>9324</v>
      </c>
      <c r="H1566" s="115" t="s">
        <v>9323</v>
      </c>
      <c r="I1566" s="109" t="s">
        <v>10499</v>
      </c>
      <c r="J1566" s="239" t="s">
        <v>10500</v>
      </c>
      <c r="K1566" s="109" t="s">
        <v>9440</v>
      </c>
      <c r="L1566" s="109" t="s">
        <v>9496</v>
      </c>
    </row>
    <row r="1567" spans="1:12" s="58" customFormat="1" ht="14.85" customHeight="1" x14ac:dyDescent="0.25">
      <c r="A1567" s="108" t="s">
        <v>9308</v>
      </c>
      <c r="B1567" s="115" t="s">
        <v>8939</v>
      </c>
      <c r="C1567" s="115" t="s">
        <v>9338</v>
      </c>
      <c r="D1567" s="109" t="s">
        <v>10539</v>
      </c>
      <c r="E1567" s="106" t="s">
        <v>10540</v>
      </c>
      <c r="F1567" s="109" t="s">
        <v>9496</v>
      </c>
      <c r="G1567" s="115" t="s">
        <v>9324</v>
      </c>
      <c r="H1567" s="115" t="s">
        <v>9324</v>
      </c>
      <c r="I1567" s="109" t="s">
        <v>10499</v>
      </c>
      <c r="J1567" s="239" t="s">
        <v>10500</v>
      </c>
      <c r="K1567" s="109" t="s">
        <v>9440</v>
      </c>
      <c r="L1567" s="109" t="s">
        <v>9496</v>
      </c>
    </row>
    <row r="1568" spans="1:12" s="58" customFormat="1" ht="14.85" customHeight="1" x14ac:dyDescent="0.25">
      <c r="A1568" s="108" t="s">
        <v>9308</v>
      </c>
      <c r="B1568" s="115" t="s">
        <v>8939</v>
      </c>
      <c r="C1568" s="115" t="s">
        <v>9338</v>
      </c>
      <c r="D1568" s="109" t="s">
        <v>10541</v>
      </c>
      <c r="E1568" s="106" t="s">
        <v>10542</v>
      </c>
      <c r="F1568" s="109" t="s">
        <v>9496</v>
      </c>
      <c r="G1568" s="115" t="s">
        <v>9324</v>
      </c>
      <c r="H1568" s="115" t="s">
        <v>9323</v>
      </c>
      <c r="I1568" s="109" t="s">
        <v>10090</v>
      </c>
      <c r="J1568" s="239" t="s">
        <v>10091</v>
      </c>
      <c r="K1568" s="109" t="s">
        <v>9440</v>
      </c>
      <c r="L1568" s="109" t="s">
        <v>9496</v>
      </c>
    </row>
    <row r="1569" spans="1:12" s="58" customFormat="1" ht="14.85" customHeight="1" x14ac:dyDescent="0.25">
      <c r="A1569" s="108" t="s">
        <v>9308</v>
      </c>
      <c r="B1569" s="115" t="s">
        <v>8939</v>
      </c>
      <c r="C1569" s="115" t="s">
        <v>9338</v>
      </c>
      <c r="D1569" s="109" t="s">
        <v>10541</v>
      </c>
      <c r="E1569" s="106" t="s">
        <v>10542</v>
      </c>
      <c r="F1569" s="109" t="s">
        <v>9496</v>
      </c>
      <c r="G1569" s="115" t="s">
        <v>9324</v>
      </c>
      <c r="H1569" s="115" t="s">
        <v>9323</v>
      </c>
      <c r="I1569" s="109" t="s">
        <v>10497</v>
      </c>
      <c r="J1569" s="239" t="s">
        <v>10498</v>
      </c>
      <c r="K1569" s="109" t="s">
        <v>9440</v>
      </c>
      <c r="L1569" s="109" t="s">
        <v>9496</v>
      </c>
    </row>
    <row r="1570" spans="1:12" s="58" customFormat="1" ht="14.85" customHeight="1" x14ac:dyDescent="0.25">
      <c r="A1570" s="108" t="s">
        <v>9308</v>
      </c>
      <c r="B1570" s="115" t="s">
        <v>8939</v>
      </c>
      <c r="C1570" s="115" t="s">
        <v>9338</v>
      </c>
      <c r="D1570" s="109" t="s">
        <v>10541</v>
      </c>
      <c r="E1570" s="106" t="s">
        <v>10542</v>
      </c>
      <c r="F1570" s="109" t="s">
        <v>9496</v>
      </c>
      <c r="G1570" s="115" t="s">
        <v>9324</v>
      </c>
      <c r="H1570" s="115" t="s">
        <v>9323</v>
      </c>
      <c r="I1570" s="109" t="s">
        <v>10092</v>
      </c>
      <c r="J1570" s="239" t="s">
        <v>10093</v>
      </c>
      <c r="K1570" s="109" t="s">
        <v>9440</v>
      </c>
      <c r="L1570" s="109" t="s">
        <v>9496</v>
      </c>
    </row>
    <row r="1571" spans="1:12" s="58" customFormat="1" ht="14.85" customHeight="1" x14ac:dyDescent="0.25">
      <c r="A1571" s="108" t="s">
        <v>9308</v>
      </c>
      <c r="B1571" s="115" t="s">
        <v>8939</v>
      </c>
      <c r="C1571" s="115" t="s">
        <v>9338</v>
      </c>
      <c r="D1571" s="109" t="s">
        <v>10543</v>
      </c>
      <c r="E1571" s="106" t="s">
        <v>10544</v>
      </c>
      <c r="F1571" s="109" t="s">
        <v>9496</v>
      </c>
      <c r="G1571" s="115" t="s">
        <v>9324</v>
      </c>
      <c r="H1571" s="115" t="s">
        <v>9323</v>
      </c>
      <c r="I1571" s="109" t="s">
        <v>10090</v>
      </c>
      <c r="J1571" s="239" t="s">
        <v>10091</v>
      </c>
      <c r="K1571" s="109" t="s">
        <v>9440</v>
      </c>
      <c r="L1571" s="109" t="s">
        <v>9496</v>
      </c>
    </row>
    <row r="1572" spans="1:12" s="58" customFormat="1" ht="14.85" customHeight="1" x14ac:dyDescent="0.25">
      <c r="A1572" s="108" t="s">
        <v>9308</v>
      </c>
      <c r="B1572" s="115" t="s">
        <v>8939</v>
      </c>
      <c r="C1572" s="115" t="s">
        <v>9338</v>
      </c>
      <c r="D1572" s="109" t="s">
        <v>10543</v>
      </c>
      <c r="E1572" s="106" t="s">
        <v>10544</v>
      </c>
      <c r="F1572" s="109" t="s">
        <v>9496</v>
      </c>
      <c r="G1572" s="115" t="s">
        <v>9324</v>
      </c>
      <c r="H1572" s="115" t="s">
        <v>9323</v>
      </c>
      <c r="I1572" s="109" t="s">
        <v>10499</v>
      </c>
      <c r="J1572" s="239" t="s">
        <v>10500</v>
      </c>
      <c r="K1572" s="109" t="s">
        <v>9440</v>
      </c>
      <c r="L1572" s="109" t="s">
        <v>9496</v>
      </c>
    </row>
    <row r="1573" spans="1:12" s="58" customFormat="1" ht="14.85" customHeight="1" x14ac:dyDescent="0.25">
      <c r="A1573" s="108" t="s">
        <v>9308</v>
      </c>
      <c r="B1573" s="115" t="s">
        <v>8939</v>
      </c>
      <c r="C1573" s="115" t="s">
        <v>9338</v>
      </c>
      <c r="D1573" s="109" t="s">
        <v>10543</v>
      </c>
      <c r="E1573" s="106" t="s">
        <v>10544</v>
      </c>
      <c r="F1573" s="109" t="s">
        <v>9496</v>
      </c>
      <c r="G1573" s="115" t="s">
        <v>9324</v>
      </c>
      <c r="H1573" s="115" t="s">
        <v>9323</v>
      </c>
      <c r="I1573" s="109" t="s">
        <v>10092</v>
      </c>
      <c r="J1573" s="239" t="s">
        <v>10093</v>
      </c>
      <c r="K1573" s="109" t="s">
        <v>9440</v>
      </c>
      <c r="L1573" s="109" t="s">
        <v>9496</v>
      </c>
    </row>
    <row r="1574" spans="1:12" s="58" customFormat="1" ht="14.85" customHeight="1" x14ac:dyDescent="0.25">
      <c r="A1574" s="108" t="s">
        <v>9308</v>
      </c>
      <c r="B1574" s="115" t="s">
        <v>8939</v>
      </c>
      <c r="C1574" s="115" t="s">
        <v>9338</v>
      </c>
      <c r="D1574" s="109" t="s">
        <v>10545</v>
      </c>
      <c r="E1574" s="106" t="s">
        <v>10546</v>
      </c>
      <c r="F1574" s="109" t="s">
        <v>9496</v>
      </c>
      <c r="G1574" s="115" t="s">
        <v>9324</v>
      </c>
      <c r="H1574" s="115" t="s">
        <v>9323</v>
      </c>
      <c r="I1574" s="109" t="s">
        <v>10495</v>
      </c>
      <c r="J1574" s="239" t="s">
        <v>10496</v>
      </c>
      <c r="K1574" s="109" t="s">
        <v>9440</v>
      </c>
      <c r="L1574" s="109" t="s">
        <v>9496</v>
      </c>
    </row>
    <row r="1575" spans="1:12" s="58" customFormat="1" ht="14.85" customHeight="1" x14ac:dyDescent="0.25">
      <c r="A1575" s="108" t="s">
        <v>9308</v>
      </c>
      <c r="B1575" s="115" t="s">
        <v>8939</v>
      </c>
      <c r="C1575" s="115" t="s">
        <v>9338</v>
      </c>
      <c r="D1575" s="109" t="s">
        <v>10547</v>
      </c>
      <c r="E1575" s="106" t="s">
        <v>10548</v>
      </c>
      <c r="F1575" s="109" t="s">
        <v>9496</v>
      </c>
      <c r="G1575" s="115" t="s">
        <v>9324</v>
      </c>
      <c r="H1575" s="115" t="s">
        <v>9323</v>
      </c>
      <c r="I1575" s="109" t="s">
        <v>10495</v>
      </c>
      <c r="J1575" s="239" t="s">
        <v>10496</v>
      </c>
      <c r="K1575" s="109" t="s">
        <v>9440</v>
      </c>
      <c r="L1575" s="109" t="s">
        <v>9496</v>
      </c>
    </row>
    <row r="1576" spans="1:12" s="58" customFormat="1" ht="14.85" customHeight="1" x14ac:dyDescent="0.25">
      <c r="A1576" s="108" t="s">
        <v>9308</v>
      </c>
      <c r="B1576" s="115" t="s">
        <v>8939</v>
      </c>
      <c r="C1576" s="115" t="s">
        <v>9338</v>
      </c>
      <c r="D1576" s="109" t="s">
        <v>10549</v>
      </c>
      <c r="E1576" s="106" t="s">
        <v>10550</v>
      </c>
      <c r="F1576" s="109" t="s">
        <v>9496</v>
      </c>
      <c r="G1576" s="115" t="s">
        <v>9324</v>
      </c>
      <c r="H1576" s="115" t="s">
        <v>9324</v>
      </c>
      <c r="I1576" s="109" t="s">
        <v>10495</v>
      </c>
      <c r="J1576" s="239" t="s">
        <v>10496</v>
      </c>
      <c r="K1576" s="109" t="s">
        <v>9440</v>
      </c>
      <c r="L1576" s="109" t="s">
        <v>9496</v>
      </c>
    </row>
    <row r="1577" spans="1:12" s="58" customFormat="1" ht="14.85" customHeight="1" x14ac:dyDescent="0.25">
      <c r="A1577" s="108" t="s">
        <v>9308</v>
      </c>
      <c r="B1577" s="115" t="s">
        <v>8939</v>
      </c>
      <c r="C1577" s="115" t="s">
        <v>9338</v>
      </c>
      <c r="D1577" s="109" t="s">
        <v>10551</v>
      </c>
      <c r="E1577" s="106" t="s">
        <v>10552</v>
      </c>
      <c r="F1577" s="109" t="s">
        <v>9496</v>
      </c>
      <c r="G1577" s="115" t="s">
        <v>9324</v>
      </c>
      <c r="H1577" s="115" t="s">
        <v>9323</v>
      </c>
      <c r="I1577" s="109" t="s">
        <v>10162</v>
      </c>
      <c r="J1577" s="239" t="s">
        <v>10163</v>
      </c>
      <c r="K1577" s="109" t="s">
        <v>9440</v>
      </c>
      <c r="L1577" s="109" t="s">
        <v>9496</v>
      </c>
    </row>
    <row r="1578" spans="1:12" s="58" customFormat="1" ht="14.85" customHeight="1" x14ac:dyDescent="0.25">
      <c r="A1578" s="108" t="s">
        <v>9308</v>
      </c>
      <c r="B1578" s="115" t="s">
        <v>8939</v>
      </c>
      <c r="C1578" s="115" t="s">
        <v>9338</v>
      </c>
      <c r="D1578" s="109" t="s">
        <v>10553</v>
      </c>
      <c r="E1578" s="106" t="s">
        <v>10554</v>
      </c>
      <c r="F1578" s="109" t="s">
        <v>9496</v>
      </c>
      <c r="G1578" s="115" t="s">
        <v>9324</v>
      </c>
      <c r="H1578" s="115" t="s">
        <v>9323</v>
      </c>
      <c r="I1578" s="109" t="s">
        <v>10162</v>
      </c>
      <c r="J1578" s="239" t="s">
        <v>10163</v>
      </c>
      <c r="K1578" s="109" t="s">
        <v>9440</v>
      </c>
      <c r="L1578" s="109" t="s">
        <v>9496</v>
      </c>
    </row>
    <row r="1579" spans="1:12" s="58" customFormat="1" ht="14.85" customHeight="1" x14ac:dyDescent="0.25">
      <c r="A1579" s="108" t="s">
        <v>9308</v>
      </c>
      <c r="B1579" s="115" t="s">
        <v>8939</v>
      </c>
      <c r="C1579" s="115" t="s">
        <v>9338</v>
      </c>
      <c r="D1579" s="109" t="s">
        <v>10555</v>
      </c>
      <c r="E1579" s="106" t="s">
        <v>10556</v>
      </c>
      <c r="F1579" s="109" t="s">
        <v>9496</v>
      </c>
      <c r="G1579" s="115" t="s">
        <v>9324</v>
      </c>
      <c r="H1579" s="115" t="s">
        <v>9323</v>
      </c>
      <c r="I1579" s="109" t="s">
        <v>10324</v>
      </c>
      <c r="J1579" s="239" t="s">
        <v>10325</v>
      </c>
      <c r="K1579" s="109" t="s">
        <v>9440</v>
      </c>
      <c r="L1579" s="109" t="s">
        <v>9496</v>
      </c>
    </row>
    <row r="1580" spans="1:12" s="58" customFormat="1" ht="14.85" customHeight="1" x14ac:dyDescent="0.25">
      <c r="A1580" s="108" t="s">
        <v>9308</v>
      </c>
      <c r="B1580" s="115" t="s">
        <v>8939</v>
      </c>
      <c r="C1580" s="115" t="s">
        <v>9338</v>
      </c>
      <c r="D1580" s="109" t="s">
        <v>10555</v>
      </c>
      <c r="E1580" s="106" t="s">
        <v>10556</v>
      </c>
      <c r="F1580" s="109" t="s">
        <v>9496</v>
      </c>
      <c r="G1580" s="115" t="s">
        <v>9324</v>
      </c>
      <c r="H1580" s="115" t="s">
        <v>9323</v>
      </c>
      <c r="I1580" s="109" t="s">
        <v>10495</v>
      </c>
      <c r="J1580" s="239" t="s">
        <v>10496</v>
      </c>
      <c r="K1580" s="109" t="s">
        <v>9440</v>
      </c>
      <c r="L1580" s="109" t="s">
        <v>9496</v>
      </c>
    </row>
    <row r="1581" spans="1:12" s="58" customFormat="1" ht="14.85" customHeight="1" x14ac:dyDescent="0.25">
      <c r="A1581" s="108" t="s">
        <v>9308</v>
      </c>
      <c r="B1581" s="115" t="s">
        <v>8939</v>
      </c>
      <c r="C1581" s="115" t="s">
        <v>9338</v>
      </c>
      <c r="D1581" s="109" t="s">
        <v>10557</v>
      </c>
      <c r="E1581" s="106" t="s">
        <v>10558</v>
      </c>
      <c r="F1581" s="109" t="s">
        <v>9496</v>
      </c>
      <c r="G1581" s="115" t="s">
        <v>9324</v>
      </c>
      <c r="H1581" s="115" t="s">
        <v>9323</v>
      </c>
      <c r="I1581" s="109" t="s">
        <v>10324</v>
      </c>
      <c r="J1581" s="239" t="s">
        <v>10325</v>
      </c>
      <c r="K1581" s="109" t="s">
        <v>9440</v>
      </c>
      <c r="L1581" s="109" t="s">
        <v>9496</v>
      </c>
    </row>
    <row r="1582" spans="1:12" s="58" customFormat="1" ht="14.85" customHeight="1" x14ac:dyDescent="0.25">
      <c r="A1582" s="108" t="s">
        <v>9308</v>
      </c>
      <c r="B1582" s="115" t="s">
        <v>8939</v>
      </c>
      <c r="C1582" s="115" t="s">
        <v>9338</v>
      </c>
      <c r="D1582" s="109" t="s">
        <v>10557</v>
      </c>
      <c r="E1582" s="106" t="s">
        <v>10558</v>
      </c>
      <c r="F1582" s="109" t="s">
        <v>9496</v>
      </c>
      <c r="G1582" s="115" t="s">
        <v>9324</v>
      </c>
      <c r="H1582" s="115" t="s">
        <v>9323</v>
      </c>
      <c r="I1582" s="109" t="s">
        <v>10495</v>
      </c>
      <c r="J1582" s="239" t="s">
        <v>10496</v>
      </c>
      <c r="K1582" s="109" t="s">
        <v>9440</v>
      </c>
      <c r="L1582" s="109" t="s">
        <v>9496</v>
      </c>
    </row>
    <row r="1583" spans="1:12" s="58" customFormat="1" ht="14.85" customHeight="1" x14ac:dyDescent="0.25">
      <c r="A1583" s="108" t="s">
        <v>9308</v>
      </c>
      <c r="B1583" s="115" t="s">
        <v>8939</v>
      </c>
      <c r="C1583" s="115" t="s">
        <v>9338</v>
      </c>
      <c r="D1583" s="109" t="s">
        <v>10559</v>
      </c>
      <c r="E1583" s="106" t="s">
        <v>10560</v>
      </c>
      <c r="F1583" s="109" t="s">
        <v>9496</v>
      </c>
      <c r="G1583" s="115" t="s">
        <v>9324</v>
      </c>
      <c r="H1583" s="115" t="s">
        <v>9324</v>
      </c>
      <c r="I1583" s="109" t="s">
        <v>10324</v>
      </c>
      <c r="J1583" s="239" t="s">
        <v>10325</v>
      </c>
      <c r="K1583" s="109" t="s">
        <v>9440</v>
      </c>
      <c r="L1583" s="109" t="s">
        <v>9496</v>
      </c>
    </row>
    <row r="1584" spans="1:12" s="58" customFormat="1" ht="14.85" customHeight="1" x14ac:dyDescent="0.25">
      <c r="A1584" s="108" t="s">
        <v>9308</v>
      </c>
      <c r="B1584" s="115" t="s">
        <v>8939</v>
      </c>
      <c r="C1584" s="115" t="s">
        <v>9338</v>
      </c>
      <c r="D1584" s="109" t="s">
        <v>10559</v>
      </c>
      <c r="E1584" s="106" t="s">
        <v>10560</v>
      </c>
      <c r="F1584" s="109" t="s">
        <v>9496</v>
      </c>
      <c r="G1584" s="115" t="s">
        <v>9324</v>
      </c>
      <c r="H1584" s="115" t="s">
        <v>9324</v>
      </c>
      <c r="I1584" s="109" t="s">
        <v>10495</v>
      </c>
      <c r="J1584" s="239" t="s">
        <v>10496</v>
      </c>
      <c r="K1584" s="109" t="s">
        <v>9440</v>
      </c>
      <c r="L1584" s="109" t="s">
        <v>9496</v>
      </c>
    </row>
    <row r="1585" spans="1:12" s="162" customFormat="1" ht="14.85" customHeight="1" x14ac:dyDescent="0.25">
      <c r="A1585" s="108" t="s">
        <v>9308</v>
      </c>
      <c r="B1585" s="115" t="s">
        <v>8939</v>
      </c>
      <c r="C1585" s="115" t="s">
        <v>9338</v>
      </c>
      <c r="D1585" s="109" t="s">
        <v>10561</v>
      </c>
      <c r="E1585" s="106" t="s">
        <v>10562</v>
      </c>
      <c r="F1585" s="109" t="s">
        <v>9496</v>
      </c>
      <c r="G1585" s="115" t="s">
        <v>9324</v>
      </c>
      <c r="H1585" s="115" t="s">
        <v>9323</v>
      </c>
      <c r="I1585" s="109" t="s">
        <v>10090</v>
      </c>
      <c r="J1585" s="239" t="s">
        <v>10091</v>
      </c>
      <c r="K1585" s="109" t="s">
        <v>9440</v>
      </c>
      <c r="L1585" s="109" t="s">
        <v>9496</v>
      </c>
    </row>
    <row r="1586" spans="1:12" s="58" customFormat="1" ht="14.85" customHeight="1" x14ac:dyDescent="0.25">
      <c r="A1586" s="108" t="s">
        <v>9308</v>
      </c>
      <c r="B1586" s="115" t="s">
        <v>8939</v>
      </c>
      <c r="C1586" s="115" t="s">
        <v>9338</v>
      </c>
      <c r="D1586" s="109" t="s">
        <v>10561</v>
      </c>
      <c r="E1586" s="106" t="s">
        <v>10562</v>
      </c>
      <c r="F1586" s="109" t="s">
        <v>9496</v>
      </c>
      <c r="G1586" s="115" t="s">
        <v>9324</v>
      </c>
      <c r="H1586" s="115" t="s">
        <v>9323</v>
      </c>
      <c r="I1586" s="109" t="s">
        <v>10324</v>
      </c>
      <c r="J1586" s="239" t="s">
        <v>10325</v>
      </c>
      <c r="K1586" s="109" t="s">
        <v>9440</v>
      </c>
      <c r="L1586" s="109" t="s">
        <v>9496</v>
      </c>
    </row>
    <row r="1587" spans="1:12" s="58" customFormat="1" ht="14.85" customHeight="1" x14ac:dyDescent="0.25">
      <c r="A1587" s="108" t="s">
        <v>9308</v>
      </c>
      <c r="B1587" s="115" t="s">
        <v>8939</v>
      </c>
      <c r="C1587" s="115" t="s">
        <v>9338</v>
      </c>
      <c r="D1587" s="109" t="s">
        <v>10561</v>
      </c>
      <c r="E1587" s="106" t="s">
        <v>10562</v>
      </c>
      <c r="F1587" s="109" t="s">
        <v>9496</v>
      </c>
      <c r="G1587" s="115" t="s">
        <v>9324</v>
      </c>
      <c r="H1587" s="115" t="s">
        <v>9323</v>
      </c>
      <c r="I1587" s="109" t="s">
        <v>10495</v>
      </c>
      <c r="J1587" s="239" t="s">
        <v>10496</v>
      </c>
      <c r="K1587" s="109" t="s">
        <v>9440</v>
      </c>
      <c r="L1587" s="109" t="s">
        <v>9496</v>
      </c>
    </row>
    <row r="1588" spans="1:12" s="58" customFormat="1" ht="14.85" customHeight="1" x14ac:dyDescent="0.25">
      <c r="A1588" s="108" t="s">
        <v>9308</v>
      </c>
      <c r="B1588" s="115" t="s">
        <v>8939</v>
      </c>
      <c r="C1588" s="115" t="s">
        <v>9338</v>
      </c>
      <c r="D1588" s="109" t="s">
        <v>10561</v>
      </c>
      <c r="E1588" s="106" t="s">
        <v>10562</v>
      </c>
      <c r="F1588" s="109" t="s">
        <v>9496</v>
      </c>
      <c r="G1588" s="115" t="s">
        <v>9324</v>
      </c>
      <c r="H1588" s="115" t="s">
        <v>9323</v>
      </c>
      <c r="I1588" s="109" t="s">
        <v>10092</v>
      </c>
      <c r="J1588" s="239" t="s">
        <v>10093</v>
      </c>
      <c r="K1588" s="109" t="s">
        <v>9440</v>
      </c>
      <c r="L1588" s="109" t="s">
        <v>9496</v>
      </c>
    </row>
    <row r="1589" spans="1:12" s="58" customFormat="1" ht="14.85" customHeight="1" x14ac:dyDescent="0.25">
      <c r="A1589" s="108" t="s">
        <v>9308</v>
      </c>
      <c r="B1589" s="115" t="s">
        <v>8939</v>
      </c>
      <c r="C1589" s="115" t="s">
        <v>9338</v>
      </c>
      <c r="D1589" s="109" t="s">
        <v>10563</v>
      </c>
      <c r="E1589" s="106" t="s">
        <v>10564</v>
      </c>
      <c r="F1589" s="109" t="s">
        <v>9496</v>
      </c>
      <c r="G1589" s="115" t="s">
        <v>9324</v>
      </c>
      <c r="H1589" s="115" t="s">
        <v>9323</v>
      </c>
      <c r="I1589" s="109" t="s">
        <v>10090</v>
      </c>
      <c r="J1589" s="239" t="s">
        <v>10091</v>
      </c>
      <c r="K1589" s="109" t="s">
        <v>9440</v>
      </c>
      <c r="L1589" s="109" t="s">
        <v>9496</v>
      </c>
    </row>
    <row r="1590" spans="1:12" s="58" customFormat="1" ht="14.85" customHeight="1" x14ac:dyDescent="0.25">
      <c r="A1590" s="108" t="s">
        <v>9308</v>
      </c>
      <c r="B1590" s="115" t="s">
        <v>8939</v>
      </c>
      <c r="C1590" s="115" t="s">
        <v>9338</v>
      </c>
      <c r="D1590" s="109" t="s">
        <v>10563</v>
      </c>
      <c r="E1590" s="106" t="s">
        <v>10564</v>
      </c>
      <c r="F1590" s="109" t="s">
        <v>9496</v>
      </c>
      <c r="G1590" s="115" t="s">
        <v>9324</v>
      </c>
      <c r="H1590" s="115" t="s">
        <v>9323</v>
      </c>
      <c r="I1590" s="109" t="s">
        <v>10495</v>
      </c>
      <c r="J1590" s="239" t="s">
        <v>10496</v>
      </c>
      <c r="K1590" s="109" t="s">
        <v>9440</v>
      </c>
      <c r="L1590" s="109" t="s">
        <v>9496</v>
      </c>
    </row>
    <row r="1591" spans="1:12" s="58" customFormat="1" ht="14.85" customHeight="1" x14ac:dyDescent="0.25">
      <c r="A1591" s="108" t="s">
        <v>9308</v>
      </c>
      <c r="B1591" s="115" t="s">
        <v>8939</v>
      </c>
      <c r="C1591" s="115" t="s">
        <v>9338</v>
      </c>
      <c r="D1591" s="109" t="s">
        <v>10563</v>
      </c>
      <c r="E1591" s="106" t="s">
        <v>10564</v>
      </c>
      <c r="F1591" s="109" t="s">
        <v>9496</v>
      </c>
      <c r="G1591" s="115" t="s">
        <v>9324</v>
      </c>
      <c r="H1591" s="115" t="s">
        <v>9323</v>
      </c>
      <c r="I1591" s="109" t="s">
        <v>10092</v>
      </c>
      <c r="J1591" s="239" t="s">
        <v>10093</v>
      </c>
      <c r="K1591" s="109" t="s">
        <v>9440</v>
      </c>
      <c r="L1591" s="109" t="s">
        <v>9496</v>
      </c>
    </row>
    <row r="1592" spans="1:12" s="58" customFormat="1" ht="14.85" customHeight="1" x14ac:dyDescent="0.25">
      <c r="A1592" s="108" t="s">
        <v>9308</v>
      </c>
      <c r="B1592" s="115" t="s">
        <v>8939</v>
      </c>
      <c r="C1592" s="115" t="s">
        <v>9338</v>
      </c>
      <c r="D1592" s="109" t="s">
        <v>10565</v>
      </c>
      <c r="E1592" s="106" t="s">
        <v>10566</v>
      </c>
      <c r="F1592" s="109" t="s">
        <v>9496</v>
      </c>
      <c r="G1592" s="115" t="s">
        <v>9324</v>
      </c>
      <c r="H1592" s="115" t="s">
        <v>9323</v>
      </c>
      <c r="I1592" s="109" t="s">
        <v>10567</v>
      </c>
      <c r="J1592" s="239" t="s">
        <v>10568</v>
      </c>
      <c r="K1592" s="109" t="s">
        <v>9440</v>
      </c>
      <c r="L1592" s="109" t="s">
        <v>9496</v>
      </c>
    </row>
    <row r="1593" spans="1:12" s="58" customFormat="1" ht="14.85" customHeight="1" x14ac:dyDescent="0.25">
      <c r="A1593" s="108" t="s">
        <v>9308</v>
      </c>
      <c r="B1593" s="115" t="s">
        <v>8939</v>
      </c>
      <c r="C1593" s="115" t="s">
        <v>9338</v>
      </c>
      <c r="D1593" s="109" t="s">
        <v>10565</v>
      </c>
      <c r="E1593" s="106" t="s">
        <v>10566</v>
      </c>
      <c r="F1593" s="109" t="s">
        <v>9496</v>
      </c>
      <c r="G1593" s="115" t="s">
        <v>9324</v>
      </c>
      <c r="H1593" s="115" t="s">
        <v>9323</v>
      </c>
      <c r="I1593" s="109" t="s">
        <v>10569</v>
      </c>
      <c r="J1593" s="239" t="s">
        <v>10570</v>
      </c>
      <c r="K1593" s="109" t="s">
        <v>9440</v>
      </c>
      <c r="L1593" s="109" t="s">
        <v>9496</v>
      </c>
    </row>
    <row r="1594" spans="1:12" s="58" customFormat="1" ht="14.85" customHeight="1" x14ac:dyDescent="0.25">
      <c r="A1594" s="108" t="s">
        <v>9308</v>
      </c>
      <c r="B1594" s="115" t="s">
        <v>8939</v>
      </c>
      <c r="C1594" s="115" t="s">
        <v>9338</v>
      </c>
      <c r="D1594" s="109" t="s">
        <v>10565</v>
      </c>
      <c r="E1594" s="106" t="s">
        <v>10566</v>
      </c>
      <c r="F1594" s="109" t="s">
        <v>9496</v>
      </c>
      <c r="G1594" s="115" t="s">
        <v>9324</v>
      </c>
      <c r="H1594" s="115" t="s">
        <v>9323</v>
      </c>
      <c r="I1594" s="109" t="s">
        <v>10571</v>
      </c>
      <c r="J1594" s="239" t="s">
        <v>10572</v>
      </c>
      <c r="K1594" s="109" t="s">
        <v>9440</v>
      </c>
      <c r="L1594" s="109" t="s">
        <v>9496</v>
      </c>
    </row>
    <row r="1595" spans="1:12" s="58" customFormat="1" ht="14.85" customHeight="1" x14ac:dyDescent="0.25">
      <c r="A1595" s="108" t="s">
        <v>9308</v>
      </c>
      <c r="B1595" s="115" t="s">
        <v>8939</v>
      </c>
      <c r="C1595" s="115" t="s">
        <v>9338</v>
      </c>
      <c r="D1595" s="109" t="s">
        <v>10565</v>
      </c>
      <c r="E1595" s="106" t="s">
        <v>10566</v>
      </c>
      <c r="F1595" s="109" t="s">
        <v>9496</v>
      </c>
      <c r="G1595" s="115" t="s">
        <v>9324</v>
      </c>
      <c r="H1595" s="115" t="s">
        <v>9323</v>
      </c>
      <c r="I1595" s="109" t="s">
        <v>10573</v>
      </c>
      <c r="J1595" s="239" t="s">
        <v>10574</v>
      </c>
      <c r="K1595" s="109" t="s">
        <v>9440</v>
      </c>
      <c r="L1595" s="109" t="s">
        <v>9496</v>
      </c>
    </row>
    <row r="1596" spans="1:12" s="58" customFormat="1" ht="14.85" customHeight="1" x14ac:dyDescent="0.25">
      <c r="A1596" s="108" t="s">
        <v>9308</v>
      </c>
      <c r="B1596" s="115" t="s">
        <v>8939</v>
      </c>
      <c r="C1596" s="115" t="s">
        <v>9338</v>
      </c>
      <c r="D1596" s="109" t="s">
        <v>10565</v>
      </c>
      <c r="E1596" s="106" t="s">
        <v>10566</v>
      </c>
      <c r="F1596" s="109" t="s">
        <v>9496</v>
      </c>
      <c r="G1596" s="115" t="s">
        <v>9324</v>
      </c>
      <c r="H1596" s="115" t="s">
        <v>9323</v>
      </c>
      <c r="I1596" s="109" t="s">
        <v>10575</v>
      </c>
      <c r="J1596" s="239" t="s">
        <v>10576</v>
      </c>
      <c r="K1596" s="109" t="s">
        <v>9440</v>
      </c>
      <c r="L1596" s="109" t="s">
        <v>9496</v>
      </c>
    </row>
    <row r="1597" spans="1:12" s="58" customFormat="1" ht="14.85" customHeight="1" x14ac:dyDescent="0.25">
      <c r="A1597" s="108" t="s">
        <v>9308</v>
      </c>
      <c r="B1597" s="115" t="s">
        <v>8939</v>
      </c>
      <c r="C1597" s="115" t="s">
        <v>9338</v>
      </c>
      <c r="D1597" s="109" t="s">
        <v>10565</v>
      </c>
      <c r="E1597" s="106" t="s">
        <v>10566</v>
      </c>
      <c r="F1597" s="109" t="s">
        <v>9496</v>
      </c>
      <c r="G1597" s="115" t="s">
        <v>9324</v>
      </c>
      <c r="H1597" s="115" t="s">
        <v>9323</v>
      </c>
      <c r="I1597" s="109" t="s">
        <v>10577</v>
      </c>
      <c r="J1597" s="239" t="s">
        <v>10578</v>
      </c>
      <c r="K1597" s="109" t="s">
        <v>9440</v>
      </c>
      <c r="L1597" s="109" t="s">
        <v>9496</v>
      </c>
    </row>
    <row r="1598" spans="1:12" s="58" customFormat="1" ht="14.85" customHeight="1" x14ac:dyDescent="0.25">
      <c r="A1598" s="108" t="s">
        <v>9308</v>
      </c>
      <c r="B1598" s="115" t="s">
        <v>8939</v>
      </c>
      <c r="C1598" s="115" t="s">
        <v>9338</v>
      </c>
      <c r="D1598" s="109" t="s">
        <v>10565</v>
      </c>
      <c r="E1598" s="106" t="s">
        <v>10566</v>
      </c>
      <c r="F1598" s="109" t="s">
        <v>9496</v>
      </c>
      <c r="G1598" s="115" t="s">
        <v>9324</v>
      </c>
      <c r="H1598" s="115" t="s">
        <v>9323</v>
      </c>
      <c r="I1598" s="109" t="s">
        <v>10579</v>
      </c>
      <c r="J1598" s="239" t="s">
        <v>10580</v>
      </c>
      <c r="K1598" s="109" t="s">
        <v>9440</v>
      </c>
      <c r="L1598" s="109" t="s">
        <v>9496</v>
      </c>
    </row>
    <row r="1599" spans="1:12" s="58" customFormat="1" ht="14.85" customHeight="1" x14ac:dyDescent="0.25">
      <c r="A1599" s="108" t="s">
        <v>9308</v>
      </c>
      <c r="B1599" s="115" t="s">
        <v>8939</v>
      </c>
      <c r="C1599" s="115" t="s">
        <v>9338</v>
      </c>
      <c r="D1599" s="109" t="s">
        <v>10565</v>
      </c>
      <c r="E1599" s="106" t="s">
        <v>10566</v>
      </c>
      <c r="F1599" s="109" t="s">
        <v>9496</v>
      </c>
      <c r="G1599" s="115" t="s">
        <v>9324</v>
      </c>
      <c r="H1599" s="115" t="s">
        <v>9323</v>
      </c>
      <c r="I1599" s="109" t="s">
        <v>10581</v>
      </c>
      <c r="J1599" s="239" t="s">
        <v>10582</v>
      </c>
      <c r="K1599" s="109" t="s">
        <v>9440</v>
      </c>
      <c r="L1599" s="109" t="s">
        <v>9496</v>
      </c>
    </row>
    <row r="1600" spans="1:12" s="58" customFormat="1" ht="14.85" customHeight="1" x14ac:dyDescent="0.25">
      <c r="A1600" s="108" t="s">
        <v>9308</v>
      </c>
      <c r="B1600" s="115" t="s">
        <v>8939</v>
      </c>
      <c r="C1600" s="115" t="s">
        <v>9338</v>
      </c>
      <c r="D1600" s="109" t="s">
        <v>10565</v>
      </c>
      <c r="E1600" s="106" t="s">
        <v>10566</v>
      </c>
      <c r="F1600" s="109" t="s">
        <v>9496</v>
      </c>
      <c r="G1600" s="115" t="s">
        <v>9324</v>
      </c>
      <c r="H1600" s="115" t="s">
        <v>9323</v>
      </c>
      <c r="I1600" s="109" t="s">
        <v>10583</v>
      </c>
      <c r="J1600" s="239" t="s">
        <v>10584</v>
      </c>
      <c r="K1600" s="109" t="s">
        <v>9440</v>
      </c>
      <c r="L1600" s="109" t="s">
        <v>9496</v>
      </c>
    </row>
    <row r="1601" spans="1:12" s="58" customFormat="1" ht="14.85" customHeight="1" x14ac:dyDescent="0.25">
      <c r="A1601" s="108" t="s">
        <v>9308</v>
      </c>
      <c r="B1601" s="115" t="s">
        <v>8939</v>
      </c>
      <c r="C1601" s="115" t="s">
        <v>9338</v>
      </c>
      <c r="D1601" s="109" t="s">
        <v>10565</v>
      </c>
      <c r="E1601" s="106" t="s">
        <v>10566</v>
      </c>
      <c r="F1601" s="109" t="s">
        <v>9496</v>
      </c>
      <c r="G1601" s="115" t="s">
        <v>9324</v>
      </c>
      <c r="H1601" s="115" t="s">
        <v>9323</v>
      </c>
      <c r="I1601" s="109" t="s">
        <v>10585</v>
      </c>
      <c r="J1601" s="239" t="s">
        <v>10586</v>
      </c>
      <c r="K1601" s="109" t="s">
        <v>9440</v>
      </c>
      <c r="L1601" s="109" t="s">
        <v>9496</v>
      </c>
    </row>
    <row r="1602" spans="1:12" s="58" customFormat="1" ht="14.85" customHeight="1" x14ac:dyDescent="0.25">
      <c r="A1602" s="108" t="s">
        <v>9308</v>
      </c>
      <c r="B1602" s="115" t="s">
        <v>8939</v>
      </c>
      <c r="C1602" s="115" t="s">
        <v>9338</v>
      </c>
      <c r="D1602" s="109" t="s">
        <v>10565</v>
      </c>
      <c r="E1602" s="106" t="s">
        <v>10566</v>
      </c>
      <c r="F1602" s="109" t="s">
        <v>9496</v>
      </c>
      <c r="G1602" s="115" t="s">
        <v>9324</v>
      </c>
      <c r="H1602" s="115" t="s">
        <v>9323</v>
      </c>
      <c r="I1602" s="109" t="s">
        <v>10587</v>
      </c>
      <c r="J1602" s="239" t="s">
        <v>10588</v>
      </c>
      <c r="K1602" s="109" t="s">
        <v>9440</v>
      </c>
      <c r="L1602" s="109" t="s">
        <v>9496</v>
      </c>
    </row>
    <row r="1603" spans="1:12" s="58" customFormat="1" ht="14.85" customHeight="1" x14ac:dyDescent="0.25">
      <c r="A1603" s="108" t="s">
        <v>9308</v>
      </c>
      <c r="B1603" s="115" t="s">
        <v>8939</v>
      </c>
      <c r="C1603" s="115" t="s">
        <v>9338</v>
      </c>
      <c r="D1603" s="109" t="s">
        <v>10565</v>
      </c>
      <c r="E1603" s="106" t="s">
        <v>10566</v>
      </c>
      <c r="F1603" s="109" t="s">
        <v>9496</v>
      </c>
      <c r="G1603" s="115" t="s">
        <v>9324</v>
      </c>
      <c r="H1603" s="115" t="s">
        <v>9323</v>
      </c>
      <c r="I1603" s="109" t="s">
        <v>10589</v>
      </c>
      <c r="J1603" s="239" t="s">
        <v>10590</v>
      </c>
      <c r="K1603" s="109" t="s">
        <v>9440</v>
      </c>
      <c r="L1603" s="109" t="s">
        <v>9496</v>
      </c>
    </row>
    <row r="1604" spans="1:12" s="58" customFormat="1" ht="14.85" customHeight="1" x14ac:dyDescent="0.25">
      <c r="A1604" s="108" t="s">
        <v>9308</v>
      </c>
      <c r="B1604" s="115" t="s">
        <v>8939</v>
      </c>
      <c r="C1604" s="115" t="s">
        <v>9338</v>
      </c>
      <c r="D1604" s="109" t="s">
        <v>10565</v>
      </c>
      <c r="E1604" s="106" t="s">
        <v>10566</v>
      </c>
      <c r="F1604" s="109" t="s">
        <v>9496</v>
      </c>
      <c r="G1604" s="115" t="s">
        <v>9324</v>
      </c>
      <c r="H1604" s="115" t="s">
        <v>9323</v>
      </c>
      <c r="I1604" s="109" t="s">
        <v>10591</v>
      </c>
      <c r="J1604" s="239" t="s">
        <v>10592</v>
      </c>
      <c r="K1604" s="109" t="s">
        <v>9440</v>
      </c>
      <c r="L1604" s="109" t="s">
        <v>9496</v>
      </c>
    </row>
    <row r="1605" spans="1:12" s="58" customFormat="1" ht="14.85" customHeight="1" x14ac:dyDescent="0.25">
      <c r="A1605" s="108" t="s">
        <v>9308</v>
      </c>
      <c r="B1605" s="115" t="s">
        <v>8939</v>
      </c>
      <c r="C1605" s="115" t="s">
        <v>9338</v>
      </c>
      <c r="D1605" s="109" t="s">
        <v>10593</v>
      </c>
      <c r="E1605" s="106" t="s">
        <v>10594</v>
      </c>
      <c r="F1605" s="109" t="s">
        <v>9496</v>
      </c>
      <c r="G1605" s="115" t="s">
        <v>9324</v>
      </c>
      <c r="H1605" s="115" t="s">
        <v>9323</v>
      </c>
      <c r="I1605" s="109" t="s">
        <v>10567</v>
      </c>
      <c r="J1605" s="239" t="s">
        <v>10568</v>
      </c>
      <c r="K1605" s="109" t="s">
        <v>9440</v>
      </c>
      <c r="L1605" s="109" t="s">
        <v>9496</v>
      </c>
    </row>
    <row r="1606" spans="1:12" s="58" customFormat="1" ht="14.85" customHeight="1" x14ac:dyDescent="0.25">
      <c r="A1606" s="108" t="s">
        <v>9308</v>
      </c>
      <c r="B1606" s="115" t="s">
        <v>8939</v>
      </c>
      <c r="C1606" s="115" t="s">
        <v>9338</v>
      </c>
      <c r="D1606" s="109" t="s">
        <v>10593</v>
      </c>
      <c r="E1606" s="106" t="s">
        <v>10594</v>
      </c>
      <c r="F1606" s="109" t="s">
        <v>9496</v>
      </c>
      <c r="G1606" s="115" t="s">
        <v>9324</v>
      </c>
      <c r="H1606" s="115" t="s">
        <v>9323</v>
      </c>
      <c r="I1606" s="109" t="s">
        <v>10569</v>
      </c>
      <c r="J1606" s="239" t="s">
        <v>10570</v>
      </c>
      <c r="K1606" s="109" t="s">
        <v>9440</v>
      </c>
      <c r="L1606" s="109" t="s">
        <v>9496</v>
      </c>
    </row>
    <row r="1607" spans="1:12" s="58" customFormat="1" ht="14.85" customHeight="1" x14ac:dyDescent="0.25">
      <c r="A1607" s="108" t="s">
        <v>9308</v>
      </c>
      <c r="B1607" s="115" t="s">
        <v>8939</v>
      </c>
      <c r="C1607" s="115" t="s">
        <v>9338</v>
      </c>
      <c r="D1607" s="109" t="s">
        <v>10593</v>
      </c>
      <c r="E1607" s="106" t="s">
        <v>10594</v>
      </c>
      <c r="F1607" s="109" t="s">
        <v>9496</v>
      </c>
      <c r="G1607" s="115" t="s">
        <v>9324</v>
      </c>
      <c r="H1607" s="115" t="s">
        <v>9323</v>
      </c>
      <c r="I1607" s="109" t="s">
        <v>10571</v>
      </c>
      <c r="J1607" s="239" t="s">
        <v>10572</v>
      </c>
      <c r="K1607" s="109" t="s">
        <v>9440</v>
      </c>
      <c r="L1607" s="109" t="s">
        <v>9496</v>
      </c>
    </row>
    <row r="1608" spans="1:12" s="58" customFormat="1" ht="14.85" customHeight="1" x14ac:dyDescent="0.25">
      <c r="A1608" s="108" t="s">
        <v>9308</v>
      </c>
      <c r="B1608" s="115" t="s">
        <v>8939</v>
      </c>
      <c r="C1608" s="115" t="s">
        <v>9338</v>
      </c>
      <c r="D1608" s="109" t="s">
        <v>10593</v>
      </c>
      <c r="E1608" s="106" t="s">
        <v>10594</v>
      </c>
      <c r="F1608" s="109" t="s">
        <v>9496</v>
      </c>
      <c r="G1608" s="115" t="s">
        <v>9324</v>
      </c>
      <c r="H1608" s="115" t="s">
        <v>9323</v>
      </c>
      <c r="I1608" s="109" t="s">
        <v>10573</v>
      </c>
      <c r="J1608" s="239" t="s">
        <v>10574</v>
      </c>
      <c r="K1608" s="109" t="s">
        <v>9440</v>
      </c>
      <c r="L1608" s="109" t="s">
        <v>9496</v>
      </c>
    </row>
    <row r="1609" spans="1:12" s="58" customFormat="1" ht="14.85" customHeight="1" x14ac:dyDescent="0.25">
      <c r="A1609" s="108" t="s">
        <v>9308</v>
      </c>
      <c r="B1609" s="115" t="s">
        <v>8939</v>
      </c>
      <c r="C1609" s="115" t="s">
        <v>9338</v>
      </c>
      <c r="D1609" s="109" t="s">
        <v>10593</v>
      </c>
      <c r="E1609" s="106" t="s">
        <v>10594</v>
      </c>
      <c r="F1609" s="109" t="s">
        <v>9496</v>
      </c>
      <c r="G1609" s="115" t="s">
        <v>9324</v>
      </c>
      <c r="H1609" s="115" t="s">
        <v>9323</v>
      </c>
      <c r="I1609" s="109" t="s">
        <v>10577</v>
      </c>
      <c r="J1609" s="239" t="s">
        <v>10578</v>
      </c>
      <c r="K1609" s="109" t="s">
        <v>9440</v>
      </c>
      <c r="L1609" s="109" t="s">
        <v>9496</v>
      </c>
    </row>
    <row r="1610" spans="1:12" s="58" customFormat="1" ht="14.85" customHeight="1" x14ac:dyDescent="0.25">
      <c r="A1610" s="108" t="s">
        <v>9308</v>
      </c>
      <c r="B1610" s="115" t="s">
        <v>8939</v>
      </c>
      <c r="C1610" s="115" t="s">
        <v>9338</v>
      </c>
      <c r="D1610" s="109" t="s">
        <v>10593</v>
      </c>
      <c r="E1610" s="106" t="s">
        <v>10594</v>
      </c>
      <c r="F1610" s="109" t="s">
        <v>9496</v>
      </c>
      <c r="G1610" s="115" t="s">
        <v>9324</v>
      </c>
      <c r="H1610" s="115" t="s">
        <v>9323</v>
      </c>
      <c r="I1610" s="109" t="s">
        <v>10579</v>
      </c>
      <c r="J1610" s="239" t="s">
        <v>10580</v>
      </c>
      <c r="K1610" s="109" t="s">
        <v>9440</v>
      </c>
      <c r="L1610" s="109" t="s">
        <v>9496</v>
      </c>
    </row>
    <row r="1611" spans="1:12" s="58" customFormat="1" ht="14.85" customHeight="1" x14ac:dyDescent="0.25">
      <c r="A1611" s="108" t="s">
        <v>9308</v>
      </c>
      <c r="B1611" s="115" t="s">
        <v>8939</v>
      </c>
      <c r="C1611" s="115" t="s">
        <v>9338</v>
      </c>
      <c r="D1611" s="109" t="s">
        <v>10593</v>
      </c>
      <c r="E1611" s="106" t="s">
        <v>10594</v>
      </c>
      <c r="F1611" s="109" t="s">
        <v>9496</v>
      </c>
      <c r="G1611" s="115" t="s">
        <v>9324</v>
      </c>
      <c r="H1611" s="115" t="s">
        <v>9323</v>
      </c>
      <c r="I1611" s="109" t="s">
        <v>10581</v>
      </c>
      <c r="J1611" s="239" t="s">
        <v>10582</v>
      </c>
      <c r="K1611" s="109" t="s">
        <v>9440</v>
      </c>
      <c r="L1611" s="109" t="s">
        <v>9496</v>
      </c>
    </row>
    <row r="1612" spans="1:12" s="58" customFormat="1" ht="14.85" customHeight="1" x14ac:dyDescent="0.25">
      <c r="A1612" s="108" t="s">
        <v>9308</v>
      </c>
      <c r="B1612" s="115" t="s">
        <v>8939</v>
      </c>
      <c r="C1612" s="115" t="s">
        <v>9338</v>
      </c>
      <c r="D1612" s="109" t="s">
        <v>10593</v>
      </c>
      <c r="E1612" s="106" t="s">
        <v>10594</v>
      </c>
      <c r="F1612" s="109" t="s">
        <v>9496</v>
      </c>
      <c r="G1612" s="115" t="s">
        <v>9324</v>
      </c>
      <c r="H1612" s="115" t="s">
        <v>9323</v>
      </c>
      <c r="I1612" s="109" t="s">
        <v>10583</v>
      </c>
      <c r="J1612" s="239" t="s">
        <v>10584</v>
      </c>
      <c r="K1612" s="109" t="s">
        <v>9440</v>
      </c>
      <c r="L1612" s="109" t="s">
        <v>9496</v>
      </c>
    </row>
    <row r="1613" spans="1:12" s="58" customFormat="1" ht="14.85" customHeight="1" x14ac:dyDescent="0.25">
      <c r="A1613" s="108" t="s">
        <v>9308</v>
      </c>
      <c r="B1613" s="115" t="s">
        <v>8939</v>
      </c>
      <c r="C1613" s="115" t="s">
        <v>9338</v>
      </c>
      <c r="D1613" s="109" t="s">
        <v>10593</v>
      </c>
      <c r="E1613" s="106" t="s">
        <v>10594</v>
      </c>
      <c r="F1613" s="109" t="s">
        <v>9496</v>
      </c>
      <c r="G1613" s="115" t="s">
        <v>9324</v>
      </c>
      <c r="H1613" s="115" t="s">
        <v>9323</v>
      </c>
      <c r="I1613" s="109" t="s">
        <v>10585</v>
      </c>
      <c r="J1613" s="239" t="s">
        <v>10586</v>
      </c>
      <c r="K1613" s="109" t="s">
        <v>9440</v>
      </c>
      <c r="L1613" s="109" t="s">
        <v>9496</v>
      </c>
    </row>
    <row r="1614" spans="1:12" s="58" customFormat="1" ht="14.85" customHeight="1" x14ac:dyDescent="0.25">
      <c r="A1614" s="108" t="s">
        <v>9308</v>
      </c>
      <c r="B1614" s="115" t="s">
        <v>8939</v>
      </c>
      <c r="C1614" s="115" t="s">
        <v>9338</v>
      </c>
      <c r="D1614" s="109" t="s">
        <v>10593</v>
      </c>
      <c r="E1614" s="106" t="s">
        <v>10594</v>
      </c>
      <c r="F1614" s="109" t="s">
        <v>9496</v>
      </c>
      <c r="G1614" s="115" t="s">
        <v>9324</v>
      </c>
      <c r="H1614" s="115" t="s">
        <v>9323</v>
      </c>
      <c r="I1614" s="109" t="s">
        <v>10587</v>
      </c>
      <c r="J1614" s="239" t="s">
        <v>10588</v>
      </c>
      <c r="K1614" s="109" t="s">
        <v>9440</v>
      </c>
      <c r="L1614" s="109" t="s">
        <v>9496</v>
      </c>
    </row>
    <row r="1615" spans="1:12" s="58" customFormat="1" ht="14.85" customHeight="1" x14ac:dyDescent="0.25">
      <c r="A1615" s="108" t="s">
        <v>9308</v>
      </c>
      <c r="B1615" s="115" t="s">
        <v>8939</v>
      </c>
      <c r="C1615" s="115" t="s">
        <v>9338</v>
      </c>
      <c r="D1615" s="109" t="s">
        <v>10593</v>
      </c>
      <c r="E1615" s="106" t="s">
        <v>10594</v>
      </c>
      <c r="F1615" s="109" t="s">
        <v>9496</v>
      </c>
      <c r="G1615" s="115" t="s">
        <v>9324</v>
      </c>
      <c r="H1615" s="115" t="s">
        <v>9323</v>
      </c>
      <c r="I1615" s="109" t="s">
        <v>10589</v>
      </c>
      <c r="J1615" s="239" t="s">
        <v>10590</v>
      </c>
      <c r="K1615" s="109" t="s">
        <v>9440</v>
      </c>
      <c r="L1615" s="109" t="s">
        <v>9496</v>
      </c>
    </row>
    <row r="1616" spans="1:12" s="58" customFormat="1" ht="14.85" customHeight="1" x14ac:dyDescent="0.25">
      <c r="A1616" s="108" t="s">
        <v>9308</v>
      </c>
      <c r="B1616" s="115" t="s">
        <v>8939</v>
      </c>
      <c r="C1616" s="115" t="s">
        <v>9338</v>
      </c>
      <c r="D1616" s="109" t="s">
        <v>10593</v>
      </c>
      <c r="E1616" s="106" t="s">
        <v>10594</v>
      </c>
      <c r="F1616" s="109" t="s">
        <v>9496</v>
      </c>
      <c r="G1616" s="115" t="s">
        <v>9324</v>
      </c>
      <c r="H1616" s="115" t="s">
        <v>9323</v>
      </c>
      <c r="I1616" s="109" t="s">
        <v>10591</v>
      </c>
      <c r="J1616" s="239" t="s">
        <v>10592</v>
      </c>
      <c r="K1616" s="109" t="s">
        <v>9440</v>
      </c>
      <c r="L1616" s="109" t="s">
        <v>9496</v>
      </c>
    </row>
    <row r="1617" spans="1:12" s="58" customFormat="1" ht="14.85" customHeight="1" x14ac:dyDescent="0.25">
      <c r="A1617" s="108" t="s">
        <v>9308</v>
      </c>
      <c r="B1617" s="115" t="s">
        <v>8939</v>
      </c>
      <c r="C1617" s="115" t="s">
        <v>9338</v>
      </c>
      <c r="D1617" s="109" t="s">
        <v>10595</v>
      </c>
      <c r="E1617" s="106" t="s">
        <v>10596</v>
      </c>
      <c r="F1617" s="109" t="s">
        <v>9496</v>
      </c>
      <c r="G1617" s="115" t="s">
        <v>9324</v>
      </c>
      <c r="H1617" s="115" t="s">
        <v>9323</v>
      </c>
      <c r="I1617" s="109" t="s">
        <v>10567</v>
      </c>
      <c r="J1617" s="239" t="s">
        <v>10568</v>
      </c>
      <c r="K1617" s="109" t="s">
        <v>9440</v>
      </c>
      <c r="L1617" s="109" t="s">
        <v>9496</v>
      </c>
    </row>
    <row r="1618" spans="1:12" s="58" customFormat="1" ht="14.85" customHeight="1" x14ac:dyDescent="0.25">
      <c r="A1618" s="108" t="s">
        <v>9308</v>
      </c>
      <c r="B1618" s="115" t="s">
        <v>8939</v>
      </c>
      <c r="C1618" s="115" t="s">
        <v>9338</v>
      </c>
      <c r="D1618" s="109" t="s">
        <v>10595</v>
      </c>
      <c r="E1618" s="106" t="s">
        <v>10596</v>
      </c>
      <c r="F1618" s="109" t="s">
        <v>9496</v>
      </c>
      <c r="G1618" s="115" t="s">
        <v>9324</v>
      </c>
      <c r="H1618" s="115" t="s">
        <v>9323</v>
      </c>
      <c r="I1618" s="109" t="s">
        <v>10569</v>
      </c>
      <c r="J1618" s="239" t="s">
        <v>10570</v>
      </c>
      <c r="K1618" s="109" t="s">
        <v>9440</v>
      </c>
      <c r="L1618" s="109" t="s">
        <v>9496</v>
      </c>
    </row>
    <row r="1619" spans="1:12" s="58" customFormat="1" ht="14.85" customHeight="1" x14ac:dyDescent="0.25">
      <c r="A1619" s="108" t="s">
        <v>9308</v>
      </c>
      <c r="B1619" s="115" t="s">
        <v>8939</v>
      </c>
      <c r="C1619" s="115" t="s">
        <v>9338</v>
      </c>
      <c r="D1619" s="109" t="s">
        <v>10595</v>
      </c>
      <c r="E1619" s="106" t="s">
        <v>10596</v>
      </c>
      <c r="F1619" s="109" t="s">
        <v>9496</v>
      </c>
      <c r="G1619" s="115" t="s">
        <v>9324</v>
      </c>
      <c r="H1619" s="115" t="s">
        <v>9323</v>
      </c>
      <c r="I1619" s="109" t="s">
        <v>10571</v>
      </c>
      <c r="J1619" s="239" t="s">
        <v>10572</v>
      </c>
      <c r="K1619" s="109" t="s">
        <v>9440</v>
      </c>
      <c r="L1619" s="109" t="s">
        <v>9496</v>
      </c>
    </row>
    <row r="1620" spans="1:12" s="58" customFormat="1" ht="14.85" customHeight="1" x14ac:dyDescent="0.25">
      <c r="A1620" s="108" t="s">
        <v>9308</v>
      </c>
      <c r="B1620" s="115" t="s">
        <v>8939</v>
      </c>
      <c r="C1620" s="115" t="s">
        <v>9338</v>
      </c>
      <c r="D1620" s="109" t="s">
        <v>10595</v>
      </c>
      <c r="E1620" s="106" t="s">
        <v>10596</v>
      </c>
      <c r="F1620" s="109" t="s">
        <v>9496</v>
      </c>
      <c r="G1620" s="115" t="s">
        <v>9324</v>
      </c>
      <c r="H1620" s="115" t="s">
        <v>9323</v>
      </c>
      <c r="I1620" s="109" t="s">
        <v>10573</v>
      </c>
      <c r="J1620" s="239" t="s">
        <v>10574</v>
      </c>
      <c r="K1620" s="109" t="s">
        <v>9440</v>
      </c>
      <c r="L1620" s="109" t="s">
        <v>9496</v>
      </c>
    </row>
    <row r="1621" spans="1:12" s="58" customFormat="1" ht="14.85" customHeight="1" x14ac:dyDescent="0.25">
      <c r="A1621" s="108" t="s">
        <v>9308</v>
      </c>
      <c r="B1621" s="115" t="s">
        <v>8939</v>
      </c>
      <c r="C1621" s="115" t="s">
        <v>9338</v>
      </c>
      <c r="D1621" s="109" t="s">
        <v>10595</v>
      </c>
      <c r="E1621" s="106" t="s">
        <v>10596</v>
      </c>
      <c r="F1621" s="109" t="s">
        <v>9496</v>
      </c>
      <c r="G1621" s="115" t="s">
        <v>9324</v>
      </c>
      <c r="H1621" s="115" t="s">
        <v>9323</v>
      </c>
      <c r="I1621" s="109" t="s">
        <v>10597</v>
      </c>
      <c r="J1621" s="239" t="s">
        <v>10598</v>
      </c>
      <c r="K1621" s="109" t="s">
        <v>9440</v>
      </c>
      <c r="L1621" s="109" t="s">
        <v>9496</v>
      </c>
    </row>
    <row r="1622" spans="1:12" s="58" customFormat="1" ht="14.85" customHeight="1" x14ac:dyDescent="0.25">
      <c r="A1622" s="108" t="s">
        <v>9308</v>
      </c>
      <c r="B1622" s="115" t="s">
        <v>8939</v>
      </c>
      <c r="C1622" s="115" t="s">
        <v>9338</v>
      </c>
      <c r="D1622" s="109" t="s">
        <v>10595</v>
      </c>
      <c r="E1622" s="106" t="s">
        <v>10596</v>
      </c>
      <c r="F1622" s="109" t="s">
        <v>9496</v>
      </c>
      <c r="G1622" s="115" t="s">
        <v>9324</v>
      </c>
      <c r="H1622" s="115" t="s">
        <v>9323</v>
      </c>
      <c r="I1622" s="109" t="s">
        <v>10599</v>
      </c>
      <c r="J1622" s="239" t="s">
        <v>10600</v>
      </c>
      <c r="K1622" s="109" t="s">
        <v>9440</v>
      </c>
      <c r="L1622" s="109" t="s">
        <v>9496</v>
      </c>
    </row>
    <row r="1623" spans="1:12" s="58" customFormat="1" ht="14.85" customHeight="1" x14ac:dyDescent="0.25">
      <c r="A1623" s="108" t="s">
        <v>9308</v>
      </c>
      <c r="B1623" s="115" t="s">
        <v>8939</v>
      </c>
      <c r="C1623" s="115" t="s">
        <v>9338</v>
      </c>
      <c r="D1623" s="109" t="s">
        <v>10595</v>
      </c>
      <c r="E1623" s="106" t="s">
        <v>10596</v>
      </c>
      <c r="F1623" s="109" t="s">
        <v>9496</v>
      </c>
      <c r="G1623" s="115" t="s">
        <v>9324</v>
      </c>
      <c r="H1623" s="115" t="s">
        <v>9323</v>
      </c>
      <c r="I1623" s="109" t="s">
        <v>10575</v>
      </c>
      <c r="J1623" s="239" t="s">
        <v>10576</v>
      </c>
      <c r="K1623" s="109" t="s">
        <v>9440</v>
      </c>
      <c r="L1623" s="109" t="s">
        <v>9496</v>
      </c>
    </row>
    <row r="1624" spans="1:12" s="58" customFormat="1" ht="14.85" customHeight="1" x14ac:dyDescent="0.25">
      <c r="A1624" s="108" t="s">
        <v>9308</v>
      </c>
      <c r="B1624" s="115" t="s">
        <v>8939</v>
      </c>
      <c r="C1624" s="115" t="s">
        <v>9338</v>
      </c>
      <c r="D1624" s="109" t="s">
        <v>10595</v>
      </c>
      <c r="E1624" s="106" t="s">
        <v>10596</v>
      </c>
      <c r="F1624" s="109" t="s">
        <v>9496</v>
      </c>
      <c r="G1624" s="115" t="s">
        <v>9324</v>
      </c>
      <c r="H1624" s="115" t="s">
        <v>9323</v>
      </c>
      <c r="I1624" s="109" t="s">
        <v>10577</v>
      </c>
      <c r="J1624" s="239" t="s">
        <v>10578</v>
      </c>
      <c r="K1624" s="109" t="s">
        <v>9440</v>
      </c>
      <c r="L1624" s="109" t="s">
        <v>9496</v>
      </c>
    </row>
    <row r="1625" spans="1:12" s="58" customFormat="1" ht="14.85" customHeight="1" x14ac:dyDescent="0.25">
      <c r="A1625" s="108" t="s">
        <v>9308</v>
      </c>
      <c r="B1625" s="115" t="s">
        <v>8939</v>
      </c>
      <c r="C1625" s="115" t="s">
        <v>9338</v>
      </c>
      <c r="D1625" s="109" t="s">
        <v>10595</v>
      </c>
      <c r="E1625" s="106" t="s">
        <v>10596</v>
      </c>
      <c r="F1625" s="109" t="s">
        <v>9496</v>
      </c>
      <c r="G1625" s="115" t="s">
        <v>9324</v>
      </c>
      <c r="H1625" s="115" t="s">
        <v>9323</v>
      </c>
      <c r="I1625" s="109" t="s">
        <v>10601</v>
      </c>
      <c r="J1625" s="239" t="s">
        <v>10602</v>
      </c>
      <c r="K1625" s="109" t="s">
        <v>9440</v>
      </c>
      <c r="L1625" s="109" t="s">
        <v>9496</v>
      </c>
    </row>
    <row r="1626" spans="1:12" s="58" customFormat="1" ht="14.85" customHeight="1" x14ac:dyDescent="0.25">
      <c r="A1626" s="108" t="s">
        <v>9308</v>
      </c>
      <c r="B1626" s="115" t="s">
        <v>8939</v>
      </c>
      <c r="C1626" s="115" t="s">
        <v>9338</v>
      </c>
      <c r="D1626" s="109" t="s">
        <v>10595</v>
      </c>
      <c r="E1626" s="106" t="s">
        <v>10596</v>
      </c>
      <c r="F1626" s="109" t="s">
        <v>9496</v>
      </c>
      <c r="G1626" s="115" t="s">
        <v>9324</v>
      </c>
      <c r="H1626" s="115" t="s">
        <v>9323</v>
      </c>
      <c r="I1626" s="109" t="s">
        <v>10603</v>
      </c>
      <c r="J1626" s="239" t="s">
        <v>10604</v>
      </c>
      <c r="K1626" s="109" t="s">
        <v>9440</v>
      </c>
      <c r="L1626" s="109" t="s">
        <v>9496</v>
      </c>
    </row>
    <row r="1627" spans="1:12" s="58" customFormat="1" ht="14.85" customHeight="1" x14ac:dyDescent="0.25">
      <c r="A1627" s="108" t="s">
        <v>9308</v>
      </c>
      <c r="B1627" s="115" t="s">
        <v>8939</v>
      </c>
      <c r="C1627" s="115" t="s">
        <v>9338</v>
      </c>
      <c r="D1627" s="109" t="s">
        <v>10595</v>
      </c>
      <c r="E1627" s="106" t="s">
        <v>10596</v>
      </c>
      <c r="F1627" s="109" t="s">
        <v>9496</v>
      </c>
      <c r="G1627" s="115" t="s">
        <v>9324</v>
      </c>
      <c r="H1627" s="115" t="s">
        <v>9323</v>
      </c>
      <c r="I1627" s="109" t="s">
        <v>10579</v>
      </c>
      <c r="J1627" s="239" t="s">
        <v>10580</v>
      </c>
      <c r="K1627" s="109" t="s">
        <v>9440</v>
      </c>
      <c r="L1627" s="109" t="s">
        <v>9496</v>
      </c>
    </row>
    <row r="1628" spans="1:12" s="58" customFormat="1" ht="14.85" customHeight="1" x14ac:dyDescent="0.25">
      <c r="A1628" s="108" t="s">
        <v>9308</v>
      </c>
      <c r="B1628" s="115" t="s">
        <v>8939</v>
      </c>
      <c r="C1628" s="115" t="s">
        <v>9338</v>
      </c>
      <c r="D1628" s="109" t="s">
        <v>10595</v>
      </c>
      <c r="E1628" s="106" t="s">
        <v>10596</v>
      </c>
      <c r="F1628" s="109" t="s">
        <v>9496</v>
      </c>
      <c r="G1628" s="115" t="s">
        <v>9324</v>
      </c>
      <c r="H1628" s="115" t="s">
        <v>9323</v>
      </c>
      <c r="I1628" s="109" t="s">
        <v>10581</v>
      </c>
      <c r="J1628" s="239" t="s">
        <v>10582</v>
      </c>
      <c r="K1628" s="109" t="s">
        <v>9440</v>
      </c>
      <c r="L1628" s="109" t="s">
        <v>9496</v>
      </c>
    </row>
    <row r="1629" spans="1:12" s="58" customFormat="1" ht="14.85" customHeight="1" x14ac:dyDescent="0.25">
      <c r="A1629" s="108" t="s">
        <v>9308</v>
      </c>
      <c r="B1629" s="115" t="s">
        <v>8939</v>
      </c>
      <c r="C1629" s="115" t="s">
        <v>9338</v>
      </c>
      <c r="D1629" s="109" t="s">
        <v>10595</v>
      </c>
      <c r="E1629" s="106" t="s">
        <v>10596</v>
      </c>
      <c r="F1629" s="109" t="s">
        <v>9496</v>
      </c>
      <c r="G1629" s="115" t="s">
        <v>9324</v>
      </c>
      <c r="H1629" s="115" t="s">
        <v>9323</v>
      </c>
      <c r="I1629" s="109" t="s">
        <v>10583</v>
      </c>
      <c r="J1629" s="239" t="s">
        <v>10584</v>
      </c>
      <c r="K1629" s="109" t="s">
        <v>9440</v>
      </c>
      <c r="L1629" s="109" t="s">
        <v>9496</v>
      </c>
    </row>
    <row r="1630" spans="1:12" s="58" customFormat="1" ht="14.85" customHeight="1" x14ac:dyDescent="0.25">
      <c r="A1630" s="108" t="s">
        <v>9308</v>
      </c>
      <c r="B1630" s="115" t="s">
        <v>8939</v>
      </c>
      <c r="C1630" s="115" t="s">
        <v>9338</v>
      </c>
      <c r="D1630" s="109" t="s">
        <v>10595</v>
      </c>
      <c r="E1630" s="106" t="s">
        <v>10596</v>
      </c>
      <c r="F1630" s="109" t="s">
        <v>9496</v>
      </c>
      <c r="G1630" s="115" t="s">
        <v>9324</v>
      </c>
      <c r="H1630" s="115" t="s">
        <v>9323</v>
      </c>
      <c r="I1630" s="109" t="s">
        <v>10585</v>
      </c>
      <c r="J1630" s="239" t="s">
        <v>10586</v>
      </c>
      <c r="K1630" s="109" t="s">
        <v>9440</v>
      </c>
      <c r="L1630" s="109" t="s">
        <v>9496</v>
      </c>
    </row>
    <row r="1631" spans="1:12" s="58" customFormat="1" ht="14.85" customHeight="1" x14ac:dyDescent="0.25">
      <c r="A1631" s="108" t="s">
        <v>9308</v>
      </c>
      <c r="B1631" s="115" t="s">
        <v>8939</v>
      </c>
      <c r="C1631" s="115" t="s">
        <v>9338</v>
      </c>
      <c r="D1631" s="109" t="s">
        <v>10595</v>
      </c>
      <c r="E1631" s="106" t="s">
        <v>10596</v>
      </c>
      <c r="F1631" s="109" t="s">
        <v>9496</v>
      </c>
      <c r="G1631" s="115" t="s">
        <v>9324</v>
      </c>
      <c r="H1631" s="115" t="s">
        <v>9323</v>
      </c>
      <c r="I1631" s="109" t="s">
        <v>10587</v>
      </c>
      <c r="J1631" s="239" t="s">
        <v>10588</v>
      </c>
      <c r="K1631" s="109" t="s">
        <v>9440</v>
      </c>
      <c r="L1631" s="109" t="s">
        <v>9496</v>
      </c>
    </row>
    <row r="1632" spans="1:12" s="58" customFormat="1" ht="14.85" customHeight="1" x14ac:dyDescent="0.25">
      <c r="A1632" s="108" t="s">
        <v>9308</v>
      </c>
      <c r="B1632" s="115" t="s">
        <v>8939</v>
      </c>
      <c r="C1632" s="115" t="s">
        <v>9338</v>
      </c>
      <c r="D1632" s="109" t="s">
        <v>10595</v>
      </c>
      <c r="E1632" s="106" t="s">
        <v>10596</v>
      </c>
      <c r="F1632" s="109" t="s">
        <v>9496</v>
      </c>
      <c r="G1632" s="115" t="s">
        <v>9324</v>
      </c>
      <c r="H1632" s="115" t="s">
        <v>9323</v>
      </c>
      <c r="I1632" s="109" t="s">
        <v>10589</v>
      </c>
      <c r="J1632" s="239" t="s">
        <v>10590</v>
      </c>
      <c r="K1632" s="109" t="s">
        <v>9440</v>
      </c>
      <c r="L1632" s="109" t="s">
        <v>9496</v>
      </c>
    </row>
    <row r="1633" spans="1:12" s="58" customFormat="1" ht="14.85" customHeight="1" x14ac:dyDescent="0.25">
      <c r="A1633" s="108" t="s">
        <v>9308</v>
      </c>
      <c r="B1633" s="115" t="s">
        <v>8939</v>
      </c>
      <c r="C1633" s="115" t="s">
        <v>9338</v>
      </c>
      <c r="D1633" s="109" t="s">
        <v>10595</v>
      </c>
      <c r="E1633" s="106" t="s">
        <v>10596</v>
      </c>
      <c r="F1633" s="109" t="s">
        <v>9496</v>
      </c>
      <c r="G1633" s="115" t="s">
        <v>9324</v>
      </c>
      <c r="H1633" s="115" t="s">
        <v>9323</v>
      </c>
      <c r="I1633" s="109" t="s">
        <v>10591</v>
      </c>
      <c r="J1633" s="239" t="s">
        <v>10592</v>
      </c>
      <c r="K1633" s="109" t="s">
        <v>9440</v>
      </c>
      <c r="L1633" s="109" t="s">
        <v>9496</v>
      </c>
    </row>
    <row r="1634" spans="1:12" s="58" customFormat="1" ht="14.85" customHeight="1" x14ac:dyDescent="0.25">
      <c r="A1634" s="108" t="s">
        <v>9308</v>
      </c>
      <c r="B1634" s="115" t="s">
        <v>8939</v>
      </c>
      <c r="C1634" s="115" t="s">
        <v>9338</v>
      </c>
      <c r="D1634" s="109" t="s">
        <v>10605</v>
      </c>
      <c r="E1634" s="106" t="s">
        <v>10606</v>
      </c>
      <c r="F1634" s="109" t="s">
        <v>9496</v>
      </c>
      <c r="G1634" s="115" t="s">
        <v>9324</v>
      </c>
      <c r="H1634" s="115" t="s">
        <v>9323</v>
      </c>
      <c r="I1634" s="109" t="s">
        <v>10567</v>
      </c>
      <c r="J1634" s="239" t="s">
        <v>10568</v>
      </c>
      <c r="K1634" s="109" t="s">
        <v>9440</v>
      </c>
      <c r="L1634" s="109" t="s">
        <v>9496</v>
      </c>
    </row>
    <row r="1635" spans="1:12" s="58" customFormat="1" ht="14.85" customHeight="1" x14ac:dyDescent="0.25">
      <c r="A1635" s="108" t="s">
        <v>9308</v>
      </c>
      <c r="B1635" s="115" t="s">
        <v>8939</v>
      </c>
      <c r="C1635" s="115" t="s">
        <v>9338</v>
      </c>
      <c r="D1635" s="109" t="s">
        <v>10605</v>
      </c>
      <c r="E1635" s="106" t="s">
        <v>10606</v>
      </c>
      <c r="F1635" s="109" t="s">
        <v>9496</v>
      </c>
      <c r="G1635" s="115" t="s">
        <v>9324</v>
      </c>
      <c r="H1635" s="115" t="s">
        <v>9323</v>
      </c>
      <c r="I1635" s="109" t="s">
        <v>10569</v>
      </c>
      <c r="J1635" s="239" t="s">
        <v>10570</v>
      </c>
      <c r="K1635" s="109" t="s">
        <v>9440</v>
      </c>
      <c r="L1635" s="109" t="s">
        <v>9496</v>
      </c>
    </row>
    <row r="1636" spans="1:12" s="58" customFormat="1" ht="14.85" customHeight="1" x14ac:dyDescent="0.25">
      <c r="A1636" s="108" t="s">
        <v>9308</v>
      </c>
      <c r="B1636" s="115" t="s">
        <v>8939</v>
      </c>
      <c r="C1636" s="115" t="s">
        <v>9338</v>
      </c>
      <c r="D1636" s="109" t="s">
        <v>10605</v>
      </c>
      <c r="E1636" s="106" t="s">
        <v>10606</v>
      </c>
      <c r="F1636" s="109" t="s">
        <v>9496</v>
      </c>
      <c r="G1636" s="115" t="s">
        <v>9324</v>
      </c>
      <c r="H1636" s="115" t="s">
        <v>9323</v>
      </c>
      <c r="I1636" s="109" t="s">
        <v>10571</v>
      </c>
      <c r="J1636" s="239" t="s">
        <v>10572</v>
      </c>
      <c r="K1636" s="109" t="s">
        <v>9440</v>
      </c>
      <c r="L1636" s="109" t="s">
        <v>9496</v>
      </c>
    </row>
    <row r="1637" spans="1:12" s="58" customFormat="1" ht="14.85" customHeight="1" x14ac:dyDescent="0.25">
      <c r="A1637" s="108" t="s">
        <v>9308</v>
      </c>
      <c r="B1637" s="115" t="s">
        <v>8939</v>
      </c>
      <c r="C1637" s="115" t="s">
        <v>9338</v>
      </c>
      <c r="D1637" s="109" t="s">
        <v>10605</v>
      </c>
      <c r="E1637" s="106" t="s">
        <v>10606</v>
      </c>
      <c r="F1637" s="109" t="s">
        <v>9496</v>
      </c>
      <c r="G1637" s="115" t="s">
        <v>9324</v>
      </c>
      <c r="H1637" s="115" t="s">
        <v>9323</v>
      </c>
      <c r="I1637" s="109" t="s">
        <v>10573</v>
      </c>
      <c r="J1637" s="239" t="s">
        <v>10574</v>
      </c>
      <c r="K1637" s="109" t="s">
        <v>9440</v>
      </c>
      <c r="L1637" s="109" t="s">
        <v>9496</v>
      </c>
    </row>
    <row r="1638" spans="1:12" s="58" customFormat="1" ht="14.85" customHeight="1" x14ac:dyDescent="0.25">
      <c r="A1638" s="108" t="s">
        <v>9308</v>
      </c>
      <c r="B1638" s="115" t="s">
        <v>8939</v>
      </c>
      <c r="C1638" s="115" t="s">
        <v>9338</v>
      </c>
      <c r="D1638" s="109" t="s">
        <v>10605</v>
      </c>
      <c r="E1638" s="106" t="s">
        <v>10606</v>
      </c>
      <c r="F1638" s="109" t="s">
        <v>9496</v>
      </c>
      <c r="G1638" s="115" t="s">
        <v>9324</v>
      </c>
      <c r="H1638" s="115" t="s">
        <v>9323</v>
      </c>
      <c r="I1638" s="109" t="s">
        <v>10575</v>
      </c>
      <c r="J1638" s="239" t="s">
        <v>10576</v>
      </c>
      <c r="K1638" s="109" t="s">
        <v>9440</v>
      </c>
      <c r="L1638" s="109" t="s">
        <v>9496</v>
      </c>
    </row>
    <row r="1639" spans="1:12" s="58" customFormat="1" ht="14.85" customHeight="1" x14ac:dyDescent="0.25">
      <c r="A1639" s="108" t="s">
        <v>9308</v>
      </c>
      <c r="B1639" s="115" t="s">
        <v>8939</v>
      </c>
      <c r="C1639" s="115" t="s">
        <v>9338</v>
      </c>
      <c r="D1639" s="109" t="s">
        <v>10605</v>
      </c>
      <c r="E1639" s="106" t="s">
        <v>10606</v>
      </c>
      <c r="F1639" s="109" t="s">
        <v>9496</v>
      </c>
      <c r="G1639" s="115" t="s">
        <v>9324</v>
      </c>
      <c r="H1639" s="115" t="s">
        <v>9323</v>
      </c>
      <c r="I1639" s="109" t="s">
        <v>10577</v>
      </c>
      <c r="J1639" s="239" t="s">
        <v>10578</v>
      </c>
      <c r="K1639" s="109" t="s">
        <v>9440</v>
      </c>
      <c r="L1639" s="109" t="s">
        <v>9496</v>
      </c>
    </row>
    <row r="1640" spans="1:12" s="58" customFormat="1" ht="14.85" customHeight="1" x14ac:dyDescent="0.25">
      <c r="A1640" s="108" t="s">
        <v>9308</v>
      </c>
      <c r="B1640" s="115" t="s">
        <v>8939</v>
      </c>
      <c r="C1640" s="115" t="s">
        <v>9338</v>
      </c>
      <c r="D1640" s="109" t="s">
        <v>10605</v>
      </c>
      <c r="E1640" s="106" t="s">
        <v>10606</v>
      </c>
      <c r="F1640" s="109" t="s">
        <v>9496</v>
      </c>
      <c r="G1640" s="115" t="s">
        <v>9324</v>
      </c>
      <c r="H1640" s="115" t="s">
        <v>9323</v>
      </c>
      <c r="I1640" s="109" t="s">
        <v>10579</v>
      </c>
      <c r="J1640" s="239" t="s">
        <v>10580</v>
      </c>
      <c r="K1640" s="109" t="s">
        <v>9440</v>
      </c>
      <c r="L1640" s="109" t="s">
        <v>9496</v>
      </c>
    </row>
    <row r="1641" spans="1:12" s="58" customFormat="1" ht="14.85" customHeight="1" x14ac:dyDescent="0.25">
      <c r="A1641" s="108" t="s">
        <v>9308</v>
      </c>
      <c r="B1641" s="115" t="s">
        <v>8939</v>
      </c>
      <c r="C1641" s="115" t="s">
        <v>9338</v>
      </c>
      <c r="D1641" s="109" t="s">
        <v>10605</v>
      </c>
      <c r="E1641" s="106" t="s">
        <v>10606</v>
      </c>
      <c r="F1641" s="109" t="s">
        <v>9496</v>
      </c>
      <c r="G1641" s="115" t="s">
        <v>9324</v>
      </c>
      <c r="H1641" s="115" t="s">
        <v>9323</v>
      </c>
      <c r="I1641" s="109" t="s">
        <v>10583</v>
      </c>
      <c r="J1641" s="239" t="s">
        <v>10584</v>
      </c>
      <c r="K1641" s="109" t="s">
        <v>9440</v>
      </c>
      <c r="L1641" s="109" t="s">
        <v>9496</v>
      </c>
    </row>
    <row r="1642" spans="1:12" s="58" customFormat="1" ht="14.85" customHeight="1" x14ac:dyDescent="0.25">
      <c r="A1642" s="108" t="s">
        <v>9308</v>
      </c>
      <c r="B1642" s="115" t="s">
        <v>8939</v>
      </c>
      <c r="C1642" s="115" t="s">
        <v>9338</v>
      </c>
      <c r="D1642" s="109" t="s">
        <v>10605</v>
      </c>
      <c r="E1642" s="106" t="s">
        <v>10606</v>
      </c>
      <c r="F1642" s="109" t="s">
        <v>9496</v>
      </c>
      <c r="G1642" s="115" t="s">
        <v>9324</v>
      </c>
      <c r="H1642" s="115" t="s">
        <v>9323</v>
      </c>
      <c r="I1642" s="109" t="s">
        <v>10585</v>
      </c>
      <c r="J1642" s="239" t="s">
        <v>10586</v>
      </c>
      <c r="K1642" s="109" t="s">
        <v>9440</v>
      </c>
      <c r="L1642" s="109" t="s">
        <v>9496</v>
      </c>
    </row>
    <row r="1643" spans="1:12" s="58" customFormat="1" ht="14.85" customHeight="1" x14ac:dyDescent="0.25">
      <c r="A1643" s="108" t="s">
        <v>9308</v>
      </c>
      <c r="B1643" s="115" t="s">
        <v>8939</v>
      </c>
      <c r="C1643" s="115" t="s">
        <v>9338</v>
      </c>
      <c r="D1643" s="109" t="s">
        <v>10605</v>
      </c>
      <c r="E1643" s="106" t="s">
        <v>10606</v>
      </c>
      <c r="F1643" s="109" t="s">
        <v>9496</v>
      </c>
      <c r="G1643" s="115" t="s">
        <v>9324</v>
      </c>
      <c r="H1643" s="115" t="s">
        <v>9323</v>
      </c>
      <c r="I1643" s="109" t="s">
        <v>10587</v>
      </c>
      <c r="J1643" s="239" t="s">
        <v>10588</v>
      </c>
      <c r="K1643" s="109" t="s">
        <v>9440</v>
      </c>
      <c r="L1643" s="109" t="s">
        <v>9496</v>
      </c>
    </row>
    <row r="1644" spans="1:12" s="58" customFormat="1" ht="14.85" customHeight="1" x14ac:dyDescent="0.25">
      <c r="A1644" s="108" t="s">
        <v>9308</v>
      </c>
      <c r="B1644" s="115" t="s">
        <v>8939</v>
      </c>
      <c r="C1644" s="115" t="s">
        <v>9338</v>
      </c>
      <c r="D1644" s="109" t="s">
        <v>10605</v>
      </c>
      <c r="E1644" s="106" t="s">
        <v>10606</v>
      </c>
      <c r="F1644" s="109" t="s">
        <v>9496</v>
      </c>
      <c r="G1644" s="115" t="s">
        <v>9324</v>
      </c>
      <c r="H1644" s="115" t="s">
        <v>9323</v>
      </c>
      <c r="I1644" s="109" t="s">
        <v>10591</v>
      </c>
      <c r="J1644" s="239" t="s">
        <v>10592</v>
      </c>
      <c r="K1644" s="109" t="s">
        <v>9440</v>
      </c>
      <c r="L1644" s="109" t="s">
        <v>9496</v>
      </c>
    </row>
    <row r="1645" spans="1:12" s="58" customFormat="1" ht="14.85" customHeight="1" x14ac:dyDescent="0.25">
      <c r="A1645" s="108" t="s">
        <v>9308</v>
      </c>
      <c r="B1645" s="115" t="s">
        <v>8939</v>
      </c>
      <c r="C1645" s="115" t="s">
        <v>9338</v>
      </c>
      <c r="D1645" s="109" t="s">
        <v>10607</v>
      </c>
      <c r="E1645" s="106" t="s">
        <v>10608</v>
      </c>
      <c r="F1645" s="109" t="s">
        <v>9496</v>
      </c>
      <c r="G1645" s="115" t="s">
        <v>9324</v>
      </c>
      <c r="H1645" s="115" t="s">
        <v>9323</v>
      </c>
      <c r="I1645" s="109" t="s">
        <v>10575</v>
      </c>
      <c r="J1645" s="239" t="s">
        <v>10576</v>
      </c>
      <c r="K1645" s="109" t="s">
        <v>9440</v>
      </c>
      <c r="L1645" s="109" t="s">
        <v>9496</v>
      </c>
    </row>
    <row r="1646" spans="1:12" s="58" customFormat="1" ht="14.85" customHeight="1" x14ac:dyDescent="0.25">
      <c r="A1646" s="108" t="s">
        <v>9308</v>
      </c>
      <c r="B1646" s="115" t="s">
        <v>8939</v>
      </c>
      <c r="C1646" s="115" t="s">
        <v>9338</v>
      </c>
      <c r="D1646" s="109" t="s">
        <v>10607</v>
      </c>
      <c r="E1646" s="106" t="s">
        <v>10608</v>
      </c>
      <c r="F1646" s="109" t="s">
        <v>9496</v>
      </c>
      <c r="G1646" s="115" t="s">
        <v>9324</v>
      </c>
      <c r="H1646" s="115" t="s">
        <v>9323</v>
      </c>
      <c r="I1646" s="109" t="s">
        <v>10581</v>
      </c>
      <c r="J1646" s="239" t="s">
        <v>10582</v>
      </c>
      <c r="K1646" s="109" t="s">
        <v>9440</v>
      </c>
      <c r="L1646" s="109" t="s">
        <v>9496</v>
      </c>
    </row>
    <row r="1647" spans="1:12" s="58" customFormat="1" ht="14.85" customHeight="1" x14ac:dyDescent="0.25">
      <c r="A1647" s="108" t="s">
        <v>9308</v>
      </c>
      <c r="B1647" s="115" t="s">
        <v>8939</v>
      </c>
      <c r="C1647" s="115" t="s">
        <v>9338</v>
      </c>
      <c r="D1647" s="109" t="s">
        <v>10607</v>
      </c>
      <c r="E1647" s="106" t="s">
        <v>10608</v>
      </c>
      <c r="F1647" s="109" t="s">
        <v>9496</v>
      </c>
      <c r="G1647" s="115" t="s">
        <v>9324</v>
      </c>
      <c r="H1647" s="115" t="s">
        <v>9323</v>
      </c>
      <c r="I1647" s="109" t="s">
        <v>10583</v>
      </c>
      <c r="J1647" s="239" t="s">
        <v>10584</v>
      </c>
      <c r="K1647" s="109" t="s">
        <v>9440</v>
      </c>
      <c r="L1647" s="109" t="s">
        <v>9496</v>
      </c>
    </row>
    <row r="1648" spans="1:12" s="58" customFormat="1" ht="14.85" customHeight="1" x14ac:dyDescent="0.25">
      <c r="A1648" s="108" t="s">
        <v>9308</v>
      </c>
      <c r="B1648" s="115" t="s">
        <v>8939</v>
      </c>
      <c r="C1648" s="115" t="s">
        <v>9338</v>
      </c>
      <c r="D1648" s="109" t="s">
        <v>10607</v>
      </c>
      <c r="E1648" s="106" t="s">
        <v>10608</v>
      </c>
      <c r="F1648" s="109" t="s">
        <v>9496</v>
      </c>
      <c r="G1648" s="115" t="s">
        <v>9324</v>
      </c>
      <c r="H1648" s="115" t="s">
        <v>9323</v>
      </c>
      <c r="I1648" s="109" t="s">
        <v>10585</v>
      </c>
      <c r="J1648" s="239" t="s">
        <v>10586</v>
      </c>
      <c r="K1648" s="109" t="s">
        <v>9440</v>
      </c>
      <c r="L1648" s="109" t="s">
        <v>9496</v>
      </c>
    </row>
    <row r="1649" spans="1:12" s="58" customFormat="1" ht="14.85" customHeight="1" x14ac:dyDescent="0.25">
      <c r="A1649" s="108" t="s">
        <v>9308</v>
      </c>
      <c r="B1649" s="115" t="s">
        <v>8939</v>
      </c>
      <c r="C1649" s="115" t="s">
        <v>9338</v>
      </c>
      <c r="D1649" s="109" t="s">
        <v>10607</v>
      </c>
      <c r="E1649" s="106" t="s">
        <v>10608</v>
      </c>
      <c r="F1649" s="109" t="s">
        <v>9496</v>
      </c>
      <c r="G1649" s="115" t="s">
        <v>9324</v>
      </c>
      <c r="H1649" s="115" t="s">
        <v>9323</v>
      </c>
      <c r="I1649" s="109" t="s">
        <v>10587</v>
      </c>
      <c r="J1649" s="239" t="s">
        <v>10588</v>
      </c>
      <c r="K1649" s="109" t="s">
        <v>9440</v>
      </c>
      <c r="L1649" s="109" t="s">
        <v>9496</v>
      </c>
    </row>
    <row r="1650" spans="1:12" s="58" customFormat="1" ht="14.85" customHeight="1" x14ac:dyDescent="0.25">
      <c r="A1650" s="108" t="s">
        <v>9308</v>
      </c>
      <c r="B1650" s="115" t="s">
        <v>8939</v>
      </c>
      <c r="C1650" s="115" t="s">
        <v>9338</v>
      </c>
      <c r="D1650" s="109" t="s">
        <v>10607</v>
      </c>
      <c r="E1650" s="106" t="s">
        <v>10608</v>
      </c>
      <c r="F1650" s="109" t="s">
        <v>9496</v>
      </c>
      <c r="G1650" s="115" t="s">
        <v>9324</v>
      </c>
      <c r="H1650" s="115" t="s">
        <v>9323</v>
      </c>
      <c r="I1650" s="109" t="s">
        <v>10589</v>
      </c>
      <c r="J1650" s="239" t="s">
        <v>10590</v>
      </c>
      <c r="K1650" s="109" t="s">
        <v>9440</v>
      </c>
      <c r="L1650" s="109" t="s">
        <v>9496</v>
      </c>
    </row>
    <row r="1651" spans="1:12" s="58" customFormat="1" ht="14.85" customHeight="1" x14ac:dyDescent="0.25">
      <c r="A1651" s="108" t="s">
        <v>9308</v>
      </c>
      <c r="B1651" s="115" t="s">
        <v>8939</v>
      </c>
      <c r="C1651" s="115" t="s">
        <v>9338</v>
      </c>
      <c r="D1651" s="109" t="s">
        <v>10607</v>
      </c>
      <c r="E1651" s="106" t="s">
        <v>10608</v>
      </c>
      <c r="F1651" s="109" t="s">
        <v>9496</v>
      </c>
      <c r="G1651" s="115" t="s">
        <v>9324</v>
      </c>
      <c r="H1651" s="115" t="s">
        <v>9323</v>
      </c>
      <c r="I1651" s="109" t="s">
        <v>10591</v>
      </c>
      <c r="J1651" s="239" t="s">
        <v>10592</v>
      </c>
      <c r="K1651" s="109" t="s">
        <v>9440</v>
      </c>
      <c r="L1651" s="109" t="s">
        <v>9496</v>
      </c>
    </row>
    <row r="1652" spans="1:12" s="58" customFormat="1" ht="14.85" customHeight="1" x14ac:dyDescent="0.25">
      <c r="A1652" s="108" t="s">
        <v>9308</v>
      </c>
      <c r="B1652" s="115" t="s">
        <v>8939</v>
      </c>
      <c r="C1652" s="115" t="s">
        <v>9338</v>
      </c>
      <c r="D1652" s="109" t="s">
        <v>10609</v>
      </c>
      <c r="E1652" s="106" t="s">
        <v>10610</v>
      </c>
      <c r="F1652" s="109" t="s">
        <v>9496</v>
      </c>
      <c r="G1652" s="115" t="s">
        <v>9324</v>
      </c>
      <c r="H1652" s="115" t="s">
        <v>9323</v>
      </c>
      <c r="I1652" s="109" t="s">
        <v>10567</v>
      </c>
      <c r="J1652" s="239" t="s">
        <v>10568</v>
      </c>
      <c r="K1652" s="109" t="s">
        <v>9440</v>
      </c>
      <c r="L1652" s="109" t="s">
        <v>9496</v>
      </c>
    </row>
    <row r="1653" spans="1:12" s="58" customFormat="1" ht="14.85" customHeight="1" x14ac:dyDescent="0.25">
      <c r="A1653" s="108" t="s">
        <v>9308</v>
      </c>
      <c r="B1653" s="115" t="s">
        <v>8939</v>
      </c>
      <c r="C1653" s="115" t="s">
        <v>9338</v>
      </c>
      <c r="D1653" s="109" t="s">
        <v>10609</v>
      </c>
      <c r="E1653" s="106" t="s">
        <v>10610</v>
      </c>
      <c r="F1653" s="109" t="s">
        <v>9496</v>
      </c>
      <c r="G1653" s="115" t="s">
        <v>9324</v>
      </c>
      <c r="H1653" s="115" t="s">
        <v>9323</v>
      </c>
      <c r="I1653" s="109" t="s">
        <v>10583</v>
      </c>
      <c r="J1653" s="239" t="s">
        <v>10584</v>
      </c>
      <c r="K1653" s="109" t="s">
        <v>9440</v>
      </c>
      <c r="L1653" s="109" t="s">
        <v>9496</v>
      </c>
    </row>
    <row r="1654" spans="1:12" s="58" customFormat="1" ht="14.85" customHeight="1" x14ac:dyDescent="0.25">
      <c r="A1654" s="108" t="s">
        <v>9308</v>
      </c>
      <c r="B1654" s="115" t="s">
        <v>8939</v>
      </c>
      <c r="C1654" s="115" t="s">
        <v>9338</v>
      </c>
      <c r="D1654" s="109" t="s">
        <v>10609</v>
      </c>
      <c r="E1654" s="106" t="s">
        <v>10610</v>
      </c>
      <c r="F1654" s="109" t="s">
        <v>9496</v>
      </c>
      <c r="G1654" s="115" t="s">
        <v>9324</v>
      </c>
      <c r="H1654" s="115" t="s">
        <v>9323</v>
      </c>
      <c r="I1654" s="109" t="s">
        <v>10585</v>
      </c>
      <c r="J1654" s="239" t="s">
        <v>10586</v>
      </c>
      <c r="K1654" s="109" t="s">
        <v>9440</v>
      </c>
      <c r="L1654" s="109" t="s">
        <v>9496</v>
      </c>
    </row>
    <row r="1655" spans="1:12" s="58" customFormat="1" ht="14.85" customHeight="1" x14ac:dyDescent="0.25">
      <c r="A1655" s="108" t="s">
        <v>9308</v>
      </c>
      <c r="B1655" s="115" t="s">
        <v>8939</v>
      </c>
      <c r="C1655" s="115" t="s">
        <v>9338</v>
      </c>
      <c r="D1655" s="109" t="s">
        <v>10609</v>
      </c>
      <c r="E1655" s="106" t="s">
        <v>10610</v>
      </c>
      <c r="F1655" s="109" t="s">
        <v>9496</v>
      </c>
      <c r="G1655" s="115" t="s">
        <v>9324</v>
      </c>
      <c r="H1655" s="115" t="s">
        <v>9323</v>
      </c>
      <c r="I1655" s="109" t="s">
        <v>10587</v>
      </c>
      <c r="J1655" s="239" t="s">
        <v>10588</v>
      </c>
      <c r="K1655" s="109" t="s">
        <v>9440</v>
      </c>
      <c r="L1655" s="109" t="s">
        <v>9496</v>
      </c>
    </row>
    <row r="1656" spans="1:12" s="58" customFormat="1" ht="14.85" customHeight="1" x14ac:dyDescent="0.25">
      <c r="A1656" s="108" t="s">
        <v>9308</v>
      </c>
      <c r="B1656" s="115" t="s">
        <v>8939</v>
      </c>
      <c r="C1656" s="115" t="s">
        <v>9338</v>
      </c>
      <c r="D1656" s="109" t="s">
        <v>10609</v>
      </c>
      <c r="E1656" s="106" t="s">
        <v>10610</v>
      </c>
      <c r="F1656" s="109" t="s">
        <v>9496</v>
      </c>
      <c r="G1656" s="115" t="s">
        <v>9324</v>
      </c>
      <c r="H1656" s="115" t="s">
        <v>9323</v>
      </c>
      <c r="I1656" s="109" t="s">
        <v>10589</v>
      </c>
      <c r="J1656" s="239" t="s">
        <v>10590</v>
      </c>
      <c r="K1656" s="109" t="s">
        <v>9440</v>
      </c>
      <c r="L1656" s="109" t="s">
        <v>9496</v>
      </c>
    </row>
    <row r="1657" spans="1:12" s="58" customFormat="1" ht="14.85" customHeight="1" x14ac:dyDescent="0.25">
      <c r="A1657" s="108" t="s">
        <v>9308</v>
      </c>
      <c r="B1657" s="115" t="s">
        <v>8939</v>
      </c>
      <c r="C1657" s="115" t="s">
        <v>9338</v>
      </c>
      <c r="D1657" s="109" t="s">
        <v>10609</v>
      </c>
      <c r="E1657" s="106" t="s">
        <v>10610</v>
      </c>
      <c r="F1657" s="109" t="s">
        <v>9496</v>
      </c>
      <c r="G1657" s="115" t="s">
        <v>9324</v>
      </c>
      <c r="H1657" s="115" t="s">
        <v>9323</v>
      </c>
      <c r="I1657" s="109" t="s">
        <v>10591</v>
      </c>
      <c r="J1657" s="239" t="s">
        <v>10592</v>
      </c>
      <c r="K1657" s="109" t="s">
        <v>9440</v>
      </c>
      <c r="L1657" s="109" t="s">
        <v>9496</v>
      </c>
    </row>
    <row r="1658" spans="1:12" s="58" customFormat="1" ht="14.85" customHeight="1" x14ac:dyDescent="0.25">
      <c r="A1658" s="108" t="s">
        <v>9308</v>
      </c>
      <c r="B1658" s="115" t="s">
        <v>8939</v>
      </c>
      <c r="C1658" s="115" t="s">
        <v>9338</v>
      </c>
      <c r="D1658" s="109" t="s">
        <v>10611</v>
      </c>
      <c r="E1658" s="106" t="s">
        <v>10612</v>
      </c>
      <c r="F1658" s="109" t="s">
        <v>9496</v>
      </c>
      <c r="G1658" s="115" t="s">
        <v>9324</v>
      </c>
      <c r="H1658" s="115" t="s">
        <v>9323</v>
      </c>
      <c r="I1658" s="109" t="s">
        <v>10567</v>
      </c>
      <c r="J1658" s="239" t="s">
        <v>10568</v>
      </c>
      <c r="K1658" s="109" t="s">
        <v>9440</v>
      </c>
      <c r="L1658" s="109" t="s">
        <v>9496</v>
      </c>
    </row>
    <row r="1659" spans="1:12" s="58" customFormat="1" ht="14.85" customHeight="1" x14ac:dyDescent="0.25">
      <c r="A1659" s="108" t="s">
        <v>9308</v>
      </c>
      <c r="B1659" s="115" t="s">
        <v>8939</v>
      </c>
      <c r="C1659" s="115" t="s">
        <v>9338</v>
      </c>
      <c r="D1659" s="109" t="s">
        <v>10611</v>
      </c>
      <c r="E1659" s="106" t="s">
        <v>10612</v>
      </c>
      <c r="F1659" s="109" t="s">
        <v>9496</v>
      </c>
      <c r="G1659" s="115" t="s">
        <v>9324</v>
      </c>
      <c r="H1659" s="115" t="s">
        <v>9323</v>
      </c>
      <c r="I1659" s="109" t="s">
        <v>10583</v>
      </c>
      <c r="J1659" s="239" t="s">
        <v>10584</v>
      </c>
      <c r="K1659" s="109" t="s">
        <v>9440</v>
      </c>
      <c r="L1659" s="109" t="s">
        <v>9496</v>
      </c>
    </row>
    <row r="1660" spans="1:12" s="58" customFormat="1" ht="14.85" customHeight="1" x14ac:dyDescent="0.25">
      <c r="A1660" s="108" t="s">
        <v>9308</v>
      </c>
      <c r="B1660" s="115" t="s">
        <v>8939</v>
      </c>
      <c r="C1660" s="115" t="s">
        <v>9338</v>
      </c>
      <c r="D1660" s="109" t="s">
        <v>10611</v>
      </c>
      <c r="E1660" s="106" t="s">
        <v>10612</v>
      </c>
      <c r="F1660" s="109" t="s">
        <v>9496</v>
      </c>
      <c r="G1660" s="115" t="s">
        <v>9324</v>
      </c>
      <c r="H1660" s="115" t="s">
        <v>9323</v>
      </c>
      <c r="I1660" s="109" t="s">
        <v>10585</v>
      </c>
      <c r="J1660" s="239" t="s">
        <v>10586</v>
      </c>
      <c r="K1660" s="109" t="s">
        <v>9440</v>
      </c>
      <c r="L1660" s="109" t="s">
        <v>9496</v>
      </c>
    </row>
    <row r="1661" spans="1:12" s="58" customFormat="1" ht="14.85" customHeight="1" x14ac:dyDescent="0.25">
      <c r="A1661" s="108" t="s">
        <v>9308</v>
      </c>
      <c r="B1661" s="115" t="s">
        <v>8939</v>
      </c>
      <c r="C1661" s="115" t="s">
        <v>9338</v>
      </c>
      <c r="D1661" s="109" t="s">
        <v>10611</v>
      </c>
      <c r="E1661" s="106" t="s">
        <v>10612</v>
      </c>
      <c r="F1661" s="109" t="s">
        <v>9496</v>
      </c>
      <c r="G1661" s="115" t="s">
        <v>9324</v>
      </c>
      <c r="H1661" s="115" t="s">
        <v>9323</v>
      </c>
      <c r="I1661" s="109" t="s">
        <v>10587</v>
      </c>
      <c r="J1661" s="239" t="s">
        <v>10588</v>
      </c>
      <c r="K1661" s="109" t="s">
        <v>9440</v>
      </c>
      <c r="L1661" s="109" t="s">
        <v>9496</v>
      </c>
    </row>
    <row r="1662" spans="1:12" s="58" customFormat="1" ht="14.85" customHeight="1" x14ac:dyDescent="0.25">
      <c r="A1662" s="108" t="s">
        <v>9308</v>
      </c>
      <c r="B1662" s="115" t="s">
        <v>8939</v>
      </c>
      <c r="C1662" s="115" t="s">
        <v>9338</v>
      </c>
      <c r="D1662" s="109" t="s">
        <v>10611</v>
      </c>
      <c r="E1662" s="106" t="s">
        <v>10612</v>
      </c>
      <c r="F1662" s="109" t="s">
        <v>9496</v>
      </c>
      <c r="G1662" s="115" t="s">
        <v>9324</v>
      </c>
      <c r="H1662" s="115" t="s">
        <v>9323</v>
      </c>
      <c r="I1662" s="109" t="s">
        <v>10589</v>
      </c>
      <c r="J1662" s="239" t="s">
        <v>10590</v>
      </c>
      <c r="K1662" s="109" t="s">
        <v>9440</v>
      </c>
      <c r="L1662" s="109" t="s">
        <v>9496</v>
      </c>
    </row>
    <row r="1663" spans="1:12" s="58" customFormat="1" ht="14.85" customHeight="1" x14ac:dyDescent="0.25">
      <c r="A1663" s="108" t="s">
        <v>9308</v>
      </c>
      <c r="B1663" s="115" t="s">
        <v>8939</v>
      </c>
      <c r="C1663" s="115" t="s">
        <v>9338</v>
      </c>
      <c r="D1663" s="109" t="s">
        <v>10611</v>
      </c>
      <c r="E1663" s="106" t="s">
        <v>10612</v>
      </c>
      <c r="F1663" s="109" t="s">
        <v>9496</v>
      </c>
      <c r="G1663" s="115" t="s">
        <v>9324</v>
      </c>
      <c r="H1663" s="115" t="s">
        <v>9323</v>
      </c>
      <c r="I1663" s="109" t="s">
        <v>10591</v>
      </c>
      <c r="J1663" s="239" t="s">
        <v>10592</v>
      </c>
      <c r="K1663" s="109" t="s">
        <v>9440</v>
      </c>
      <c r="L1663" s="109" t="s">
        <v>9496</v>
      </c>
    </row>
    <row r="1664" spans="1:12" s="58" customFormat="1" ht="14.85" customHeight="1" x14ac:dyDescent="0.25">
      <c r="A1664" s="108" t="s">
        <v>9308</v>
      </c>
      <c r="B1664" s="115" t="s">
        <v>8939</v>
      </c>
      <c r="C1664" s="115" t="s">
        <v>9338</v>
      </c>
      <c r="D1664" s="109" t="s">
        <v>10613</v>
      </c>
      <c r="E1664" s="106" t="s">
        <v>10614</v>
      </c>
      <c r="F1664" s="109" t="s">
        <v>9496</v>
      </c>
      <c r="G1664" s="115" t="s">
        <v>9324</v>
      </c>
      <c r="H1664" s="115" t="s">
        <v>9323</v>
      </c>
      <c r="I1664" s="109" t="s">
        <v>10583</v>
      </c>
      <c r="J1664" s="239" t="s">
        <v>10584</v>
      </c>
      <c r="K1664" s="109" t="s">
        <v>9440</v>
      </c>
      <c r="L1664" s="109" t="s">
        <v>9496</v>
      </c>
    </row>
    <row r="1665" spans="1:12" s="58" customFormat="1" ht="14.85" customHeight="1" x14ac:dyDescent="0.25">
      <c r="A1665" s="108" t="s">
        <v>9308</v>
      </c>
      <c r="B1665" s="115" t="s">
        <v>8939</v>
      </c>
      <c r="C1665" s="115" t="s">
        <v>9338</v>
      </c>
      <c r="D1665" s="109" t="s">
        <v>10613</v>
      </c>
      <c r="E1665" s="106" t="s">
        <v>10614</v>
      </c>
      <c r="F1665" s="109" t="s">
        <v>9496</v>
      </c>
      <c r="G1665" s="115" t="s">
        <v>9324</v>
      </c>
      <c r="H1665" s="115" t="s">
        <v>9323</v>
      </c>
      <c r="I1665" s="109" t="s">
        <v>10585</v>
      </c>
      <c r="J1665" s="239" t="s">
        <v>10586</v>
      </c>
      <c r="K1665" s="109" t="s">
        <v>9440</v>
      </c>
      <c r="L1665" s="109" t="s">
        <v>9496</v>
      </c>
    </row>
    <row r="1666" spans="1:12" s="58" customFormat="1" ht="14.85" customHeight="1" x14ac:dyDescent="0.25">
      <c r="A1666" s="108" t="s">
        <v>9308</v>
      </c>
      <c r="B1666" s="115" t="s">
        <v>8939</v>
      </c>
      <c r="C1666" s="115" t="s">
        <v>9338</v>
      </c>
      <c r="D1666" s="109" t="s">
        <v>10613</v>
      </c>
      <c r="E1666" s="106" t="s">
        <v>10614</v>
      </c>
      <c r="F1666" s="109" t="s">
        <v>9496</v>
      </c>
      <c r="G1666" s="115" t="s">
        <v>9324</v>
      </c>
      <c r="H1666" s="115" t="s">
        <v>9323</v>
      </c>
      <c r="I1666" s="109" t="s">
        <v>10587</v>
      </c>
      <c r="J1666" s="239" t="s">
        <v>10588</v>
      </c>
      <c r="K1666" s="109" t="s">
        <v>9440</v>
      </c>
      <c r="L1666" s="109" t="s">
        <v>9496</v>
      </c>
    </row>
    <row r="1667" spans="1:12" s="58" customFormat="1" ht="14.85" customHeight="1" x14ac:dyDescent="0.25">
      <c r="A1667" s="108" t="s">
        <v>9308</v>
      </c>
      <c r="B1667" s="115" t="s">
        <v>8939</v>
      </c>
      <c r="C1667" s="115" t="s">
        <v>9338</v>
      </c>
      <c r="D1667" s="109" t="s">
        <v>10613</v>
      </c>
      <c r="E1667" s="106" t="s">
        <v>10614</v>
      </c>
      <c r="F1667" s="109" t="s">
        <v>9496</v>
      </c>
      <c r="G1667" s="115" t="s">
        <v>9324</v>
      </c>
      <c r="H1667" s="115" t="s">
        <v>9323</v>
      </c>
      <c r="I1667" s="109" t="s">
        <v>10589</v>
      </c>
      <c r="J1667" s="239" t="s">
        <v>10590</v>
      </c>
      <c r="K1667" s="109" t="s">
        <v>9440</v>
      </c>
      <c r="L1667" s="109" t="s">
        <v>9496</v>
      </c>
    </row>
    <row r="1668" spans="1:12" s="58" customFormat="1" ht="14.85" customHeight="1" x14ac:dyDescent="0.25">
      <c r="A1668" s="108" t="s">
        <v>9308</v>
      </c>
      <c r="B1668" s="115" t="s">
        <v>8939</v>
      </c>
      <c r="C1668" s="115" t="s">
        <v>9338</v>
      </c>
      <c r="D1668" s="109" t="s">
        <v>10613</v>
      </c>
      <c r="E1668" s="106" t="s">
        <v>10614</v>
      </c>
      <c r="F1668" s="109" t="s">
        <v>9496</v>
      </c>
      <c r="G1668" s="115" t="s">
        <v>9324</v>
      </c>
      <c r="H1668" s="115" t="s">
        <v>9323</v>
      </c>
      <c r="I1668" s="109" t="s">
        <v>10591</v>
      </c>
      <c r="J1668" s="239" t="s">
        <v>10592</v>
      </c>
      <c r="K1668" s="109" t="s">
        <v>9440</v>
      </c>
      <c r="L1668" s="109" t="s">
        <v>9496</v>
      </c>
    </row>
    <row r="1669" spans="1:12" s="58" customFormat="1" ht="14.85" customHeight="1" x14ac:dyDescent="0.25">
      <c r="A1669" s="108" t="s">
        <v>9308</v>
      </c>
      <c r="B1669" s="115" t="s">
        <v>8939</v>
      </c>
      <c r="C1669" s="115" t="s">
        <v>9338</v>
      </c>
      <c r="D1669" s="109" t="s">
        <v>10615</v>
      </c>
      <c r="E1669" s="106" t="s">
        <v>10616</v>
      </c>
      <c r="F1669" s="109" t="s">
        <v>9496</v>
      </c>
      <c r="G1669" s="115" t="s">
        <v>9324</v>
      </c>
      <c r="H1669" s="115" t="s">
        <v>9323</v>
      </c>
      <c r="I1669" s="109" t="s">
        <v>10567</v>
      </c>
      <c r="J1669" s="239" t="s">
        <v>10568</v>
      </c>
      <c r="K1669" s="109" t="s">
        <v>9440</v>
      </c>
      <c r="L1669" s="109" t="s">
        <v>9496</v>
      </c>
    </row>
    <row r="1670" spans="1:12" s="58" customFormat="1" ht="14.85" customHeight="1" x14ac:dyDescent="0.25">
      <c r="A1670" s="108" t="s">
        <v>9308</v>
      </c>
      <c r="B1670" s="115" t="s">
        <v>8939</v>
      </c>
      <c r="C1670" s="115" t="s">
        <v>9338</v>
      </c>
      <c r="D1670" s="109" t="s">
        <v>10615</v>
      </c>
      <c r="E1670" s="106" t="s">
        <v>10616</v>
      </c>
      <c r="F1670" s="109" t="s">
        <v>9496</v>
      </c>
      <c r="G1670" s="115" t="s">
        <v>9324</v>
      </c>
      <c r="H1670" s="115" t="s">
        <v>9323</v>
      </c>
      <c r="I1670" s="109" t="s">
        <v>10569</v>
      </c>
      <c r="J1670" s="239" t="s">
        <v>10570</v>
      </c>
      <c r="K1670" s="109" t="s">
        <v>9440</v>
      </c>
      <c r="L1670" s="109" t="s">
        <v>9496</v>
      </c>
    </row>
    <row r="1671" spans="1:12" s="58" customFormat="1" ht="14.85" customHeight="1" x14ac:dyDescent="0.25">
      <c r="A1671" s="108" t="s">
        <v>9308</v>
      </c>
      <c r="B1671" s="115" t="s">
        <v>8939</v>
      </c>
      <c r="C1671" s="115" t="s">
        <v>9338</v>
      </c>
      <c r="D1671" s="109" t="s">
        <v>10615</v>
      </c>
      <c r="E1671" s="106" t="s">
        <v>10616</v>
      </c>
      <c r="F1671" s="109" t="s">
        <v>9496</v>
      </c>
      <c r="G1671" s="115" t="s">
        <v>9324</v>
      </c>
      <c r="H1671" s="115" t="s">
        <v>9323</v>
      </c>
      <c r="I1671" s="109" t="s">
        <v>10571</v>
      </c>
      <c r="J1671" s="239" t="s">
        <v>10572</v>
      </c>
      <c r="K1671" s="109" t="s">
        <v>9440</v>
      </c>
      <c r="L1671" s="109" t="s">
        <v>9496</v>
      </c>
    </row>
    <row r="1672" spans="1:12" s="58" customFormat="1" ht="14.85" customHeight="1" x14ac:dyDescent="0.25">
      <c r="A1672" s="108" t="s">
        <v>9308</v>
      </c>
      <c r="B1672" s="115" t="s">
        <v>8939</v>
      </c>
      <c r="C1672" s="115" t="s">
        <v>9338</v>
      </c>
      <c r="D1672" s="109" t="s">
        <v>10615</v>
      </c>
      <c r="E1672" s="106" t="s">
        <v>10616</v>
      </c>
      <c r="F1672" s="109" t="s">
        <v>9496</v>
      </c>
      <c r="G1672" s="115" t="s">
        <v>9324</v>
      </c>
      <c r="H1672" s="115" t="s">
        <v>9323</v>
      </c>
      <c r="I1672" s="109" t="s">
        <v>10573</v>
      </c>
      <c r="J1672" s="239" t="s">
        <v>10574</v>
      </c>
      <c r="K1672" s="109" t="s">
        <v>9440</v>
      </c>
      <c r="L1672" s="109" t="s">
        <v>9496</v>
      </c>
    </row>
    <row r="1673" spans="1:12" s="58" customFormat="1" ht="14.85" customHeight="1" x14ac:dyDescent="0.25">
      <c r="A1673" s="108" t="s">
        <v>9308</v>
      </c>
      <c r="B1673" s="115" t="s">
        <v>8939</v>
      </c>
      <c r="C1673" s="115" t="s">
        <v>9338</v>
      </c>
      <c r="D1673" s="109" t="s">
        <v>10615</v>
      </c>
      <c r="E1673" s="106" t="s">
        <v>10616</v>
      </c>
      <c r="F1673" s="109" t="s">
        <v>9496</v>
      </c>
      <c r="G1673" s="115" t="s">
        <v>9324</v>
      </c>
      <c r="H1673" s="115" t="s">
        <v>9323</v>
      </c>
      <c r="I1673" s="109" t="s">
        <v>10599</v>
      </c>
      <c r="J1673" s="239" t="s">
        <v>10600</v>
      </c>
      <c r="K1673" s="109" t="s">
        <v>9440</v>
      </c>
      <c r="L1673" s="109" t="s">
        <v>9496</v>
      </c>
    </row>
    <row r="1674" spans="1:12" s="58" customFormat="1" ht="14.85" customHeight="1" x14ac:dyDescent="0.25">
      <c r="A1674" s="108" t="s">
        <v>9308</v>
      </c>
      <c r="B1674" s="115" t="s">
        <v>8939</v>
      </c>
      <c r="C1674" s="115" t="s">
        <v>9338</v>
      </c>
      <c r="D1674" s="109" t="s">
        <v>10615</v>
      </c>
      <c r="E1674" s="106" t="s">
        <v>10616</v>
      </c>
      <c r="F1674" s="109" t="s">
        <v>9496</v>
      </c>
      <c r="G1674" s="115" t="s">
        <v>9324</v>
      </c>
      <c r="H1674" s="115" t="s">
        <v>9323</v>
      </c>
      <c r="I1674" s="109" t="s">
        <v>10577</v>
      </c>
      <c r="J1674" s="239" t="s">
        <v>10578</v>
      </c>
      <c r="K1674" s="109" t="s">
        <v>9440</v>
      </c>
      <c r="L1674" s="109" t="s">
        <v>9496</v>
      </c>
    </row>
    <row r="1675" spans="1:12" s="58" customFormat="1" ht="14.85" customHeight="1" x14ac:dyDescent="0.25">
      <c r="A1675" s="108" t="s">
        <v>9308</v>
      </c>
      <c r="B1675" s="115" t="s">
        <v>8939</v>
      </c>
      <c r="C1675" s="115" t="s">
        <v>9338</v>
      </c>
      <c r="D1675" s="109" t="s">
        <v>10615</v>
      </c>
      <c r="E1675" s="106" t="s">
        <v>10616</v>
      </c>
      <c r="F1675" s="109" t="s">
        <v>9496</v>
      </c>
      <c r="G1675" s="115" t="s">
        <v>9324</v>
      </c>
      <c r="H1675" s="115" t="s">
        <v>9323</v>
      </c>
      <c r="I1675" s="109" t="s">
        <v>10579</v>
      </c>
      <c r="J1675" s="239" t="s">
        <v>10580</v>
      </c>
      <c r="K1675" s="109" t="s">
        <v>9440</v>
      </c>
      <c r="L1675" s="109" t="s">
        <v>9496</v>
      </c>
    </row>
    <row r="1676" spans="1:12" s="58" customFormat="1" ht="14.85" customHeight="1" x14ac:dyDescent="0.25">
      <c r="A1676" s="108" t="s">
        <v>9308</v>
      </c>
      <c r="B1676" s="115" t="s">
        <v>8939</v>
      </c>
      <c r="C1676" s="115" t="s">
        <v>9338</v>
      </c>
      <c r="D1676" s="109" t="s">
        <v>10615</v>
      </c>
      <c r="E1676" s="106" t="s">
        <v>10616</v>
      </c>
      <c r="F1676" s="109" t="s">
        <v>9496</v>
      </c>
      <c r="G1676" s="115" t="s">
        <v>9324</v>
      </c>
      <c r="H1676" s="115" t="s">
        <v>9323</v>
      </c>
      <c r="I1676" s="109" t="s">
        <v>10617</v>
      </c>
      <c r="J1676" s="239" t="s">
        <v>10618</v>
      </c>
      <c r="K1676" s="109" t="s">
        <v>9440</v>
      </c>
      <c r="L1676" s="109" t="s">
        <v>9496</v>
      </c>
    </row>
    <row r="1677" spans="1:12" s="58" customFormat="1" ht="14.85" customHeight="1" x14ac:dyDescent="0.25">
      <c r="A1677" s="108" t="s">
        <v>9308</v>
      </c>
      <c r="B1677" s="115" t="s">
        <v>8939</v>
      </c>
      <c r="C1677" s="115" t="s">
        <v>9338</v>
      </c>
      <c r="D1677" s="109" t="s">
        <v>10615</v>
      </c>
      <c r="E1677" s="106" t="s">
        <v>10616</v>
      </c>
      <c r="F1677" s="109" t="s">
        <v>9496</v>
      </c>
      <c r="G1677" s="115" t="s">
        <v>9324</v>
      </c>
      <c r="H1677" s="115" t="s">
        <v>9323</v>
      </c>
      <c r="I1677" s="109" t="s">
        <v>10581</v>
      </c>
      <c r="J1677" s="239" t="s">
        <v>10582</v>
      </c>
      <c r="K1677" s="109" t="s">
        <v>9440</v>
      </c>
      <c r="L1677" s="109" t="s">
        <v>9496</v>
      </c>
    </row>
    <row r="1678" spans="1:12" s="58" customFormat="1" ht="14.85" customHeight="1" x14ac:dyDescent="0.25">
      <c r="A1678" s="108" t="s">
        <v>9308</v>
      </c>
      <c r="B1678" s="115" t="s">
        <v>8939</v>
      </c>
      <c r="C1678" s="115" t="s">
        <v>9338</v>
      </c>
      <c r="D1678" s="109" t="s">
        <v>10615</v>
      </c>
      <c r="E1678" s="106" t="s">
        <v>10616</v>
      </c>
      <c r="F1678" s="109" t="s">
        <v>9496</v>
      </c>
      <c r="G1678" s="115" t="s">
        <v>9324</v>
      </c>
      <c r="H1678" s="115" t="s">
        <v>9323</v>
      </c>
      <c r="I1678" s="109" t="s">
        <v>10583</v>
      </c>
      <c r="J1678" s="239" t="s">
        <v>10584</v>
      </c>
      <c r="K1678" s="109" t="s">
        <v>9440</v>
      </c>
      <c r="L1678" s="109" t="s">
        <v>9496</v>
      </c>
    </row>
    <row r="1679" spans="1:12" s="58" customFormat="1" ht="14.85" customHeight="1" x14ac:dyDescent="0.25">
      <c r="A1679" s="108" t="s">
        <v>9308</v>
      </c>
      <c r="B1679" s="115" t="s">
        <v>8939</v>
      </c>
      <c r="C1679" s="115" t="s">
        <v>9338</v>
      </c>
      <c r="D1679" s="109" t="s">
        <v>10615</v>
      </c>
      <c r="E1679" s="106" t="s">
        <v>10616</v>
      </c>
      <c r="F1679" s="109" t="s">
        <v>9496</v>
      </c>
      <c r="G1679" s="115" t="s">
        <v>9324</v>
      </c>
      <c r="H1679" s="115" t="s">
        <v>9323</v>
      </c>
      <c r="I1679" s="109" t="s">
        <v>10585</v>
      </c>
      <c r="J1679" s="239" t="s">
        <v>10586</v>
      </c>
      <c r="K1679" s="109" t="s">
        <v>9440</v>
      </c>
      <c r="L1679" s="109" t="s">
        <v>9496</v>
      </c>
    </row>
    <row r="1680" spans="1:12" s="58" customFormat="1" ht="14.85" customHeight="1" x14ac:dyDescent="0.25">
      <c r="A1680" s="108" t="s">
        <v>9308</v>
      </c>
      <c r="B1680" s="115" t="s">
        <v>8939</v>
      </c>
      <c r="C1680" s="115" t="s">
        <v>9338</v>
      </c>
      <c r="D1680" s="109" t="s">
        <v>10615</v>
      </c>
      <c r="E1680" s="106" t="s">
        <v>10616</v>
      </c>
      <c r="F1680" s="109" t="s">
        <v>9496</v>
      </c>
      <c r="G1680" s="115" t="s">
        <v>9324</v>
      </c>
      <c r="H1680" s="115" t="s">
        <v>9323</v>
      </c>
      <c r="I1680" s="109" t="s">
        <v>10587</v>
      </c>
      <c r="J1680" s="239" t="s">
        <v>10588</v>
      </c>
      <c r="K1680" s="109" t="s">
        <v>9440</v>
      </c>
      <c r="L1680" s="109" t="s">
        <v>9496</v>
      </c>
    </row>
    <row r="1681" spans="1:12" s="58" customFormat="1" ht="14.85" customHeight="1" x14ac:dyDescent="0.25">
      <c r="A1681" s="108" t="s">
        <v>9308</v>
      </c>
      <c r="B1681" s="115" t="s">
        <v>8939</v>
      </c>
      <c r="C1681" s="115" t="s">
        <v>9338</v>
      </c>
      <c r="D1681" s="109" t="s">
        <v>10615</v>
      </c>
      <c r="E1681" s="106" t="s">
        <v>10616</v>
      </c>
      <c r="F1681" s="109" t="s">
        <v>9496</v>
      </c>
      <c r="G1681" s="115" t="s">
        <v>9324</v>
      </c>
      <c r="H1681" s="115" t="s">
        <v>9323</v>
      </c>
      <c r="I1681" s="109" t="s">
        <v>10589</v>
      </c>
      <c r="J1681" s="239" t="s">
        <v>10590</v>
      </c>
      <c r="K1681" s="109" t="s">
        <v>9440</v>
      </c>
      <c r="L1681" s="109" t="s">
        <v>9496</v>
      </c>
    </row>
    <row r="1682" spans="1:12" s="58" customFormat="1" ht="14.85" customHeight="1" x14ac:dyDescent="0.25">
      <c r="A1682" s="108" t="s">
        <v>9308</v>
      </c>
      <c r="B1682" s="115" t="s">
        <v>8939</v>
      </c>
      <c r="C1682" s="115" t="s">
        <v>9338</v>
      </c>
      <c r="D1682" s="109" t="s">
        <v>10615</v>
      </c>
      <c r="E1682" s="106" t="s">
        <v>10616</v>
      </c>
      <c r="F1682" s="109" t="s">
        <v>9496</v>
      </c>
      <c r="G1682" s="115" t="s">
        <v>9324</v>
      </c>
      <c r="H1682" s="115" t="s">
        <v>9323</v>
      </c>
      <c r="I1682" s="109" t="s">
        <v>10591</v>
      </c>
      <c r="J1682" s="239" t="s">
        <v>10592</v>
      </c>
      <c r="K1682" s="109" t="s">
        <v>9440</v>
      </c>
      <c r="L1682" s="109" t="s">
        <v>9496</v>
      </c>
    </row>
    <row r="1683" spans="1:12" s="58" customFormat="1" ht="14.85" customHeight="1" x14ac:dyDescent="0.25">
      <c r="A1683" s="108" t="s">
        <v>9308</v>
      </c>
      <c r="B1683" s="115" t="s">
        <v>8939</v>
      </c>
      <c r="C1683" s="115" t="s">
        <v>9338</v>
      </c>
      <c r="D1683" s="109" t="s">
        <v>10619</v>
      </c>
      <c r="E1683" s="106" t="s">
        <v>10620</v>
      </c>
      <c r="F1683" s="109" t="s">
        <v>9496</v>
      </c>
      <c r="G1683" s="115" t="s">
        <v>9324</v>
      </c>
      <c r="H1683" s="115" t="s">
        <v>9323</v>
      </c>
      <c r="I1683" s="109" t="s">
        <v>10571</v>
      </c>
      <c r="J1683" s="239" t="s">
        <v>10572</v>
      </c>
      <c r="K1683" s="109" t="s">
        <v>9440</v>
      </c>
      <c r="L1683" s="109" t="s">
        <v>9496</v>
      </c>
    </row>
    <row r="1684" spans="1:12" s="58" customFormat="1" ht="14.85" customHeight="1" x14ac:dyDescent="0.25">
      <c r="A1684" s="108" t="s">
        <v>9308</v>
      </c>
      <c r="B1684" s="115" t="s">
        <v>8939</v>
      </c>
      <c r="C1684" s="115" t="s">
        <v>9338</v>
      </c>
      <c r="D1684" s="109" t="s">
        <v>10619</v>
      </c>
      <c r="E1684" s="106" t="s">
        <v>10620</v>
      </c>
      <c r="F1684" s="109" t="s">
        <v>9496</v>
      </c>
      <c r="G1684" s="115" t="s">
        <v>9324</v>
      </c>
      <c r="H1684" s="115" t="s">
        <v>9323</v>
      </c>
      <c r="I1684" s="109" t="s">
        <v>10579</v>
      </c>
      <c r="J1684" s="239" t="s">
        <v>10580</v>
      </c>
      <c r="K1684" s="109" t="s">
        <v>9440</v>
      </c>
      <c r="L1684" s="109" t="s">
        <v>9496</v>
      </c>
    </row>
    <row r="1685" spans="1:12" s="58" customFormat="1" ht="14.85" customHeight="1" x14ac:dyDescent="0.25">
      <c r="A1685" s="108" t="s">
        <v>9308</v>
      </c>
      <c r="B1685" s="115" t="s">
        <v>8939</v>
      </c>
      <c r="C1685" s="115" t="s">
        <v>9338</v>
      </c>
      <c r="D1685" s="109" t="s">
        <v>10619</v>
      </c>
      <c r="E1685" s="106" t="s">
        <v>10620</v>
      </c>
      <c r="F1685" s="109" t="s">
        <v>9496</v>
      </c>
      <c r="G1685" s="115" t="s">
        <v>9324</v>
      </c>
      <c r="H1685" s="115" t="s">
        <v>9323</v>
      </c>
      <c r="I1685" s="109" t="s">
        <v>10581</v>
      </c>
      <c r="J1685" s="239" t="s">
        <v>10582</v>
      </c>
      <c r="K1685" s="109" t="s">
        <v>9440</v>
      </c>
      <c r="L1685" s="109" t="s">
        <v>9496</v>
      </c>
    </row>
    <row r="1686" spans="1:12" s="58" customFormat="1" ht="14.85" customHeight="1" x14ac:dyDescent="0.25">
      <c r="A1686" s="108" t="s">
        <v>9308</v>
      </c>
      <c r="B1686" s="115" t="s">
        <v>8939</v>
      </c>
      <c r="C1686" s="115" t="s">
        <v>9338</v>
      </c>
      <c r="D1686" s="109" t="s">
        <v>10619</v>
      </c>
      <c r="E1686" s="106" t="s">
        <v>10620</v>
      </c>
      <c r="F1686" s="109" t="s">
        <v>9496</v>
      </c>
      <c r="G1686" s="115" t="s">
        <v>9324</v>
      </c>
      <c r="H1686" s="115" t="s">
        <v>9323</v>
      </c>
      <c r="I1686" s="109" t="s">
        <v>10585</v>
      </c>
      <c r="J1686" s="239" t="s">
        <v>10586</v>
      </c>
      <c r="K1686" s="109" t="s">
        <v>9440</v>
      </c>
      <c r="L1686" s="109" t="s">
        <v>9496</v>
      </c>
    </row>
    <row r="1687" spans="1:12" s="58" customFormat="1" ht="14.85" customHeight="1" x14ac:dyDescent="0.25">
      <c r="A1687" s="108" t="s">
        <v>9308</v>
      </c>
      <c r="B1687" s="115" t="s">
        <v>8939</v>
      </c>
      <c r="C1687" s="115" t="s">
        <v>9338</v>
      </c>
      <c r="D1687" s="109" t="s">
        <v>10619</v>
      </c>
      <c r="E1687" s="106" t="s">
        <v>10620</v>
      </c>
      <c r="F1687" s="109" t="s">
        <v>9496</v>
      </c>
      <c r="G1687" s="115" t="s">
        <v>9324</v>
      </c>
      <c r="H1687" s="115" t="s">
        <v>9323</v>
      </c>
      <c r="I1687" s="109" t="s">
        <v>10587</v>
      </c>
      <c r="J1687" s="239" t="s">
        <v>10588</v>
      </c>
      <c r="K1687" s="109" t="s">
        <v>9440</v>
      </c>
      <c r="L1687" s="109" t="s">
        <v>9496</v>
      </c>
    </row>
    <row r="1688" spans="1:12" s="58" customFormat="1" ht="14.85" customHeight="1" x14ac:dyDescent="0.25">
      <c r="A1688" s="108" t="s">
        <v>9308</v>
      </c>
      <c r="B1688" s="115" t="s">
        <v>8939</v>
      </c>
      <c r="C1688" s="115" t="s">
        <v>9338</v>
      </c>
      <c r="D1688" s="109" t="s">
        <v>10619</v>
      </c>
      <c r="E1688" s="106" t="s">
        <v>10620</v>
      </c>
      <c r="F1688" s="109" t="s">
        <v>9496</v>
      </c>
      <c r="G1688" s="115" t="s">
        <v>9324</v>
      </c>
      <c r="H1688" s="115" t="s">
        <v>9323</v>
      </c>
      <c r="I1688" s="109" t="s">
        <v>10591</v>
      </c>
      <c r="J1688" s="239" t="s">
        <v>10592</v>
      </c>
      <c r="K1688" s="109" t="s">
        <v>9440</v>
      </c>
      <c r="L1688" s="109" t="s">
        <v>9496</v>
      </c>
    </row>
    <row r="1689" spans="1:12" s="58" customFormat="1" ht="14.85" customHeight="1" x14ac:dyDescent="0.25">
      <c r="A1689" s="108" t="s">
        <v>9308</v>
      </c>
      <c r="B1689" s="115" t="s">
        <v>8939</v>
      </c>
      <c r="C1689" s="115" t="s">
        <v>9338</v>
      </c>
      <c r="D1689" s="109" t="s">
        <v>10621</v>
      </c>
      <c r="E1689" s="106" t="s">
        <v>10622</v>
      </c>
      <c r="F1689" s="109" t="s">
        <v>9496</v>
      </c>
      <c r="G1689" s="115" t="s">
        <v>9324</v>
      </c>
      <c r="H1689" s="115" t="s">
        <v>9323</v>
      </c>
      <c r="I1689" s="109" t="s">
        <v>10569</v>
      </c>
      <c r="J1689" s="239" t="s">
        <v>10570</v>
      </c>
      <c r="K1689" s="109" t="s">
        <v>9440</v>
      </c>
      <c r="L1689" s="109" t="s">
        <v>9496</v>
      </c>
    </row>
    <row r="1690" spans="1:12" s="58" customFormat="1" ht="14.85" customHeight="1" x14ac:dyDescent="0.25">
      <c r="A1690" s="108" t="s">
        <v>9308</v>
      </c>
      <c r="B1690" s="115" t="s">
        <v>8939</v>
      </c>
      <c r="C1690" s="115" t="s">
        <v>9338</v>
      </c>
      <c r="D1690" s="109" t="s">
        <v>10621</v>
      </c>
      <c r="E1690" s="106" t="s">
        <v>10622</v>
      </c>
      <c r="F1690" s="109" t="s">
        <v>9496</v>
      </c>
      <c r="G1690" s="115" t="s">
        <v>9324</v>
      </c>
      <c r="H1690" s="115" t="s">
        <v>9323</v>
      </c>
      <c r="I1690" s="109" t="s">
        <v>10571</v>
      </c>
      <c r="J1690" s="239" t="s">
        <v>10572</v>
      </c>
      <c r="K1690" s="109" t="s">
        <v>9440</v>
      </c>
      <c r="L1690" s="109" t="s">
        <v>9496</v>
      </c>
    </row>
    <row r="1691" spans="1:12" s="58" customFormat="1" ht="14.85" customHeight="1" x14ac:dyDescent="0.25">
      <c r="A1691" s="108" t="s">
        <v>9308</v>
      </c>
      <c r="B1691" s="115" t="s">
        <v>8939</v>
      </c>
      <c r="C1691" s="115" t="s">
        <v>9338</v>
      </c>
      <c r="D1691" s="109" t="s">
        <v>10621</v>
      </c>
      <c r="E1691" s="106" t="s">
        <v>10622</v>
      </c>
      <c r="F1691" s="109" t="s">
        <v>9496</v>
      </c>
      <c r="G1691" s="115" t="s">
        <v>9324</v>
      </c>
      <c r="H1691" s="115" t="s">
        <v>9323</v>
      </c>
      <c r="I1691" s="109" t="s">
        <v>10573</v>
      </c>
      <c r="J1691" s="239" t="s">
        <v>10574</v>
      </c>
      <c r="K1691" s="109" t="s">
        <v>9440</v>
      </c>
      <c r="L1691" s="109" t="s">
        <v>9496</v>
      </c>
    </row>
    <row r="1692" spans="1:12" s="58" customFormat="1" ht="14.85" customHeight="1" x14ac:dyDescent="0.25">
      <c r="A1692" s="108" t="s">
        <v>9308</v>
      </c>
      <c r="B1692" s="115" t="s">
        <v>8939</v>
      </c>
      <c r="C1692" s="115" t="s">
        <v>9338</v>
      </c>
      <c r="D1692" s="109" t="s">
        <v>10621</v>
      </c>
      <c r="E1692" s="106" t="s">
        <v>10622</v>
      </c>
      <c r="F1692" s="109" t="s">
        <v>9496</v>
      </c>
      <c r="G1692" s="115" t="s">
        <v>9324</v>
      </c>
      <c r="H1692" s="115" t="s">
        <v>9323</v>
      </c>
      <c r="I1692" s="109" t="s">
        <v>10575</v>
      </c>
      <c r="J1692" s="239" t="s">
        <v>10576</v>
      </c>
      <c r="K1692" s="109" t="s">
        <v>9440</v>
      </c>
      <c r="L1692" s="109" t="s">
        <v>9496</v>
      </c>
    </row>
    <row r="1693" spans="1:12" s="58" customFormat="1" ht="14.85" customHeight="1" x14ac:dyDescent="0.25">
      <c r="A1693" s="108" t="s">
        <v>9308</v>
      </c>
      <c r="B1693" s="115" t="s">
        <v>8939</v>
      </c>
      <c r="C1693" s="115" t="s">
        <v>9338</v>
      </c>
      <c r="D1693" s="109" t="s">
        <v>10621</v>
      </c>
      <c r="E1693" s="106" t="s">
        <v>10622</v>
      </c>
      <c r="F1693" s="109" t="s">
        <v>9496</v>
      </c>
      <c r="G1693" s="115" t="s">
        <v>9324</v>
      </c>
      <c r="H1693" s="115" t="s">
        <v>9323</v>
      </c>
      <c r="I1693" s="109" t="s">
        <v>10579</v>
      </c>
      <c r="J1693" s="239" t="s">
        <v>10580</v>
      </c>
      <c r="K1693" s="109" t="s">
        <v>9440</v>
      </c>
      <c r="L1693" s="109" t="s">
        <v>9496</v>
      </c>
    </row>
    <row r="1694" spans="1:12" s="58" customFormat="1" ht="14.85" customHeight="1" x14ac:dyDescent="0.25">
      <c r="A1694" s="108" t="s">
        <v>9308</v>
      </c>
      <c r="B1694" s="115" t="s">
        <v>8939</v>
      </c>
      <c r="C1694" s="115" t="s">
        <v>9338</v>
      </c>
      <c r="D1694" s="109" t="s">
        <v>10621</v>
      </c>
      <c r="E1694" s="106" t="s">
        <v>10622</v>
      </c>
      <c r="F1694" s="109" t="s">
        <v>9496</v>
      </c>
      <c r="G1694" s="115" t="s">
        <v>9324</v>
      </c>
      <c r="H1694" s="115" t="s">
        <v>9323</v>
      </c>
      <c r="I1694" s="109" t="s">
        <v>10581</v>
      </c>
      <c r="J1694" s="239" t="s">
        <v>10582</v>
      </c>
      <c r="K1694" s="109" t="s">
        <v>9440</v>
      </c>
      <c r="L1694" s="109" t="s">
        <v>9496</v>
      </c>
    </row>
    <row r="1695" spans="1:12" s="58" customFormat="1" ht="14.85" customHeight="1" x14ac:dyDescent="0.25">
      <c r="A1695" s="108" t="s">
        <v>9308</v>
      </c>
      <c r="B1695" s="115" t="s">
        <v>8939</v>
      </c>
      <c r="C1695" s="115" t="s">
        <v>9338</v>
      </c>
      <c r="D1695" s="109" t="s">
        <v>10621</v>
      </c>
      <c r="E1695" s="106" t="s">
        <v>10622</v>
      </c>
      <c r="F1695" s="109" t="s">
        <v>9496</v>
      </c>
      <c r="G1695" s="115" t="s">
        <v>9324</v>
      </c>
      <c r="H1695" s="115" t="s">
        <v>9323</v>
      </c>
      <c r="I1695" s="109" t="s">
        <v>10585</v>
      </c>
      <c r="J1695" s="239" t="s">
        <v>10586</v>
      </c>
      <c r="K1695" s="109" t="s">
        <v>9440</v>
      </c>
      <c r="L1695" s="109" t="s">
        <v>9496</v>
      </c>
    </row>
    <row r="1696" spans="1:12" s="58" customFormat="1" ht="14.85" customHeight="1" x14ac:dyDescent="0.25">
      <c r="A1696" s="108" t="s">
        <v>9308</v>
      </c>
      <c r="B1696" s="115" t="s">
        <v>8939</v>
      </c>
      <c r="C1696" s="115" t="s">
        <v>9338</v>
      </c>
      <c r="D1696" s="109" t="s">
        <v>10621</v>
      </c>
      <c r="E1696" s="106" t="s">
        <v>10622</v>
      </c>
      <c r="F1696" s="109" t="s">
        <v>9496</v>
      </c>
      <c r="G1696" s="115" t="s">
        <v>9324</v>
      </c>
      <c r="H1696" s="115" t="s">
        <v>9323</v>
      </c>
      <c r="I1696" s="109" t="s">
        <v>10587</v>
      </c>
      <c r="J1696" s="239" t="s">
        <v>10588</v>
      </c>
      <c r="K1696" s="109" t="s">
        <v>9440</v>
      </c>
      <c r="L1696" s="109" t="s">
        <v>9496</v>
      </c>
    </row>
    <row r="1697" spans="1:12" s="58" customFormat="1" ht="14.85" customHeight="1" x14ac:dyDescent="0.25">
      <c r="A1697" s="108" t="s">
        <v>9308</v>
      </c>
      <c r="B1697" s="115" t="s">
        <v>8939</v>
      </c>
      <c r="C1697" s="115" t="s">
        <v>9338</v>
      </c>
      <c r="D1697" s="109" t="s">
        <v>10621</v>
      </c>
      <c r="E1697" s="106" t="s">
        <v>10622</v>
      </c>
      <c r="F1697" s="109" t="s">
        <v>9496</v>
      </c>
      <c r="G1697" s="115" t="s">
        <v>9324</v>
      </c>
      <c r="H1697" s="115" t="s">
        <v>9323</v>
      </c>
      <c r="I1697" s="109" t="s">
        <v>10591</v>
      </c>
      <c r="J1697" s="239" t="s">
        <v>10592</v>
      </c>
      <c r="K1697" s="109" t="s">
        <v>9440</v>
      </c>
      <c r="L1697" s="109" t="s">
        <v>9496</v>
      </c>
    </row>
    <row r="1698" spans="1:12" s="58" customFormat="1" ht="14.85" customHeight="1" x14ac:dyDescent="0.25">
      <c r="A1698" s="108" t="s">
        <v>9308</v>
      </c>
      <c r="B1698" s="115" t="s">
        <v>8939</v>
      </c>
      <c r="C1698" s="115" t="s">
        <v>9338</v>
      </c>
      <c r="D1698" s="109" t="s">
        <v>10623</v>
      </c>
      <c r="E1698" s="106" t="s">
        <v>10624</v>
      </c>
      <c r="F1698" s="109" t="s">
        <v>9496</v>
      </c>
      <c r="G1698" s="115" t="s">
        <v>9324</v>
      </c>
      <c r="H1698" s="115" t="s">
        <v>9323</v>
      </c>
      <c r="I1698" s="109" t="s">
        <v>10571</v>
      </c>
      <c r="J1698" s="239" t="s">
        <v>10572</v>
      </c>
      <c r="K1698" s="109" t="s">
        <v>9440</v>
      </c>
      <c r="L1698" s="109" t="s">
        <v>9496</v>
      </c>
    </row>
    <row r="1699" spans="1:12" s="58" customFormat="1" ht="14.85" customHeight="1" x14ac:dyDescent="0.25">
      <c r="A1699" s="108" t="s">
        <v>9308</v>
      </c>
      <c r="B1699" s="115" t="s">
        <v>8939</v>
      </c>
      <c r="C1699" s="115" t="s">
        <v>9338</v>
      </c>
      <c r="D1699" s="109" t="s">
        <v>10623</v>
      </c>
      <c r="E1699" s="106" t="s">
        <v>10624</v>
      </c>
      <c r="F1699" s="109" t="s">
        <v>9496</v>
      </c>
      <c r="G1699" s="115" t="s">
        <v>9324</v>
      </c>
      <c r="H1699" s="115" t="s">
        <v>9323</v>
      </c>
      <c r="I1699" s="109" t="s">
        <v>10599</v>
      </c>
      <c r="J1699" s="239" t="s">
        <v>10600</v>
      </c>
      <c r="K1699" s="109" t="s">
        <v>9440</v>
      </c>
      <c r="L1699" s="109" t="s">
        <v>9496</v>
      </c>
    </row>
    <row r="1700" spans="1:12" s="58" customFormat="1" ht="14.85" customHeight="1" x14ac:dyDescent="0.25">
      <c r="A1700" s="108" t="s">
        <v>9308</v>
      </c>
      <c r="B1700" s="115" t="s">
        <v>8939</v>
      </c>
      <c r="C1700" s="115" t="s">
        <v>9338</v>
      </c>
      <c r="D1700" s="109" t="s">
        <v>10623</v>
      </c>
      <c r="E1700" s="106" t="s">
        <v>10624</v>
      </c>
      <c r="F1700" s="109" t="s">
        <v>9496</v>
      </c>
      <c r="G1700" s="115" t="s">
        <v>9324</v>
      </c>
      <c r="H1700" s="115" t="s">
        <v>9323</v>
      </c>
      <c r="I1700" s="109" t="s">
        <v>10575</v>
      </c>
      <c r="J1700" s="239" t="s">
        <v>10576</v>
      </c>
      <c r="K1700" s="109" t="s">
        <v>9440</v>
      </c>
      <c r="L1700" s="109" t="s">
        <v>9496</v>
      </c>
    </row>
    <row r="1701" spans="1:12" s="58" customFormat="1" ht="14.85" customHeight="1" x14ac:dyDescent="0.25">
      <c r="A1701" s="108" t="s">
        <v>9308</v>
      </c>
      <c r="B1701" s="115" t="s">
        <v>8939</v>
      </c>
      <c r="C1701" s="115" t="s">
        <v>9338</v>
      </c>
      <c r="D1701" s="109" t="s">
        <v>10623</v>
      </c>
      <c r="E1701" s="106" t="s">
        <v>10624</v>
      </c>
      <c r="F1701" s="109" t="s">
        <v>9496</v>
      </c>
      <c r="G1701" s="115" t="s">
        <v>9324</v>
      </c>
      <c r="H1701" s="115" t="s">
        <v>9323</v>
      </c>
      <c r="I1701" s="109" t="s">
        <v>10579</v>
      </c>
      <c r="J1701" s="239" t="s">
        <v>10580</v>
      </c>
      <c r="K1701" s="109" t="s">
        <v>9440</v>
      </c>
      <c r="L1701" s="109" t="s">
        <v>9496</v>
      </c>
    </row>
    <row r="1702" spans="1:12" s="58" customFormat="1" ht="14.85" customHeight="1" x14ac:dyDescent="0.25">
      <c r="A1702" s="108" t="s">
        <v>9308</v>
      </c>
      <c r="B1702" s="115" t="s">
        <v>8939</v>
      </c>
      <c r="C1702" s="115" t="s">
        <v>9338</v>
      </c>
      <c r="D1702" s="109" t="s">
        <v>10623</v>
      </c>
      <c r="E1702" s="106" t="s">
        <v>10624</v>
      </c>
      <c r="F1702" s="109" t="s">
        <v>9496</v>
      </c>
      <c r="G1702" s="115" t="s">
        <v>9324</v>
      </c>
      <c r="H1702" s="115" t="s">
        <v>9323</v>
      </c>
      <c r="I1702" s="109" t="s">
        <v>10617</v>
      </c>
      <c r="J1702" s="239" t="s">
        <v>10618</v>
      </c>
      <c r="K1702" s="109" t="s">
        <v>9440</v>
      </c>
      <c r="L1702" s="109" t="s">
        <v>9496</v>
      </c>
    </row>
    <row r="1703" spans="1:12" s="58" customFormat="1" ht="14.85" customHeight="1" x14ac:dyDescent="0.25">
      <c r="A1703" s="108" t="s">
        <v>9308</v>
      </c>
      <c r="B1703" s="115" t="s">
        <v>8939</v>
      </c>
      <c r="C1703" s="115" t="s">
        <v>9338</v>
      </c>
      <c r="D1703" s="109" t="s">
        <v>10623</v>
      </c>
      <c r="E1703" s="106" t="s">
        <v>10624</v>
      </c>
      <c r="F1703" s="109" t="s">
        <v>9496</v>
      </c>
      <c r="G1703" s="115" t="s">
        <v>9324</v>
      </c>
      <c r="H1703" s="115" t="s">
        <v>9323</v>
      </c>
      <c r="I1703" s="109" t="s">
        <v>10581</v>
      </c>
      <c r="J1703" s="239" t="s">
        <v>10582</v>
      </c>
      <c r="K1703" s="109" t="s">
        <v>9440</v>
      </c>
      <c r="L1703" s="109" t="s">
        <v>9496</v>
      </c>
    </row>
    <row r="1704" spans="1:12" s="58" customFormat="1" ht="14.85" customHeight="1" x14ac:dyDescent="0.25">
      <c r="A1704" s="108" t="s">
        <v>9308</v>
      </c>
      <c r="B1704" s="115" t="s">
        <v>8939</v>
      </c>
      <c r="C1704" s="115" t="s">
        <v>9338</v>
      </c>
      <c r="D1704" s="109" t="s">
        <v>10623</v>
      </c>
      <c r="E1704" s="106" t="s">
        <v>10624</v>
      </c>
      <c r="F1704" s="109" t="s">
        <v>9496</v>
      </c>
      <c r="G1704" s="115" t="s">
        <v>9324</v>
      </c>
      <c r="H1704" s="115" t="s">
        <v>9323</v>
      </c>
      <c r="I1704" s="109" t="s">
        <v>10585</v>
      </c>
      <c r="J1704" s="239" t="s">
        <v>10586</v>
      </c>
      <c r="K1704" s="109" t="s">
        <v>9440</v>
      </c>
      <c r="L1704" s="109" t="s">
        <v>9496</v>
      </c>
    </row>
    <row r="1705" spans="1:12" s="58" customFormat="1" ht="14.85" customHeight="1" x14ac:dyDescent="0.25">
      <c r="A1705" s="108" t="s">
        <v>9308</v>
      </c>
      <c r="B1705" s="115" t="s">
        <v>8939</v>
      </c>
      <c r="C1705" s="115" t="s">
        <v>9338</v>
      </c>
      <c r="D1705" s="109" t="s">
        <v>10623</v>
      </c>
      <c r="E1705" s="106" t="s">
        <v>10624</v>
      </c>
      <c r="F1705" s="109" t="s">
        <v>9496</v>
      </c>
      <c r="G1705" s="115" t="s">
        <v>9324</v>
      </c>
      <c r="H1705" s="115" t="s">
        <v>9323</v>
      </c>
      <c r="I1705" s="109" t="s">
        <v>10587</v>
      </c>
      <c r="J1705" s="239" t="s">
        <v>10588</v>
      </c>
      <c r="K1705" s="109" t="s">
        <v>9440</v>
      </c>
      <c r="L1705" s="109" t="s">
        <v>9496</v>
      </c>
    </row>
    <row r="1706" spans="1:12" s="58" customFormat="1" ht="14.85" customHeight="1" x14ac:dyDescent="0.25">
      <c r="A1706" s="108" t="s">
        <v>9308</v>
      </c>
      <c r="B1706" s="115" t="s">
        <v>8939</v>
      </c>
      <c r="C1706" s="115" t="s">
        <v>9338</v>
      </c>
      <c r="D1706" s="109" t="s">
        <v>10623</v>
      </c>
      <c r="E1706" s="106" t="s">
        <v>10624</v>
      </c>
      <c r="F1706" s="109" t="s">
        <v>9496</v>
      </c>
      <c r="G1706" s="115" t="s">
        <v>9324</v>
      </c>
      <c r="H1706" s="115" t="s">
        <v>9323</v>
      </c>
      <c r="I1706" s="109" t="s">
        <v>10591</v>
      </c>
      <c r="J1706" s="239" t="s">
        <v>10592</v>
      </c>
      <c r="K1706" s="109" t="s">
        <v>9440</v>
      </c>
      <c r="L1706" s="109" t="s">
        <v>9496</v>
      </c>
    </row>
    <row r="1707" spans="1:12" s="58" customFormat="1" ht="14.85" customHeight="1" x14ac:dyDescent="0.25">
      <c r="A1707" s="108" t="s">
        <v>9308</v>
      </c>
      <c r="B1707" s="115" t="s">
        <v>8939</v>
      </c>
      <c r="C1707" s="115" t="s">
        <v>9338</v>
      </c>
      <c r="D1707" s="109" t="s">
        <v>10625</v>
      </c>
      <c r="E1707" s="106" t="s">
        <v>10626</v>
      </c>
      <c r="F1707" s="109" t="s">
        <v>9496</v>
      </c>
      <c r="G1707" s="115" t="s">
        <v>9324</v>
      </c>
      <c r="H1707" s="115" t="s">
        <v>9324</v>
      </c>
      <c r="I1707" s="109" t="s">
        <v>10571</v>
      </c>
      <c r="J1707" s="239" t="s">
        <v>10572</v>
      </c>
      <c r="K1707" s="109" t="s">
        <v>9440</v>
      </c>
      <c r="L1707" s="109" t="s">
        <v>9496</v>
      </c>
    </row>
    <row r="1708" spans="1:12" s="58" customFormat="1" ht="14.85" customHeight="1" x14ac:dyDescent="0.25">
      <c r="A1708" s="108" t="s">
        <v>9308</v>
      </c>
      <c r="B1708" s="115" t="s">
        <v>8939</v>
      </c>
      <c r="C1708" s="115" t="s">
        <v>9338</v>
      </c>
      <c r="D1708" s="109" t="s">
        <v>10625</v>
      </c>
      <c r="E1708" s="106" t="s">
        <v>10626</v>
      </c>
      <c r="F1708" s="109" t="s">
        <v>9496</v>
      </c>
      <c r="G1708" s="115" t="s">
        <v>9324</v>
      </c>
      <c r="H1708" s="115" t="s">
        <v>9324</v>
      </c>
      <c r="I1708" s="109" t="s">
        <v>10579</v>
      </c>
      <c r="J1708" s="239" t="s">
        <v>10580</v>
      </c>
      <c r="K1708" s="109" t="s">
        <v>9440</v>
      </c>
      <c r="L1708" s="109" t="s">
        <v>9496</v>
      </c>
    </row>
    <row r="1709" spans="1:12" s="58" customFormat="1" ht="14.85" customHeight="1" x14ac:dyDescent="0.25">
      <c r="A1709" s="108" t="s">
        <v>9308</v>
      </c>
      <c r="B1709" s="115" t="s">
        <v>8939</v>
      </c>
      <c r="C1709" s="115" t="s">
        <v>9338</v>
      </c>
      <c r="D1709" s="109" t="s">
        <v>10625</v>
      </c>
      <c r="E1709" s="106" t="s">
        <v>10626</v>
      </c>
      <c r="F1709" s="109" t="s">
        <v>9496</v>
      </c>
      <c r="G1709" s="115" t="s">
        <v>9324</v>
      </c>
      <c r="H1709" s="115" t="s">
        <v>9324</v>
      </c>
      <c r="I1709" s="109" t="s">
        <v>10581</v>
      </c>
      <c r="J1709" s="239" t="s">
        <v>10582</v>
      </c>
      <c r="K1709" s="109" t="s">
        <v>9440</v>
      </c>
      <c r="L1709" s="109" t="s">
        <v>9496</v>
      </c>
    </row>
    <row r="1710" spans="1:12" s="58" customFormat="1" ht="14.85" customHeight="1" x14ac:dyDescent="0.25">
      <c r="A1710" s="108" t="s">
        <v>9308</v>
      </c>
      <c r="B1710" s="115" t="s">
        <v>8939</v>
      </c>
      <c r="C1710" s="115" t="s">
        <v>9338</v>
      </c>
      <c r="D1710" s="109" t="s">
        <v>10625</v>
      </c>
      <c r="E1710" s="106" t="s">
        <v>10626</v>
      </c>
      <c r="F1710" s="109" t="s">
        <v>9496</v>
      </c>
      <c r="G1710" s="115" t="s">
        <v>9324</v>
      </c>
      <c r="H1710" s="115" t="s">
        <v>9324</v>
      </c>
      <c r="I1710" s="109" t="s">
        <v>10585</v>
      </c>
      <c r="J1710" s="239" t="s">
        <v>10586</v>
      </c>
      <c r="K1710" s="109" t="s">
        <v>9440</v>
      </c>
      <c r="L1710" s="109" t="s">
        <v>9496</v>
      </c>
    </row>
    <row r="1711" spans="1:12" s="58" customFormat="1" ht="14.85" customHeight="1" x14ac:dyDescent="0.25">
      <c r="A1711" s="108" t="s">
        <v>9308</v>
      </c>
      <c r="B1711" s="115" t="s">
        <v>8939</v>
      </c>
      <c r="C1711" s="115" t="s">
        <v>9338</v>
      </c>
      <c r="D1711" s="109" t="s">
        <v>10625</v>
      </c>
      <c r="E1711" s="106" t="s">
        <v>10626</v>
      </c>
      <c r="F1711" s="109" t="s">
        <v>9496</v>
      </c>
      <c r="G1711" s="115" t="s">
        <v>9324</v>
      </c>
      <c r="H1711" s="115" t="s">
        <v>9324</v>
      </c>
      <c r="I1711" s="109" t="s">
        <v>10587</v>
      </c>
      <c r="J1711" s="239" t="s">
        <v>10588</v>
      </c>
      <c r="K1711" s="109" t="s">
        <v>9440</v>
      </c>
      <c r="L1711" s="109" t="s">
        <v>9496</v>
      </c>
    </row>
    <row r="1712" spans="1:12" s="58" customFormat="1" ht="14.85" customHeight="1" x14ac:dyDescent="0.25">
      <c r="A1712" s="108" t="s">
        <v>9308</v>
      </c>
      <c r="B1712" s="115" t="s">
        <v>8939</v>
      </c>
      <c r="C1712" s="115" t="s">
        <v>9338</v>
      </c>
      <c r="D1712" s="109" t="s">
        <v>10625</v>
      </c>
      <c r="E1712" s="106" t="s">
        <v>10626</v>
      </c>
      <c r="F1712" s="109" t="s">
        <v>9496</v>
      </c>
      <c r="G1712" s="115" t="s">
        <v>9324</v>
      </c>
      <c r="H1712" s="115" t="s">
        <v>9324</v>
      </c>
      <c r="I1712" s="109" t="s">
        <v>10591</v>
      </c>
      <c r="J1712" s="239" t="s">
        <v>10592</v>
      </c>
      <c r="K1712" s="109" t="s">
        <v>9440</v>
      </c>
      <c r="L1712" s="109" t="s">
        <v>9496</v>
      </c>
    </row>
    <row r="1713" spans="1:12" s="58" customFormat="1" ht="14.85" customHeight="1" x14ac:dyDescent="0.25">
      <c r="A1713" s="108" t="s">
        <v>9308</v>
      </c>
      <c r="B1713" s="115" t="s">
        <v>8939</v>
      </c>
      <c r="C1713" s="115" t="s">
        <v>9338</v>
      </c>
      <c r="D1713" s="109" t="s">
        <v>10627</v>
      </c>
      <c r="E1713" s="106" t="s">
        <v>10628</v>
      </c>
      <c r="F1713" s="109" t="s">
        <v>9496</v>
      </c>
      <c r="G1713" s="115" t="s">
        <v>9324</v>
      </c>
      <c r="H1713" s="115" t="s">
        <v>9323</v>
      </c>
      <c r="I1713" s="109" t="s">
        <v>10571</v>
      </c>
      <c r="J1713" s="239" t="s">
        <v>10572</v>
      </c>
      <c r="K1713" s="109" t="s">
        <v>9440</v>
      </c>
      <c r="L1713" s="109" t="s">
        <v>9496</v>
      </c>
    </row>
    <row r="1714" spans="1:12" s="58" customFormat="1" ht="14.85" customHeight="1" x14ac:dyDescent="0.25">
      <c r="A1714" s="108" t="s">
        <v>9308</v>
      </c>
      <c r="B1714" s="115" t="s">
        <v>8939</v>
      </c>
      <c r="C1714" s="115" t="s">
        <v>9338</v>
      </c>
      <c r="D1714" s="109" t="s">
        <v>10627</v>
      </c>
      <c r="E1714" s="106" t="s">
        <v>10628</v>
      </c>
      <c r="F1714" s="109" t="s">
        <v>9496</v>
      </c>
      <c r="G1714" s="115" t="s">
        <v>9324</v>
      </c>
      <c r="H1714" s="115" t="s">
        <v>9323</v>
      </c>
      <c r="I1714" s="109" t="s">
        <v>10575</v>
      </c>
      <c r="J1714" s="239" t="s">
        <v>10576</v>
      </c>
      <c r="K1714" s="109" t="s">
        <v>9440</v>
      </c>
      <c r="L1714" s="109" t="s">
        <v>9496</v>
      </c>
    </row>
    <row r="1715" spans="1:12" s="58" customFormat="1" ht="14.85" customHeight="1" x14ac:dyDescent="0.25">
      <c r="A1715" s="108" t="s">
        <v>9308</v>
      </c>
      <c r="B1715" s="115" t="s">
        <v>8939</v>
      </c>
      <c r="C1715" s="115" t="s">
        <v>9338</v>
      </c>
      <c r="D1715" s="109" t="s">
        <v>10627</v>
      </c>
      <c r="E1715" s="106" t="s">
        <v>10628</v>
      </c>
      <c r="F1715" s="109" t="s">
        <v>9496</v>
      </c>
      <c r="G1715" s="115" t="s">
        <v>9324</v>
      </c>
      <c r="H1715" s="115" t="s">
        <v>9323</v>
      </c>
      <c r="I1715" s="109" t="s">
        <v>10579</v>
      </c>
      <c r="J1715" s="239" t="s">
        <v>10580</v>
      </c>
      <c r="K1715" s="109" t="s">
        <v>9440</v>
      </c>
      <c r="L1715" s="109" t="s">
        <v>9496</v>
      </c>
    </row>
    <row r="1716" spans="1:12" s="58" customFormat="1" ht="14.85" customHeight="1" x14ac:dyDescent="0.25">
      <c r="A1716" s="108" t="s">
        <v>9308</v>
      </c>
      <c r="B1716" s="115" t="s">
        <v>8939</v>
      </c>
      <c r="C1716" s="115" t="s">
        <v>9338</v>
      </c>
      <c r="D1716" s="109" t="s">
        <v>10627</v>
      </c>
      <c r="E1716" s="106" t="s">
        <v>10628</v>
      </c>
      <c r="F1716" s="109" t="s">
        <v>9496</v>
      </c>
      <c r="G1716" s="115" t="s">
        <v>9324</v>
      </c>
      <c r="H1716" s="115" t="s">
        <v>9323</v>
      </c>
      <c r="I1716" s="109" t="s">
        <v>10617</v>
      </c>
      <c r="J1716" s="239" t="s">
        <v>10618</v>
      </c>
      <c r="K1716" s="109" t="s">
        <v>9440</v>
      </c>
      <c r="L1716" s="109" t="s">
        <v>9496</v>
      </c>
    </row>
    <row r="1717" spans="1:12" s="58" customFormat="1" ht="14.85" customHeight="1" x14ac:dyDescent="0.25">
      <c r="A1717" s="108" t="s">
        <v>9308</v>
      </c>
      <c r="B1717" s="115" t="s">
        <v>8939</v>
      </c>
      <c r="C1717" s="115" t="s">
        <v>9338</v>
      </c>
      <c r="D1717" s="109" t="s">
        <v>10627</v>
      </c>
      <c r="E1717" s="106" t="s">
        <v>10628</v>
      </c>
      <c r="F1717" s="109" t="s">
        <v>9496</v>
      </c>
      <c r="G1717" s="115" t="s">
        <v>9324</v>
      </c>
      <c r="H1717" s="115" t="s">
        <v>9323</v>
      </c>
      <c r="I1717" s="109" t="s">
        <v>10581</v>
      </c>
      <c r="J1717" s="239" t="s">
        <v>10582</v>
      </c>
      <c r="K1717" s="109" t="s">
        <v>9440</v>
      </c>
      <c r="L1717" s="109" t="s">
        <v>9496</v>
      </c>
    </row>
    <row r="1718" spans="1:12" s="58" customFormat="1" ht="14.85" customHeight="1" x14ac:dyDescent="0.25">
      <c r="A1718" s="108" t="s">
        <v>9308</v>
      </c>
      <c r="B1718" s="115" t="s">
        <v>8939</v>
      </c>
      <c r="C1718" s="115" t="s">
        <v>9338</v>
      </c>
      <c r="D1718" s="109" t="s">
        <v>10627</v>
      </c>
      <c r="E1718" s="106" t="s">
        <v>10628</v>
      </c>
      <c r="F1718" s="109" t="s">
        <v>9496</v>
      </c>
      <c r="G1718" s="115" t="s">
        <v>9324</v>
      </c>
      <c r="H1718" s="115" t="s">
        <v>9323</v>
      </c>
      <c r="I1718" s="109" t="s">
        <v>10585</v>
      </c>
      <c r="J1718" s="239" t="s">
        <v>10586</v>
      </c>
      <c r="K1718" s="109" t="s">
        <v>9440</v>
      </c>
      <c r="L1718" s="109" t="s">
        <v>9496</v>
      </c>
    </row>
    <row r="1719" spans="1:12" s="58" customFormat="1" ht="14.85" customHeight="1" x14ac:dyDescent="0.25">
      <c r="A1719" s="108" t="s">
        <v>9308</v>
      </c>
      <c r="B1719" s="115" t="s">
        <v>8939</v>
      </c>
      <c r="C1719" s="115" t="s">
        <v>9338</v>
      </c>
      <c r="D1719" s="109" t="s">
        <v>10627</v>
      </c>
      <c r="E1719" s="106" t="s">
        <v>10628</v>
      </c>
      <c r="F1719" s="109" t="s">
        <v>9496</v>
      </c>
      <c r="G1719" s="115" t="s">
        <v>9324</v>
      </c>
      <c r="H1719" s="115" t="s">
        <v>9323</v>
      </c>
      <c r="I1719" s="109" t="s">
        <v>10587</v>
      </c>
      <c r="J1719" s="239" t="s">
        <v>10588</v>
      </c>
      <c r="K1719" s="109" t="s">
        <v>9440</v>
      </c>
      <c r="L1719" s="109" t="s">
        <v>9496</v>
      </c>
    </row>
    <row r="1720" spans="1:12" s="58" customFormat="1" ht="14.85" customHeight="1" x14ac:dyDescent="0.25">
      <c r="A1720" s="108" t="s">
        <v>9308</v>
      </c>
      <c r="B1720" s="115" t="s">
        <v>8939</v>
      </c>
      <c r="C1720" s="115" t="s">
        <v>9338</v>
      </c>
      <c r="D1720" s="109" t="s">
        <v>10627</v>
      </c>
      <c r="E1720" s="106" t="s">
        <v>10628</v>
      </c>
      <c r="F1720" s="109" t="s">
        <v>9496</v>
      </c>
      <c r="G1720" s="115" t="s">
        <v>9324</v>
      </c>
      <c r="H1720" s="115" t="s">
        <v>9323</v>
      </c>
      <c r="I1720" s="109" t="s">
        <v>10591</v>
      </c>
      <c r="J1720" s="239" t="s">
        <v>10592</v>
      </c>
      <c r="K1720" s="109" t="s">
        <v>9440</v>
      </c>
      <c r="L1720" s="109" t="s">
        <v>9496</v>
      </c>
    </row>
    <row r="1721" spans="1:12" s="58" customFormat="1" ht="14.85" customHeight="1" x14ac:dyDescent="0.25">
      <c r="A1721" s="108" t="s">
        <v>9308</v>
      </c>
      <c r="B1721" s="115" t="s">
        <v>8939</v>
      </c>
      <c r="C1721" s="115" t="s">
        <v>9338</v>
      </c>
      <c r="D1721" s="109" t="s">
        <v>10629</v>
      </c>
      <c r="E1721" s="106" t="s">
        <v>10630</v>
      </c>
      <c r="F1721" s="109" t="s">
        <v>9496</v>
      </c>
      <c r="G1721" s="115" t="s">
        <v>9324</v>
      </c>
      <c r="H1721" s="115" t="s">
        <v>9323</v>
      </c>
      <c r="I1721" s="109" t="s">
        <v>10571</v>
      </c>
      <c r="J1721" s="239" t="s">
        <v>10572</v>
      </c>
      <c r="K1721" s="109" t="s">
        <v>9440</v>
      </c>
      <c r="L1721" s="109" t="s">
        <v>9496</v>
      </c>
    </row>
    <row r="1722" spans="1:12" s="58" customFormat="1" ht="14.85" customHeight="1" x14ac:dyDescent="0.25">
      <c r="A1722" s="108" t="s">
        <v>9308</v>
      </c>
      <c r="B1722" s="115" t="s">
        <v>8939</v>
      </c>
      <c r="C1722" s="115" t="s">
        <v>9338</v>
      </c>
      <c r="D1722" s="109" t="s">
        <v>10629</v>
      </c>
      <c r="E1722" s="106" t="s">
        <v>10630</v>
      </c>
      <c r="F1722" s="109" t="s">
        <v>9496</v>
      </c>
      <c r="G1722" s="115" t="s">
        <v>9324</v>
      </c>
      <c r="H1722" s="115" t="s">
        <v>9323</v>
      </c>
      <c r="I1722" s="109" t="s">
        <v>10579</v>
      </c>
      <c r="J1722" s="239" t="s">
        <v>10580</v>
      </c>
      <c r="K1722" s="109" t="s">
        <v>9440</v>
      </c>
      <c r="L1722" s="109" t="s">
        <v>9496</v>
      </c>
    </row>
    <row r="1723" spans="1:12" s="58" customFormat="1" ht="14.85" customHeight="1" x14ac:dyDescent="0.25">
      <c r="A1723" s="108" t="s">
        <v>9308</v>
      </c>
      <c r="B1723" s="115" t="s">
        <v>8939</v>
      </c>
      <c r="C1723" s="115" t="s">
        <v>9338</v>
      </c>
      <c r="D1723" s="109" t="s">
        <v>10629</v>
      </c>
      <c r="E1723" s="106" t="s">
        <v>10630</v>
      </c>
      <c r="F1723" s="109" t="s">
        <v>9496</v>
      </c>
      <c r="G1723" s="115" t="s">
        <v>9324</v>
      </c>
      <c r="H1723" s="115" t="s">
        <v>9323</v>
      </c>
      <c r="I1723" s="109" t="s">
        <v>10617</v>
      </c>
      <c r="J1723" s="239" t="s">
        <v>10618</v>
      </c>
      <c r="K1723" s="109" t="s">
        <v>9440</v>
      </c>
      <c r="L1723" s="109" t="s">
        <v>9496</v>
      </c>
    </row>
    <row r="1724" spans="1:12" s="58" customFormat="1" ht="14.85" customHeight="1" x14ac:dyDescent="0.25">
      <c r="A1724" s="108" t="s">
        <v>9308</v>
      </c>
      <c r="B1724" s="115" t="s">
        <v>8939</v>
      </c>
      <c r="C1724" s="115" t="s">
        <v>9338</v>
      </c>
      <c r="D1724" s="109" t="s">
        <v>10629</v>
      </c>
      <c r="E1724" s="106" t="s">
        <v>10630</v>
      </c>
      <c r="F1724" s="109" t="s">
        <v>9496</v>
      </c>
      <c r="G1724" s="115" t="s">
        <v>9324</v>
      </c>
      <c r="H1724" s="115" t="s">
        <v>9323</v>
      </c>
      <c r="I1724" s="109" t="s">
        <v>10581</v>
      </c>
      <c r="J1724" s="239" t="s">
        <v>10582</v>
      </c>
      <c r="K1724" s="109" t="s">
        <v>9440</v>
      </c>
      <c r="L1724" s="109" t="s">
        <v>9496</v>
      </c>
    </row>
    <row r="1725" spans="1:12" s="58" customFormat="1" ht="14.85" customHeight="1" x14ac:dyDescent="0.25">
      <c r="A1725" s="108" t="s">
        <v>9308</v>
      </c>
      <c r="B1725" s="115" t="s">
        <v>8939</v>
      </c>
      <c r="C1725" s="115" t="s">
        <v>9338</v>
      </c>
      <c r="D1725" s="109" t="s">
        <v>10629</v>
      </c>
      <c r="E1725" s="106" t="s">
        <v>10630</v>
      </c>
      <c r="F1725" s="109" t="s">
        <v>9496</v>
      </c>
      <c r="G1725" s="115" t="s">
        <v>9324</v>
      </c>
      <c r="H1725" s="115" t="s">
        <v>9323</v>
      </c>
      <c r="I1725" s="109" t="s">
        <v>10585</v>
      </c>
      <c r="J1725" s="239" t="s">
        <v>10586</v>
      </c>
      <c r="K1725" s="109" t="s">
        <v>9440</v>
      </c>
      <c r="L1725" s="109" t="s">
        <v>9496</v>
      </c>
    </row>
    <row r="1726" spans="1:12" s="58" customFormat="1" ht="14.85" customHeight="1" x14ac:dyDescent="0.25">
      <c r="A1726" s="108" t="s">
        <v>9308</v>
      </c>
      <c r="B1726" s="115" t="s">
        <v>8939</v>
      </c>
      <c r="C1726" s="115" t="s">
        <v>9338</v>
      </c>
      <c r="D1726" s="109" t="s">
        <v>10629</v>
      </c>
      <c r="E1726" s="106" t="s">
        <v>10630</v>
      </c>
      <c r="F1726" s="109" t="s">
        <v>9496</v>
      </c>
      <c r="G1726" s="115" t="s">
        <v>9324</v>
      </c>
      <c r="H1726" s="115" t="s">
        <v>9323</v>
      </c>
      <c r="I1726" s="109" t="s">
        <v>10587</v>
      </c>
      <c r="J1726" s="239" t="s">
        <v>10588</v>
      </c>
      <c r="K1726" s="109" t="s">
        <v>9440</v>
      </c>
      <c r="L1726" s="109" t="s">
        <v>9496</v>
      </c>
    </row>
    <row r="1727" spans="1:12" s="58" customFormat="1" ht="14.85" customHeight="1" x14ac:dyDescent="0.25">
      <c r="A1727" s="108" t="s">
        <v>9308</v>
      </c>
      <c r="B1727" s="115" t="s">
        <v>8939</v>
      </c>
      <c r="C1727" s="115" t="s">
        <v>9338</v>
      </c>
      <c r="D1727" s="109" t="s">
        <v>10629</v>
      </c>
      <c r="E1727" s="106" t="s">
        <v>10630</v>
      </c>
      <c r="F1727" s="109" t="s">
        <v>9496</v>
      </c>
      <c r="G1727" s="115" t="s">
        <v>9324</v>
      </c>
      <c r="H1727" s="115" t="s">
        <v>9323</v>
      </c>
      <c r="I1727" s="109" t="s">
        <v>10591</v>
      </c>
      <c r="J1727" s="239" t="s">
        <v>10592</v>
      </c>
      <c r="K1727" s="109" t="s">
        <v>9440</v>
      </c>
      <c r="L1727" s="109" t="s">
        <v>9496</v>
      </c>
    </row>
    <row r="1728" spans="1:12" s="58" customFormat="1" ht="14.85" customHeight="1" x14ac:dyDescent="0.25">
      <c r="A1728" s="108" t="s">
        <v>9308</v>
      </c>
      <c r="B1728" s="115" t="s">
        <v>8939</v>
      </c>
      <c r="C1728" s="115" t="s">
        <v>9338</v>
      </c>
      <c r="D1728" s="109" t="s">
        <v>10631</v>
      </c>
      <c r="E1728" s="106" t="s">
        <v>10632</v>
      </c>
      <c r="F1728" s="109" t="s">
        <v>9496</v>
      </c>
      <c r="G1728" s="115" t="s">
        <v>9324</v>
      </c>
      <c r="H1728" s="115" t="s">
        <v>9323</v>
      </c>
      <c r="I1728" s="109" t="s">
        <v>10569</v>
      </c>
      <c r="J1728" s="239" t="s">
        <v>10570</v>
      </c>
      <c r="K1728" s="109" t="s">
        <v>9440</v>
      </c>
      <c r="L1728" s="109" t="s">
        <v>9496</v>
      </c>
    </row>
    <row r="1729" spans="1:12" s="58" customFormat="1" ht="14.85" customHeight="1" x14ac:dyDescent="0.25">
      <c r="A1729" s="108" t="s">
        <v>9308</v>
      </c>
      <c r="B1729" s="115" t="s">
        <v>8939</v>
      </c>
      <c r="C1729" s="115" t="s">
        <v>9338</v>
      </c>
      <c r="D1729" s="109" t="s">
        <v>10631</v>
      </c>
      <c r="E1729" s="106" t="s">
        <v>10632</v>
      </c>
      <c r="F1729" s="109" t="s">
        <v>9496</v>
      </c>
      <c r="G1729" s="115" t="s">
        <v>9324</v>
      </c>
      <c r="H1729" s="115" t="s">
        <v>9323</v>
      </c>
      <c r="I1729" s="109" t="s">
        <v>10571</v>
      </c>
      <c r="J1729" s="239" t="s">
        <v>10572</v>
      </c>
      <c r="K1729" s="109" t="s">
        <v>9440</v>
      </c>
      <c r="L1729" s="109" t="s">
        <v>9496</v>
      </c>
    </row>
    <row r="1730" spans="1:12" s="58" customFormat="1" ht="14.85" customHeight="1" x14ac:dyDescent="0.25">
      <c r="A1730" s="108" t="s">
        <v>9308</v>
      </c>
      <c r="B1730" s="115" t="s">
        <v>8939</v>
      </c>
      <c r="C1730" s="115" t="s">
        <v>9338</v>
      </c>
      <c r="D1730" s="109" t="s">
        <v>10631</v>
      </c>
      <c r="E1730" s="106" t="s">
        <v>10632</v>
      </c>
      <c r="F1730" s="109" t="s">
        <v>9496</v>
      </c>
      <c r="G1730" s="115" t="s">
        <v>9324</v>
      </c>
      <c r="H1730" s="115" t="s">
        <v>9323</v>
      </c>
      <c r="I1730" s="109" t="s">
        <v>10579</v>
      </c>
      <c r="J1730" s="239" t="s">
        <v>10580</v>
      </c>
      <c r="K1730" s="109" t="s">
        <v>9440</v>
      </c>
      <c r="L1730" s="109" t="s">
        <v>9496</v>
      </c>
    </row>
    <row r="1731" spans="1:12" s="58" customFormat="1" ht="14.85" customHeight="1" x14ac:dyDescent="0.25">
      <c r="A1731" s="108" t="s">
        <v>9308</v>
      </c>
      <c r="B1731" s="115" t="s">
        <v>8939</v>
      </c>
      <c r="C1731" s="115" t="s">
        <v>9338</v>
      </c>
      <c r="D1731" s="109" t="s">
        <v>10631</v>
      </c>
      <c r="E1731" s="106" t="s">
        <v>10632</v>
      </c>
      <c r="F1731" s="109" t="s">
        <v>9496</v>
      </c>
      <c r="G1731" s="115" t="s">
        <v>9324</v>
      </c>
      <c r="H1731" s="115" t="s">
        <v>9323</v>
      </c>
      <c r="I1731" s="109" t="s">
        <v>10617</v>
      </c>
      <c r="J1731" s="239" t="s">
        <v>10618</v>
      </c>
      <c r="K1731" s="109" t="s">
        <v>9440</v>
      </c>
      <c r="L1731" s="109" t="s">
        <v>9496</v>
      </c>
    </row>
    <row r="1732" spans="1:12" s="58" customFormat="1" ht="14.85" customHeight="1" x14ac:dyDescent="0.25">
      <c r="A1732" s="108" t="s">
        <v>9308</v>
      </c>
      <c r="B1732" s="115" t="s">
        <v>8939</v>
      </c>
      <c r="C1732" s="115" t="s">
        <v>9338</v>
      </c>
      <c r="D1732" s="109" t="s">
        <v>10631</v>
      </c>
      <c r="E1732" s="106" t="s">
        <v>10632</v>
      </c>
      <c r="F1732" s="109" t="s">
        <v>9496</v>
      </c>
      <c r="G1732" s="115" t="s">
        <v>9324</v>
      </c>
      <c r="H1732" s="115" t="s">
        <v>9323</v>
      </c>
      <c r="I1732" s="109" t="s">
        <v>10581</v>
      </c>
      <c r="J1732" s="239" t="s">
        <v>10582</v>
      </c>
      <c r="K1732" s="109" t="s">
        <v>9440</v>
      </c>
      <c r="L1732" s="109" t="s">
        <v>9496</v>
      </c>
    </row>
    <row r="1733" spans="1:12" s="58" customFormat="1" ht="14.85" customHeight="1" x14ac:dyDescent="0.25">
      <c r="A1733" s="108" t="s">
        <v>9308</v>
      </c>
      <c r="B1733" s="115" t="s">
        <v>8939</v>
      </c>
      <c r="C1733" s="115" t="s">
        <v>9338</v>
      </c>
      <c r="D1733" s="109" t="s">
        <v>10631</v>
      </c>
      <c r="E1733" s="106" t="s">
        <v>10632</v>
      </c>
      <c r="F1733" s="109" t="s">
        <v>9496</v>
      </c>
      <c r="G1733" s="115" t="s">
        <v>9324</v>
      </c>
      <c r="H1733" s="115" t="s">
        <v>9323</v>
      </c>
      <c r="I1733" s="109" t="s">
        <v>10585</v>
      </c>
      <c r="J1733" s="239" t="s">
        <v>10586</v>
      </c>
      <c r="K1733" s="109" t="s">
        <v>9440</v>
      </c>
      <c r="L1733" s="109" t="s">
        <v>9496</v>
      </c>
    </row>
    <row r="1734" spans="1:12" s="58" customFormat="1" ht="14.85" customHeight="1" x14ac:dyDescent="0.25">
      <c r="A1734" s="108" t="s">
        <v>9308</v>
      </c>
      <c r="B1734" s="115" t="s">
        <v>8939</v>
      </c>
      <c r="C1734" s="115" t="s">
        <v>9338</v>
      </c>
      <c r="D1734" s="109" t="s">
        <v>10631</v>
      </c>
      <c r="E1734" s="106" t="s">
        <v>10632</v>
      </c>
      <c r="F1734" s="109" t="s">
        <v>9496</v>
      </c>
      <c r="G1734" s="115" t="s">
        <v>9324</v>
      </c>
      <c r="H1734" s="115" t="s">
        <v>9323</v>
      </c>
      <c r="I1734" s="109" t="s">
        <v>10587</v>
      </c>
      <c r="J1734" s="239" t="s">
        <v>10588</v>
      </c>
      <c r="K1734" s="109" t="s">
        <v>9440</v>
      </c>
      <c r="L1734" s="109" t="s">
        <v>9496</v>
      </c>
    </row>
    <row r="1735" spans="1:12" s="58" customFormat="1" ht="14.85" customHeight="1" x14ac:dyDescent="0.25">
      <c r="A1735" s="108" t="s">
        <v>9308</v>
      </c>
      <c r="B1735" s="115" t="s">
        <v>8939</v>
      </c>
      <c r="C1735" s="115" t="s">
        <v>9338</v>
      </c>
      <c r="D1735" s="109" t="s">
        <v>10631</v>
      </c>
      <c r="E1735" s="106" t="s">
        <v>10632</v>
      </c>
      <c r="F1735" s="109" t="s">
        <v>9496</v>
      </c>
      <c r="G1735" s="115" t="s">
        <v>9324</v>
      </c>
      <c r="H1735" s="115" t="s">
        <v>9323</v>
      </c>
      <c r="I1735" s="109" t="s">
        <v>10591</v>
      </c>
      <c r="J1735" s="239" t="s">
        <v>10592</v>
      </c>
      <c r="K1735" s="109" t="s">
        <v>9440</v>
      </c>
      <c r="L1735" s="109" t="s">
        <v>9496</v>
      </c>
    </row>
    <row r="1736" spans="1:12" s="58" customFormat="1" ht="14.85" customHeight="1" x14ac:dyDescent="0.25">
      <c r="A1736" s="108" t="s">
        <v>9308</v>
      </c>
      <c r="B1736" s="115" t="s">
        <v>8939</v>
      </c>
      <c r="C1736" s="115" t="s">
        <v>9338</v>
      </c>
      <c r="D1736" s="109" t="s">
        <v>10633</v>
      </c>
      <c r="E1736" s="106" t="s">
        <v>10634</v>
      </c>
      <c r="F1736" s="109" t="s">
        <v>9496</v>
      </c>
      <c r="G1736" s="115" t="s">
        <v>9324</v>
      </c>
      <c r="H1736" s="115" t="s">
        <v>9323</v>
      </c>
      <c r="I1736" s="109" t="s">
        <v>10569</v>
      </c>
      <c r="J1736" s="239" t="s">
        <v>10570</v>
      </c>
      <c r="K1736" s="109" t="s">
        <v>9440</v>
      </c>
      <c r="L1736" s="109" t="s">
        <v>9496</v>
      </c>
    </row>
    <row r="1737" spans="1:12" s="58" customFormat="1" ht="14.85" customHeight="1" x14ac:dyDescent="0.25">
      <c r="A1737" s="108" t="s">
        <v>9308</v>
      </c>
      <c r="B1737" s="115" t="s">
        <v>8939</v>
      </c>
      <c r="C1737" s="115" t="s">
        <v>9338</v>
      </c>
      <c r="D1737" s="109" t="s">
        <v>10633</v>
      </c>
      <c r="E1737" s="106" t="s">
        <v>10634</v>
      </c>
      <c r="F1737" s="109" t="s">
        <v>9496</v>
      </c>
      <c r="G1737" s="115" t="s">
        <v>9324</v>
      </c>
      <c r="H1737" s="115" t="s">
        <v>9323</v>
      </c>
      <c r="I1737" s="109" t="s">
        <v>10571</v>
      </c>
      <c r="J1737" s="239" t="s">
        <v>10572</v>
      </c>
      <c r="K1737" s="109" t="s">
        <v>9440</v>
      </c>
      <c r="L1737" s="109" t="s">
        <v>9496</v>
      </c>
    </row>
    <row r="1738" spans="1:12" s="58" customFormat="1" ht="14.85" customHeight="1" x14ac:dyDescent="0.25">
      <c r="A1738" s="108" t="s">
        <v>9308</v>
      </c>
      <c r="B1738" s="115" t="s">
        <v>8939</v>
      </c>
      <c r="C1738" s="115" t="s">
        <v>9338</v>
      </c>
      <c r="D1738" s="109" t="s">
        <v>10633</v>
      </c>
      <c r="E1738" s="106" t="s">
        <v>10634</v>
      </c>
      <c r="F1738" s="109" t="s">
        <v>9496</v>
      </c>
      <c r="G1738" s="115" t="s">
        <v>9324</v>
      </c>
      <c r="H1738" s="115" t="s">
        <v>9323</v>
      </c>
      <c r="I1738" s="109" t="s">
        <v>10579</v>
      </c>
      <c r="J1738" s="239" t="s">
        <v>10580</v>
      </c>
      <c r="K1738" s="109" t="s">
        <v>9440</v>
      </c>
      <c r="L1738" s="109" t="s">
        <v>9496</v>
      </c>
    </row>
    <row r="1739" spans="1:12" s="58" customFormat="1" ht="14.85" customHeight="1" x14ac:dyDescent="0.25">
      <c r="A1739" s="108" t="s">
        <v>9308</v>
      </c>
      <c r="B1739" s="115" t="s">
        <v>8939</v>
      </c>
      <c r="C1739" s="115" t="s">
        <v>9338</v>
      </c>
      <c r="D1739" s="109" t="s">
        <v>10633</v>
      </c>
      <c r="E1739" s="106" t="s">
        <v>10634</v>
      </c>
      <c r="F1739" s="109" t="s">
        <v>9496</v>
      </c>
      <c r="G1739" s="115" t="s">
        <v>9324</v>
      </c>
      <c r="H1739" s="115" t="s">
        <v>9323</v>
      </c>
      <c r="I1739" s="109" t="s">
        <v>10617</v>
      </c>
      <c r="J1739" s="239" t="s">
        <v>10618</v>
      </c>
      <c r="K1739" s="109" t="s">
        <v>9440</v>
      </c>
      <c r="L1739" s="109" t="s">
        <v>9496</v>
      </c>
    </row>
    <row r="1740" spans="1:12" s="58" customFormat="1" ht="14.85" customHeight="1" x14ac:dyDescent="0.25">
      <c r="A1740" s="108" t="s">
        <v>9308</v>
      </c>
      <c r="B1740" s="115" t="s">
        <v>8939</v>
      </c>
      <c r="C1740" s="115" t="s">
        <v>9338</v>
      </c>
      <c r="D1740" s="109" t="s">
        <v>10633</v>
      </c>
      <c r="E1740" s="106" t="s">
        <v>10634</v>
      </c>
      <c r="F1740" s="109" t="s">
        <v>9496</v>
      </c>
      <c r="G1740" s="115" t="s">
        <v>9324</v>
      </c>
      <c r="H1740" s="115" t="s">
        <v>9323</v>
      </c>
      <c r="I1740" s="109" t="s">
        <v>10581</v>
      </c>
      <c r="J1740" s="239" t="s">
        <v>10582</v>
      </c>
      <c r="K1740" s="109" t="s">
        <v>9440</v>
      </c>
      <c r="L1740" s="109" t="s">
        <v>9496</v>
      </c>
    </row>
    <row r="1741" spans="1:12" s="58" customFormat="1" ht="14.85" customHeight="1" x14ac:dyDescent="0.25">
      <c r="A1741" s="108" t="s">
        <v>9308</v>
      </c>
      <c r="B1741" s="115" t="s">
        <v>8939</v>
      </c>
      <c r="C1741" s="115" t="s">
        <v>9338</v>
      </c>
      <c r="D1741" s="109" t="s">
        <v>10633</v>
      </c>
      <c r="E1741" s="106" t="s">
        <v>10634</v>
      </c>
      <c r="F1741" s="109" t="s">
        <v>9496</v>
      </c>
      <c r="G1741" s="115" t="s">
        <v>9324</v>
      </c>
      <c r="H1741" s="115" t="s">
        <v>9323</v>
      </c>
      <c r="I1741" s="109" t="s">
        <v>10585</v>
      </c>
      <c r="J1741" s="239" t="s">
        <v>10586</v>
      </c>
      <c r="K1741" s="109" t="s">
        <v>9440</v>
      </c>
      <c r="L1741" s="109" t="s">
        <v>9496</v>
      </c>
    </row>
    <row r="1742" spans="1:12" s="58" customFormat="1" ht="14.85" customHeight="1" x14ac:dyDescent="0.25">
      <c r="A1742" s="108" t="s">
        <v>9308</v>
      </c>
      <c r="B1742" s="115" t="s">
        <v>8939</v>
      </c>
      <c r="C1742" s="115" t="s">
        <v>9338</v>
      </c>
      <c r="D1742" s="109" t="s">
        <v>10633</v>
      </c>
      <c r="E1742" s="106" t="s">
        <v>10634</v>
      </c>
      <c r="F1742" s="109" t="s">
        <v>9496</v>
      </c>
      <c r="G1742" s="115" t="s">
        <v>9324</v>
      </c>
      <c r="H1742" s="115" t="s">
        <v>9323</v>
      </c>
      <c r="I1742" s="109" t="s">
        <v>10587</v>
      </c>
      <c r="J1742" s="239" t="s">
        <v>10588</v>
      </c>
      <c r="K1742" s="109" t="s">
        <v>9440</v>
      </c>
      <c r="L1742" s="109" t="s">
        <v>9496</v>
      </c>
    </row>
    <row r="1743" spans="1:12" s="58" customFormat="1" ht="14.85" customHeight="1" x14ac:dyDescent="0.25">
      <c r="A1743" s="108" t="s">
        <v>9308</v>
      </c>
      <c r="B1743" s="115" t="s">
        <v>8939</v>
      </c>
      <c r="C1743" s="115" t="s">
        <v>9338</v>
      </c>
      <c r="D1743" s="109" t="s">
        <v>10633</v>
      </c>
      <c r="E1743" s="106" t="s">
        <v>10634</v>
      </c>
      <c r="F1743" s="109" t="s">
        <v>9496</v>
      </c>
      <c r="G1743" s="115" t="s">
        <v>9324</v>
      </c>
      <c r="H1743" s="115" t="s">
        <v>9323</v>
      </c>
      <c r="I1743" s="109" t="s">
        <v>10591</v>
      </c>
      <c r="J1743" s="239" t="s">
        <v>10592</v>
      </c>
      <c r="K1743" s="109" t="s">
        <v>9440</v>
      </c>
      <c r="L1743" s="109" t="s">
        <v>9496</v>
      </c>
    </row>
    <row r="1744" spans="1:12" s="58" customFormat="1" ht="14.85" customHeight="1" x14ac:dyDescent="0.25">
      <c r="A1744" s="108" t="s">
        <v>9308</v>
      </c>
      <c r="B1744" s="115" t="s">
        <v>8939</v>
      </c>
      <c r="C1744" s="115" t="s">
        <v>9338</v>
      </c>
      <c r="D1744" s="109" t="s">
        <v>10635</v>
      </c>
      <c r="E1744" s="106" t="s">
        <v>10636</v>
      </c>
      <c r="F1744" s="109" t="s">
        <v>9496</v>
      </c>
      <c r="G1744" s="115" t="s">
        <v>9324</v>
      </c>
      <c r="H1744" s="115" t="s">
        <v>9323</v>
      </c>
      <c r="I1744" s="109" t="s">
        <v>10569</v>
      </c>
      <c r="J1744" s="239" t="s">
        <v>10570</v>
      </c>
      <c r="K1744" s="109" t="s">
        <v>9440</v>
      </c>
      <c r="L1744" s="109" t="s">
        <v>9496</v>
      </c>
    </row>
    <row r="1745" spans="1:12" s="58" customFormat="1" ht="14.85" customHeight="1" x14ac:dyDescent="0.25">
      <c r="A1745" s="108" t="s">
        <v>9308</v>
      </c>
      <c r="B1745" s="115" t="s">
        <v>8939</v>
      </c>
      <c r="C1745" s="115" t="s">
        <v>9338</v>
      </c>
      <c r="D1745" s="109" t="s">
        <v>10635</v>
      </c>
      <c r="E1745" s="106" t="s">
        <v>10636</v>
      </c>
      <c r="F1745" s="109" t="s">
        <v>9496</v>
      </c>
      <c r="G1745" s="115" t="s">
        <v>9324</v>
      </c>
      <c r="H1745" s="115" t="s">
        <v>9323</v>
      </c>
      <c r="I1745" s="109" t="s">
        <v>10571</v>
      </c>
      <c r="J1745" s="239" t="s">
        <v>10572</v>
      </c>
      <c r="K1745" s="109" t="s">
        <v>9440</v>
      </c>
      <c r="L1745" s="109" t="s">
        <v>9496</v>
      </c>
    </row>
    <row r="1746" spans="1:12" s="58" customFormat="1" ht="14.85" customHeight="1" x14ac:dyDescent="0.25">
      <c r="A1746" s="108" t="s">
        <v>9308</v>
      </c>
      <c r="B1746" s="115" t="s">
        <v>8939</v>
      </c>
      <c r="C1746" s="115" t="s">
        <v>9338</v>
      </c>
      <c r="D1746" s="109" t="s">
        <v>10635</v>
      </c>
      <c r="E1746" s="106" t="s">
        <v>10636</v>
      </c>
      <c r="F1746" s="109" t="s">
        <v>9496</v>
      </c>
      <c r="G1746" s="115" t="s">
        <v>9324</v>
      </c>
      <c r="H1746" s="115" t="s">
        <v>9323</v>
      </c>
      <c r="I1746" s="109" t="s">
        <v>10575</v>
      </c>
      <c r="J1746" s="239" t="s">
        <v>10576</v>
      </c>
      <c r="K1746" s="109" t="s">
        <v>9440</v>
      </c>
      <c r="L1746" s="109" t="s">
        <v>9496</v>
      </c>
    </row>
    <row r="1747" spans="1:12" s="58" customFormat="1" ht="14.85" customHeight="1" x14ac:dyDescent="0.25">
      <c r="A1747" s="108" t="s">
        <v>9308</v>
      </c>
      <c r="B1747" s="115" t="s">
        <v>8939</v>
      </c>
      <c r="C1747" s="115" t="s">
        <v>9338</v>
      </c>
      <c r="D1747" s="109" t="s">
        <v>10635</v>
      </c>
      <c r="E1747" s="106" t="s">
        <v>10636</v>
      </c>
      <c r="F1747" s="109" t="s">
        <v>9496</v>
      </c>
      <c r="G1747" s="115" t="s">
        <v>9324</v>
      </c>
      <c r="H1747" s="115" t="s">
        <v>9323</v>
      </c>
      <c r="I1747" s="109" t="s">
        <v>10579</v>
      </c>
      <c r="J1747" s="239" t="s">
        <v>10580</v>
      </c>
      <c r="K1747" s="109" t="s">
        <v>9440</v>
      </c>
      <c r="L1747" s="109" t="s">
        <v>9496</v>
      </c>
    </row>
    <row r="1748" spans="1:12" s="58" customFormat="1" ht="14.85" customHeight="1" x14ac:dyDescent="0.25">
      <c r="A1748" s="108" t="s">
        <v>9308</v>
      </c>
      <c r="B1748" s="115" t="s">
        <v>8939</v>
      </c>
      <c r="C1748" s="115" t="s">
        <v>9338</v>
      </c>
      <c r="D1748" s="109" t="s">
        <v>10635</v>
      </c>
      <c r="E1748" s="106" t="s">
        <v>10636</v>
      </c>
      <c r="F1748" s="109" t="s">
        <v>9496</v>
      </c>
      <c r="G1748" s="115" t="s">
        <v>9324</v>
      </c>
      <c r="H1748" s="115" t="s">
        <v>9323</v>
      </c>
      <c r="I1748" s="109" t="s">
        <v>10617</v>
      </c>
      <c r="J1748" s="239" t="s">
        <v>10618</v>
      </c>
      <c r="K1748" s="109" t="s">
        <v>9440</v>
      </c>
      <c r="L1748" s="109" t="s">
        <v>9496</v>
      </c>
    </row>
    <row r="1749" spans="1:12" s="58" customFormat="1" ht="14.85" customHeight="1" x14ac:dyDescent="0.25">
      <c r="A1749" s="108" t="s">
        <v>9308</v>
      </c>
      <c r="B1749" s="115" t="s">
        <v>8939</v>
      </c>
      <c r="C1749" s="115" t="s">
        <v>9338</v>
      </c>
      <c r="D1749" s="109" t="s">
        <v>10635</v>
      </c>
      <c r="E1749" s="106" t="s">
        <v>10636</v>
      </c>
      <c r="F1749" s="109" t="s">
        <v>9496</v>
      </c>
      <c r="G1749" s="115" t="s">
        <v>9324</v>
      </c>
      <c r="H1749" s="115" t="s">
        <v>9323</v>
      </c>
      <c r="I1749" s="109" t="s">
        <v>10581</v>
      </c>
      <c r="J1749" s="239" t="s">
        <v>10582</v>
      </c>
      <c r="K1749" s="109" t="s">
        <v>9440</v>
      </c>
      <c r="L1749" s="109" t="s">
        <v>9496</v>
      </c>
    </row>
    <row r="1750" spans="1:12" s="58" customFormat="1" ht="14.85" customHeight="1" x14ac:dyDescent="0.25">
      <c r="A1750" s="108" t="s">
        <v>9308</v>
      </c>
      <c r="B1750" s="115" t="s">
        <v>8939</v>
      </c>
      <c r="C1750" s="115" t="s">
        <v>9338</v>
      </c>
      <c r="D1750" s="109" t="s">
        <v>10635</v>
      </c>
      <c r="E1750" s="106" t="s">
        <v>10636</v>
      </c>
      <c r="F1750" s="109" t="s">
        <v>9496</v>
      </c>
      <c r="G1750" s="115" t="s">
        <v>9324</v>
      </c>
      <c r="H1750" s="115" t="s">
        <v>9323</v>
      </c>
      <c r="I1750" s="109" t="s">
        <v>10585</v>
      </c>
      <c r="J1750" s="239" t="s">
        <v>10586</v>
      </c>
      <c r="K1750" s="109" t="s">
        <v>9440</v>
      </c>
      <c r="L1750" s="109" t="s">
        <v>9496</v>
      </c>
    </row>
    <row r="1751" spans="1:12" s="58" customFormat="1" ht="14.85" customHeight="1" x14ac:dyDescent="0.25">
      <c r="A1751" s="108" t="s">
        <v>9308</v>
      </c>
      <c r="B1751" s="115" t="s">
        <v>8939</v>
      </c>
      <c r="C1751" s="115" t="s">
        <v>9338</v>
      </c>
      <c r="D1751" s="109" t="s">
        <v>10635</v>
      </c>
      <c r="E1751" s="106" t="s">
        <v>10636</v>
      </c>
      <c r="F1751" s="109" t="s">
        <v>9496</v>
      </c>
      <c r="G1751" s="115" t="s">
        <v>9324</v>
      </c>
      <c r="H1751" s="115" t="s">
        <v>9323</v>
      </c>
      <c r="I1751" s="109" t="s">
        <v>10587</v>
      </c>
      <c r="J1751" s="239" t="s">
        <v>10588</v>
      </c>
      <c r="K1751" s="109" t="s">
        <v>9440</v>
      </c>
      <c r="L1751" s="109" t="s">
        <v>9496</v>
      </c>
    </row>
    <row r="1752" spans="1:12" s="58" customFormat="1" ht="14.85" customHeight="1" x14ac:dyDescent="0.25">
      <c r="A1752" s="108" t="s">
        <v>9308</v>
      </c>
      <c r="B1752" s="115" t="s">
        <v>8939</v>
      </c>
      <c r="C1752" s="115" t="s">
        <v>9338</v>
      </c>
      <c r="D1752" s="109" t="s">
        <v>10635</v>
      </c>
      <c r="E1752" s="106" t="s">
        <v>10636</v>
      </c>
      <c r="F1752" s="109" t="s">
        <v>9496</v>
      </c>
      <c r="G1752" s="115" t="s">
        <v>9324</v>
      </c>
      <c r="H1752" s="115" t="s">
        <v>9323</v>
      </c>
      <c r="I1752" s="109" t="s">
        <v>10591</v>
      </c>
      <c r="J1752" s="239" t="s">
        <v>10592</v>
      </c>
      <c r="K1752" s="109" t="s">
        <v>9440</v>
      </c>
      <c r="L1752" s="109" t="s">
        <v>9496</v>
      </c>
    </row>
    <row r="1753" spans="1:12" s="58" customFormat="1" ht="14.85" customHeight="1" x14ac:dyDescent="0.25">
      <c r="A1753" s="108" t="s">
        <v>9308</v>
      </c>
      <c r="B1753" s="115" t="s">
        <v>8939</v>
      </c>
      <c r="C1753" s="115" t="s">
        <v>9338</v>
      </c>
      <c r="D1753" s="109" t="s">
        <v>10637</v>
      </c>
      <c r="E1753" s="106" t="s">
        <v>10638</v>
      </c>
      <c r="F1753" s="109" t="s">
        <v>9496</v>
      </c>
      <c r="G1753" s="115" t="s">
        <v>9324</v>
      </c>
      <c r="H1753" s="115" t="s">
        <v>9324</v>
      </c>
      <c r="I1753" s="109" t="s">
        <v>10569</v>
      </c>
      <c r="J1753" s="239" t="s">
        <v>10570</v>
      </c>
      <c r="K1753" s="109" t="s">
        <v>9440</v>
      </c>
      <c r="L1753" s="109" t="s">
        <v>9496</v>
      </c>
    </row>
    <row r="1754" spans="1:12" s="58" customFormat="1" ht="14.85" customHeight="1" x14ac:dyDescent="0.25">
      <c r="A1754" s="108" t="s">
        <v>9308</v>
      </c>
      <c r="B1754" s="115" t="s">
        <v>8939</v>
      </c>
      <c r="C1754" s="115" t="s">
        <v>9338</v>
      </c>
      <c r="D1754" s="109" t="s">
        <v>10637</v>
      </c>
      <c r="E1754" s="106" t="s">
        <v>10638</v>
      </c>
      <c r="F1754" s="109" t="s">
        <v>9496</v>
      </c>
      <c r="G1754" s="115" t="s">
        <v>9324</v>
      </c>
      <c r="H1754" s="115" t="s">
        <v>9324</v>
      </c>
      <c r="I1754" s="109" t="s">
        <v>10579</v>
      </c>
      <c r="J1754" s="239" t="s">
        <v>10580</v>
      </c>
      <c r="K1754" s="109" t="s">
        <v>9440</v>
      </c>
      <c r="L1754" s="109" t="s">
        <v>9496</v>
      </c>
    </row>
    <row r="1755" spans="1:12" s="58" customFormat="1" ht="14.85" customHeight="1" x14ac:dyDescent="0.25">
      <c r="A1755" s="108" t="s">
        <v>9308</v>
      </c>
      <c r="B1755" s="115" t="s">
        <v>8939</v>
      </c>
      <c r="C1755" s="115" t="s">
        <v>9338</v>
      </c>
      <c r="D1755" s="109" t="s">
        <v>10637</v>
      </c>
      <c r="E1755" s="106" t="s">
        <v>10638</v>
      </c>
      <c r="F1755" s="109" t="s">
        <v>9496</v>
      </c>
      <c r="G1755" s="115" t="s">
        <v>9324</v>
      </c>
      <c r="H1755" s="115" t="s">
        <v>9324</v>
      </c>
      <c r="I1755" s="109" t="s">
        <v>10617</v>
      </c>
      <c r="J1755" s="239" t="s">
        <v>10618</v>
      </c>
      <c r="K1755" s="109" t="s">
        <v>9440</v>
      </c>
      <c r="L1755" s="109" t="s">
        <v>9496</v>
      </c>
    </row>
    <row r="1756" spans="1:12" s="58" customFormat="1" ht="14.85" customHeight="1" x14ac:dyDescent="0.25">
      <c r="A1756" s="108" t="s">
        <v>9308</v>
      </c>
      <c r="B1756" s="115" t="s">
        <v>8939</v>
      </c>
      <c r="C1756" s="115" t="s">
        <v>9338</v>
      </c>
      <c r="D1756" s="109" t="s">
        <v>10637</v>
      </c>
      <c r="E1756" s="106" t="s">
        <v>10638</v>
      </c>
      <c r="F1756" s="109" t="s">
        <v>9496</v>
      </c>
      <c r="G1756" s="115" t="s">
        <v>9324</v>
      </c>
      <c r="H1756" s="115" t="s">
        <v>9324</v>
      </c>
      <c r="I1756" s="109" t="s">
        <v>10585</v>
      </c>
      <c r="J1756" s="239" t="s">
        <v>10586</v>
      </c>
      <c r="K1756" s="109" t="s">
        <v>9440</v>
      </c>
      <c r="L1756" s="109" t="s">
        <v>9496</v>
      </c>
    </row>
    <row r="1757" spans="1:12" s="58" customFormat="1" ht="14.85" customHeight="1" x14ac:dyDescent="0.25">
      <c r="A1757" s="108" t="s">
        <v>9308</v>
      </c>
      <c r="B1757" s="115" t="s">
        <v>8939</v>
      </c>
      <c r="C1757" s="115" t="s">
        <v>9338</v>
      </c>
      <c r="D1757" s="109" t="s">
        <v>10637</v>
      </c>
      <c r="E1757" s="106" t="s">
        <v>10638</v>
      </c>
      <c r="F1757" s="109" t="s">
        <v>9496</v>
      </c>
      <c r="G1757" s="115" t="s">
        <v>9324</v>
      </c>
      <c r="H1757" s="115" t="s">
        <v>9324</v>
      </c>
      <c r="I1757" s="109" t="s">
        <v>10587</v>
      </c>
      <c r="J1757" s="239" t="s">
        <v>10588</v>
      </c>
      <c r="K1757" s="109" t="s">
        <v>9440</v>
      </c>
      <c r="L1757" s="109" t="s">
        <v>9496</v>
      </c>
    </row>
    <row r="1758" spans="1:12" s="58" customFormat="1" ht="14.85" customHeight="1" x14ac:dyDescent="0.25">
      <c r="A1758" s="108" t="s">
        <v>9308</v>
      </c>
      <c r="B1758" s="115" t="s">
        <v>8939</v>
      </c>
      <c r="C1758" s="115" t="s">
        <v>9338</v>
      </c>
      <c r="D1758" s="109" t="s">
        <v>10637</v>
      </c>
      <c r="E1758" s="106" t="s">
        <v>10638</v>
      </c>
      <c r="F1758" s="109" t="s">
        <v>9496</v>
      </c>
      <c r="G1758" s="115" t="s">
        <v>9324</v>
      </c>
      <c r="H1758" s="115" t="s">
        <v>9324</v>
      </c>
      <c r="I1758" s="109" t="s">
        <v>10591</v>
      </c>
      <c r="J1758" s="239" t="s">
        <v>10592</v>
      </c>
      <c r="K1758" s="109" t="s">
        <v>9440</v>
      </c>
      <c r="L1758" s="109" t="s">
        <v>9496</v>
      </c>
    </row>
    <row r="1759" spans="1:12" s="58" customFormat="1" ht="14.85" customHeight="1" x14ac:dyDescent="0.25">
      <c r="A1759" s="108" t="s">
        <v>9308</v>
      </c>
      <c r="B1759" s="115" t="s">
        <v>8939</v>
      </c>
      <c r="C1759" s="115" t="s">
        <v>9338</v>
      </c>
      <c r="D1759" s="109" t="s">
        <v>10639</v>
      </c>
      <c r="E1759" s="106" t="s">
        <v>10640</v>
      </c>
      <c r="F1759" s="109" t="s">
        <v>9496</v>
      </c>
      <c r="G1759" s="115" t="s">
        <v>9324</v>
      </c>
      <c r="H1759" s="115" t="s">
        <v>9323</v>
      </c>
      <c r="I1759" s="109" t="s">
        <v>10090</v>
      </c>
      <c r="J1759" s="239" t="s">
        <v>10091</v>
      </c>
      <c r="K1759" s="109" t="s">
        <v>9440</v>
      </c>
      <c r="L1759" s="109" t="s">
        <v>9496</v>
      </c>
    </row>
    <row r="1760" spans="1:12" s="58" customFormat="1" ht="14.85" customHeight="1" x14ac:dyDescent="0.25">
      <c r="A1760" s="108" t="s">
        <v>9308</v>
      </c>
      <c r="B1760" s="115" t="s">
        <v>8939</v>
      </c>
      <c r="C1760" s="115" t="s">
        <v>9338</v>
      </c>
      <c r="D1760" s="109" t="s">
        <v>10639</v>
      </c>
      <c r="E1760" s="106" t="s">
        <v>10640</v>
      </c>
      <c r="F1760" s="109" t="s">
        <v>9496</v>
      </c>
      <c r="G1760" s="115" t="s">
        <v>9324</v>
      </c>
      <c r="H1760" s="115" t="s">
        <v>9323</v>
      </c>
      <c r="I1760" s="109" t="s">
        <v>10569</v>
      </c>
      <c r="J1760" s="239" t="s">
        <v>10570</v>
      </c>
      <c r="K1760" s="109" t="s">
        <v>9440</v>
      </c>
      <c r="L1760" s="109" t="s">
        <v>9496</v>
      </c>
    </row>
    <row r="1761" spans="1:12" s="58" customFormat="1" ht="14.85" customHeight="1" x14ac:dyDescent="0.25">
      <c r="A1761" s="108" t="s">
        <v>9308</v>
      </c>
      <c r="B1761" s="115" t="s">
        <v>8939</v>
      </c>
      <c r="C1761" s="115" t="s">
        <v>9338</v>
      </c>
      <c r="D1761" s="109" t="s">
        <v>10639</v>
      </c>
      <c r="E1761" s="106" t="s">
        <v>10640</v>
      </c>
      <c r="F1761" s="109" t="s">
        <v>9496</v>
      </c>
      <c r="G1761" s="115" t="s">
        <v>9324</v>
      </c>
      <c r="H1761" s="115" t="s">
        <v>9323</v>
      </c>
      <c r="I1761" s="109" t="s">
        <v>10579</v>
      </c>
      <c r="J1761" s="239" t="s">
        <v>10580</v>
      </c>
      <c r="K1761" s="109" t="s">
        <v>9440</v>
      </c>
      <c r="L1761" s="109" t="s">
        <v>9496</v>
      </c>
    </row>
    <row r="1762" spans="1:12" s="58" customFormat="1" ht="14.85" customHeight="1" x14ac:dyDescent="0.25">
      <c r="A1762" s="108" t="s">
        <v>9308</v>
      </c>
      <c r="B1762" s="115" t="s">
        <v>8939</v>
      </c>
      <c r="C1762" s="115" t="s">
        <v>9338</v>
      </c>
      <c r="D1762" s="109" t="s">
        <v>10639</v>
      </c>
      <c r="E1762" s="106" t="s">
        <v>10640</v>
      </c>
      <c r="F1762" s="109" t="s">
        <v>9496</v>
      </c>
      <c r="G1762" s="115" t="s">
        <v>9324</v>
      </c>
      <c r="H1762" s="115" t="s">
        <v>9323</v>
      </c>
      <c r="I1762" s="109" t="s">
        <v>10617</v>
      </c>
      <c r="J1762" s="239" t="s">
        <v>10618</v>
      </c>
      <c r="K1762" s="109" t="s">
        <v>9440</v>
      </c>
      <c r="L1762" s="109" t="s">
        <v>9496</v>
      </c>
    </row>
    <row r="1763" spans="1:12" s="58" customFormat="1" ht="14.85" customHeight="1" x14ac:dyDescent="0.25">
      <c r="A1763" s="108" t="s">
        <v>9308</v>
      </c>
      <c r="B1763" s="115" t="s">
        <v>8939</v>
      </c>
      <c r="C1763" s="115" t="s">
        <v>9338</v>
      </c>
      <c r="D1763" s="109" t="s">
        <v>10639</v>
      </c>
      <c r="E1763" s="106" t="s">
        <v>10640</v>
      </c>
      <c r="F1763" s="109" t="s">
        <v>9496</v>
      </c>
      <c r="G1763" s="115" t="s">
        <v>9324</v>
      </c>
      <c r="H1763" s="115" t="s">
        <v>9323</v>
      </c>
      <c r="I1763" s="109" t="s">
        <v>10585</v>
      </c>
      <c r="J1763" s="239" t="s">
        <v>10586</v>
      </c>
      <c r="K1763" s="109" t="s">
        <v>9440</v>
      </c>
      <c r="L1763" s="109" t="s">
        <v>9496</v>
      </c>
    </row>
    <row r="1764" spans="1:12" s="58" customFormat="1" ht="14.85" customHeight="1" x14ac:dyDescent="0.25">
      <c r="A1764" s="108" t="s">
        <v>9308</v>
      </c>
      <c r="B1764" s="115" t="s">
        <v>8939</v>
      </c>
      <c r="C1764" s="115" t="s">
        <v>9338</v>
      </c>
      <c r="D1764" s="109" t="s">
        <v>10639</v>
      </c>
      <c r="E1764" s="106" t="s">
        <v>10640</v>
      </c>
      <c r="F1764" s="109" t="s">
        <v>9496</v>
      </c>
      <c r="G1764" s="115" t="s">
        <v>9324</v>
      </c>
      <c r="H1764" s="115" t="s">
        <v>9323</v>
      </c>
      <c r="I1764" s="109" t="s">
        <v>10587</v>
      </c>
      <c r="J1764" s="239" t="s">
        <v>10588</v>
      </c>
      <c r="K1764" s="109" t="s">
        <v>9440</v>
      </c>
      <c r="L1764" s="109" t="s">
        <v>9496</v>
      </c>
    </row>
    <row r="1765" spans="1:12" s="58" customFormat="1" ht="14.85" customHeight="1" x14ac:dyDescent="0.25">
      <c r="A1765" s="108" t="s">
        <v>9308</v>
      </c>
      <c r="B1765" s="115" t="s">
        <v>8939</v>
      </c>
      <c r="C1765" s="115" t="s">
        <v>9338</v>
      </c>
      <c r="D1765" s="109" t="s">
        <v>10639</v>
      </c>
      <c r="E1765" s="106" t="s">
        <v>10640</v>
      </c>
      <c r="F1765" s="109" t="s">
        <v>9496</v>
      </c>
      <c r="G1765" s="115" t="s">
        <v>9324</v>
      </c>
      <c r="H1765" s="115" t="s">
        <v>9323</v>
      </c>
      <c r="I1765" s="109" t="s">
        <v>10092</v>
      </c>
      <c r="J1765" s="239" t="s">
        <v>10093</v>
      </c>
      <c r="K1765" s="109" t="s">
        <v>9440</v>
      </c>
      <c r="L1765" s="109" t="s">
        <v>9496</v>
      </c>
    </row>
    <row r="1766" spans="1:12" s="58" customFormat="1" ht="14.85" customHeight="1" x14ac:dyDescent="0.25">
      <c r="A1766" s="108" t="s">
        <v>9308</v>
      </c>
      <c r="B1766" s="115" t="s">
        <v>8939</v>
      </c>
      <c r="C1766" s="115" t="s">
        <v>9338</v>
      </c>
      <c r="D1766" s="109" t="s">
        <v>10639</v>
      </c>
      <c r="E1766" s="106" t="s">
        <v>10640</v>
      </c>
      <c r="F1766" s="109" t="s">
        <v>9496</v>
      </c>
      <c r="G1766" s="115" t="s">
        <v>9324</v>
      </c>
      <c r="H1766" s="115" t="s">
        <v>9323</v>
      </c>
      <c r="I1766" s="109" t="s">
        <v>10591</v>
      </c>
      <c r="J1766" s="239" t="s">
        <v>10592</v>
      </c>
      <c r="K1766" s="109" t="s">
        <v>9440</v>
      </c>
      <c r="L1766" s="109" t="s">
        <v>9496</v>
      </c>
    </row>
    <row r="1767" spans="1:12" s="58" customFormat="1" ht="14.85" customHeight="1" x14ac:dyDescent="0.25">
      <c r="A1767" s="108" t="s">
        <v>9308</v>
      </c>
      <c r="B1767" s="115" t="s">
        <v>8939</v>
      </c>
      <c r="C1767" s="115" t="s">
        <v>9338</v>
      </c>
      <c r="D1767" s="109" t="s">
        <v>10641</v>
      </c>
      <c r="E1767" s="106" t="s">
        <v>10642</v>
      </c>
      <c r="F1767" s="109" t="s">
        <v>9496</v>
      </c>
      <c r="G1767" s="115" t="s">
        <v>9324</v>
      </c>
      <c r="H1767" s="115" t="s">
        <v>9323</v>
      </c>
      <c r="I1767" s="109" t="s">
        <v>10090</v>
      </c>
      <c r="J1767" s="239" t="s">
        <v>10091</v>
      </c>
      <c r="K1767" s="109" t="s">
        <v>9440</v>
      </c>
      <c r="L1767" s="109" t="s">
        <v>9496</v>
      </c>
    </row>
    <row r="1768" spans="1:12" s="58" customFormat="1" ht="14.85" customHeight="1" x14ac:dyDescent="0.25">
      <c r="A1768" s="108" t="s">
        <v>9308</v>
      </c>
      <c r="B1768" s="115" t="s">
        <v>8939</v>
      </c>
      <c r="C1768" s="115" t="s">
        <v>9338</v>
      </c>
      <c r="D1768" s="109" t="s">
        <v>10641</v>
      </c>
      <c r="E1768" s="106" t="s">
        <v>10642</v>
      </c>
      <c r="F1768" s="109" t="s">
        <v>9496</v>
      </c>
      <c r="G1768" s="115" t="s">
        <v>9324</v>
      </c>
      <c r="H1768" s="115" t="s">
        <v>9323</v>
      </c>
      <c r="I1768" s="109" t="s">
        <v>10571</v>
      </c>
      <c r="J1768" s="239" t="s">
        <v>10572</v>
      </c>
      <c r="K1768" s="109" t="s">
        <v>9440</v>
      </c>
      <c r="L1768" s="109" t="s">
        <v>9496</v>
      </c>
    </row>
    <row r="1769" spans="1:12" s="58" customFormat="1" ht="14.85" customHeight="1" x14ac:dyDescent="0.25">
      <c r="A1769" s="108" t="s">
        <v>9308</v>
      </c>
      <c r="B1769" s="115" t="s">
        <v>8939</v>
      </c>
      <c r="C1769" s="115" t="s">
        <v>9338</v>
      </c>
      <c r="D1769" s="109" t="s">
        <v>10641</v>
      </c>
      <c r="E1769" s="106" t="s">
        <v>10642</v>
      </c>
      <c r="F1769" s="109" t="s">
        <v>9496</v>
      </c>
      <c r="G1769" s="115" t="s">
        <v>9324</v>
      </c>
      <c r="H1769" s="115" t="s">
        <v>9323</v>
      </c>
      <c r="I1769" s="109" t="s">
        <v>10579</v>
      </c>
      <c r="J1769" s="239" t="s">
        <v>10580</v>
      </c>
      <c r="K1769" s="109" t="s">
        <v>9440</v>
      </c>
      <c r="L1769" s="109" t="s">
        <v>9496</v>
      </c>
    </row>
    <row r="1770" spans="1:12" s="58" customFormat="1" ht="14.85" customHeight="1" x14ac:dyDescent="0.25">
      <c r="A1770" s="108" t="s">
        <v>9308</v>
      </c>
      <c r="B1770" s="115" t="s">
        <v>8939</v>
      </c>
      <c r="C1770" s="115" t="s">
        <v>9338</v>
      </c>
      <c r="D1770" s="109" t="s">
        <v>10641</v>
      </c>
      <c r="E1770" s="106" t="s">
        <v>10642</v>
      </c>
      <c r="F1770" s="109" t="s">
        <v>9496</v>
      </c>
      <c r="G1770" s="115" t="s">
        <v>9324</v>
      </c>
      <c r="H1770" s="115" t="s">
        <v>9323</v>
      </c>
      <c r="I1770" s="109" t="s">
        <v>10581</v>
      </c>
      <c r="J1770" s="239" t="s">
        <v>10582</v>
      </c>
      <c r="K1770" s="109" t="s">
        <v>9440</v>
      </c>
      <c r="L1770" s="109" t="s">
        <v>9496</v>
      </c>
    </row>
    <row r="1771" spans="1:12" s="58" customFormat="1" ht="14.85" customHeight="1" x14ac:dyDescent="0.25">
      <c r="A1771" s="108" t="s">
        <v>9308</v>
      </c>
      <c r="B1771" s="115" t="s">
        <v>8939</v>
      </c>
      <c r="C1771" s="115" t="s">
        <v>9338</v>
      </c>
      <c r="D1771" s="109" t="s">
        <v>10641</v>
      </c>
      <c r="E1771" s="106" t="s">
        <v>10642</v>
      </c>
      <c r="F1771" s="109" t="s">
        <v>9496</v>
      </c>
      <c r="G1771" s="115" t="s">
        <v>9324</v>
      </c>
      <c r="H1771" s="115" t="s">
        <v>9323</v>
      </c>
      <c r="I1771" s="109" t="s">
        <v>10585</v>
      </c>
      <c r="J1771" s="239" t="s">
        <v>10586</v>
      </c>
      <c r="K1771" s="109" t="s">
        <v>9440</v>
      </c>
      <c r="L1771" s="109" t="s">
        <v>9496</v>
      </c>
    </row>
    <row r="1772" spans="1:12" s="58" customFormat="1" ht="14.85" customHeight="1" x14ac:dyDescent="0.25">
      <c r="A1772" s="108" t="s">
        <v>9308</v>
      </c>
      <c r="B1772" s="115" t="s">
        <v>8939</v>
      </c>
      <c r="C1772" s="115" t="s">
        <v>9338</v>
      </c>
      <c r="D1772" s="109" t="s">
        <v>10641</v>
      </c>
      <c r="E1772" s="106" t="s">
        <v>10642</v>
      </c>
      <c r="F1772" s="109" t="s">
        <v>9496</v>
      </c>
      <c r="G1772" s="115" t="s">
        <v>9324</v>
      </c>
      <c r="H1772" s="115" t="s">
        <v>9323</v>
      </c>
      <c r="I1772" s="109" t="s">
        <v>10587</v>
      </c>
      <c r="J1772" s="239" t="s">
        <v>10588</v>
      </c>
      <c r="K1772" s="109" t="s">
        <v>9440</v>
      </c>
      <c r="L1772" s="109" t="s">
        <v>9496</v>
      </c>
    </row>
    <row r="1773" spans="1:12" s="58" customFormat="1" ht="14.85" customHeight="1" x14ac:dyDescent="0.25">
      <c r="A1773" s="108" t="s">
        <v>9308</v>
      </c>
      <c r="B1773" s="115" t="s">
        <v>8939</v>
      </c>
      <c r="C1773" s="115" t="s">
        <v>9338</v>
      </c>
      <c r="D1773" s="109" t="s">
        <v>10641</v>
      </c>
      <c r="E1773" s="106" t="s">
        <v>10642</v>
      </c>
      <c r="F1773" s="109" t="s">
        <v>9496</v>
      </c>
      <c r="G1773" s="115" t="s">
        <v>9324</v>
      </c>
      <c r="H1773" s="115" t="s">
        <v>9323</v>
      </c>
      <c r="I1773" s="109" t="s">
        <v>10092</v>
      </c>
      <c r="J1773" s="239" t="s">
        <v>10093</v>
      </c>
      <c r="K1773" s="109" t="s">
        <v>9440</v>
      </c>
      <c r="L1773" s="109" t="s">
        <v>9496</v>
      </c>
    </row>
    <row r="1774" spans="1:12" s="58" customFormat="1" ht="14.85" customHeight="1" x14ac:dyDescent="0.25">
      <c r="A1774" s="108" t="s">
        <v>9308</v>
      </c>
      <c r="B1774" s="115" t="s">
        <v>8939</v>
      </c>
      <c r="C1774" s="115" t="s">
        <v>9338</v>
      </c>
      <c r="D1774" s="109" t="s">
        <v>10641</v>
      </c>
      <c r="E1774" s="106" t="s">
        <v>10642</v>
      </c>
      <c r="F1774" s="109" t="s">
        <v>9496</v>
      </c>
      <c r="G1774" s="115" t="s">
        <v>9324</v>
      </c>
      <c r="H1774" s="115" t="s">
        <v>9323</v>
      </c>
      <c r="I1774" s="109" t="s">
        <v>10591</v>
      </c>
      <c r="J1774" s="239" t="s">
        <v>10592</v>
      </c>
      <c r="K1774" s="109" t="s">
        <v>9440</v>
      </c>
      <c r="L1774" s="109" t="s">
        <v>9496</v>
      </c>
    </row>
    <row r="1775" spans="1:12" s="58" customFormat="1" ht="14.85" customHeight="1" x14ac:dyDescent="0.25">
      <c r="A1775" s="108" t="s">
        <v>9308</v>
      </c>
      <c r="B1775" s="115" t="s">
        <v>8939</v>
      </c>
      <c r="C1775" s="115" t="s">
        <v>9338</v>
      </c>
      <c r="D1775" s="109" t="s">
        <v>10643</v>
      </c>
      <c r="E1775" s="106" t="s">
        <v>10644</v>
      </c>
      <c r="F1775" s="109" t="s">
        <v>9496</v>
      </c>
      <c r="G1775" s="115" t="s">
        <v>9324</v>
      </c>
      <c r="H1775" s="115" t="s">
        <v>9323</v>
      </c>
      <c r="I1775" s="109" t="s">
        <v>10567</v>
      </c>
      <c r="J1775" s="239" t="s">
        <v>10568</v>
      </c>
      <c r="K1775" s="109" t="s">
        <v>9440</v>
      </c>
      <c r="L1775" s="109" t="s">
        <v>9496</v>
      </c>
    </row>
    <row r="1776" spans="1:12" s="58" customFormat="1" ht="14.85" customHeight="1" x14ac:dyDescent="0.25">
      <c r="A1776" s="108" t="s">
        <v>9308</v>
      </c>
      <c r="B1776" s="115" t="s">
        <v>8939</v>
      </c>
      <c r="C1776" s="115" t="s">
        <v>9338</v>
      </c>
      <c r="D1776" s="109" t="s">
        <v>10643</v>
      </c>
      <c r="E1776" s="106" t="s">
        <v>10644</v>
      </c>
      <c r="F1776" s="109" t="s">
        <v>9496</v>
      </c>
      <c r="G1776" s="115" t="s">
        <v>9324</v>
      </c>
      <c r="H1776" s="115" t="s">
        <v>9323</v>
      </c>
      <c r="I1776" s="109" t="s">
        <v>10569</v>
      </c>
      <c r="J1776" s="239" t="s">
        <v>10570</v>
      </c>
      <c r="K1776" s="109" t="s">
        <v>9440</v>
      </c>
      <c r="L1776" s="109" t="s">
        <v>9496</v>
      </c>
    </row>
    <row r="1777" spans="1:12" s="58" customFormat="1" ht="14.85" customHeight="1" x14ac:dyDescent="0.25">
      <c r="A1777" s="108" t="s">
        <v>9308</v>
      </c>
      <c r="B1777" s="115" t="s">
        <v>8939</v>
      </c>
      <c r="C1777" s="115" t="s">
        <v>9338</v>
      </c>
      <c r="D1777" s="109" t="s">
        <v>10643</v>
      </c>
      <c r="E1777" s="106" t="s">
        <v>10644</v>
      </c>
      <c r="F1777" s="109" t="s">
        <v>9496</v>
      </c>
      <c r="G1777" s="115" t="s">
        <v>9324</v>
      </c>
      <c r="H1777" s="115" t="s">
        <v>9323</v>
      </c>
      <c r="I1777" s="109" t="s">
        <v>10571</v>
      </c>
      <c r="J1777" s="239" t="s">
        <v>10572</v>
      </c>
      <c r="K1777" s="109" t="s">
        <v>9440</v>
      </c>
      <c r="L1777" s="109" t="s">
        <v>9496</v>
      </c>
    </row>
    <row r="1778" spans="1:12" s="58" customFormat="1" ht="14.85" customHeight="1" x14ac:dyDescent="0.25">
      <c r="A1778" s="108" t="s">
        <v>9308</v>
      </c>
      <c r="B1778" s="115" t="s">
        <v>8939</v>
      </c>
      <c r="C1778" s="115" t="s">
        <v>9338</v>
      </c>
      <c r="D1778" s="109" t="s">
        <v>10643</v>
      </c>
      <c r="E1778" s="106" t="s">
        <v>10644</v>
      </c>
      <c r="F1778" s="109" t="s">
        <v>9496</v>
      </c>
      <c r="G1778" s="115" t="s">
        <v>9324</v>
      </c>
      <c r="H1778" s="115" t="s">
        <v>9323</v>
      </c>
      <c r="I1778" s="109" t="s">
        <v>10573</v>
      </c>
      <c r="J1778" s="239" t="s">
        <v>10574</v>
      </c>
      <c r="K1778" s="109" t="s">
        <v>9440</v>
      </c>
      <c r="L1778" s="109" t="s">
        <v>9496</v>
      </c>
    </row>
    <row r="1779" spans="1:12" s="58" customFormat="1" ht="14.85" customHeight="1" x14ac:dyDescent="0.25">
      <c r="A1779" s="108" t="s">
        <v>9308</v>
      </c>
      <c r="B1779" s="115" t="s">
        <v>8939</v>
      </c>
      <c r="C1779" s="115" t="s">
        <v>9338</v>
      </c>
      <c r="D1779" s="109" t="s">
        <v>10643</v>
      </c>
      <c r="E1779" s="106" t="s">
        <v>10644</v>
      </c>
      <c r="F1779" s="109" t="s">
        <v>9496</v>
      </c>
      <c r="G1779" s="115" t="s">
        <v>9324</v>
      </c>
      <c r="H1779" s="115" t="s">
        <v>9323</v>
      </c>
      <c r="I1779" s="109" t="s">
        <v>10597</v>
      </c>
      <c r="J1779" s="239" t="s">
        <v>10598</v>
      </c>
      <c r="K1779" s="109" t="s">
        <v>9440</v>
      </c>
      <c r="L1779" s="109" t="s">
        <v>9496</v>
      </c>
    </row>
    <row r="1780" spans="1:12" s="58" customFormat="1" ht="14.85" customHeight="1" x14ac:dyDescent="0.25">
      <c r="A1780" s="108" t="s">
        <v>9308</v>
      </c>
      <c r="B1780" s="115" t="s">
        <v>8939</v>
      </c>
      <c r="C1780" s="115" t="s">
        <v>9338</v>
      </c>
      <c r="D1780" s="109" t="s">
        <v>10643</v>
      </c>
      <c r="E1780" s="106" t="s">
        <v>10644</v>
      </c>
      <c r="F1780" s="109" t="s">
        <v>9496</v>
      </c>
      <c r="G1780" s="115" t="s">
        <v>9324</v>
      </c>
      <c r="H1780" s="115" t="s">
        <v>9323</v>
      </c>
      <c r="I1780" s="109" t="s">
        <v>10599</v>
      </c>
      <c r="J1780" s="239" t="s">
        <v>10600</v>
      </c>
      <c r="K1780" s="109" t="s">
        <v>9440</v>
      </c>
      <c r="L1780" s="109" t="s">
        <v>9496</v>
      </c>
    </row>
    <row r="1781" spans="1:12" s="58" customFormat="1" ht="14.85" customHeight="1" x14ac:dyDescent="0.25">
      <c r="A1781" s="108" t="s">
        <v>9308</v>
      </c>
      <c r="B1781" s="115" t="s">
        <v>8939</v>
      </c>
      <c r="C1781" s="115" t="s">
        <v>9338</v>
      </c>
      <c r="D1781" s="109" t="s">
        <v>10643</v>
      </c>
      <c r="E1781" s="106" t="s">
        <v>10644</v>
      </c>
      <c r="F1781" s="109" t="s">
        <v>9496</v>
      </c>
      <c r="G1781" s="115" t="s">
        <v>9324</v>
      </c>
      <c r="H1781" s="115" t="s">
        <v>9323</v>
      </c>
      <c r="I1781" s="109" t="s">
        <v>10575</v>
      </c>
      <c r="J1781" s="239" t="s">
        <v>10576</v>
      </c>
      <c r="K1781" s="109" t="s">
        <v>9440</v>
      </c>
      <c r="L1781" s="109" t="s">
        <v>9496</v>
      </c>
    </row>
    <row r="1782" spans="1:12" s="58" customFormat="1" ht="14.85" customHeight="1" x14ac:dyDescent="0.25">
      <c r="A1782" s="108" t="s">
        <v>9308</v>
      </c>
      <c r="B1782" s="115" t="s">
        <v>8939</v>
      </c>
      <c r="C1782" s="115" t="s">
        <v>9338</v>
      </c>
      <c r="D1782" s="109" t="s">
        <v>10643</v>
      </c>
      <c r="E1782" s="106" t="s">
        <v>10644</v>
      </c>
      <c r="F1782" s="109" t="s">
        <v>9496</v>
      </c>
      <c r="G1782" s="115" t="s">
        <v>9324</v>
      </c>
      <c r="H1782" s="115" t="s">
        <v>9323</v>
      </c>
      <c r="I1782" s="109" t="s">
        <v>10577</v>
      </c>
      <c r="J1782" s="239" t="s">
        <v>10578</v>
      </c>
      <c r="K1782" s="109" t="s">
        <v>9440</v>
      </c>
      <c r="L1782" s="109" t="s">
        <v>9496</v>
      </c>
    </row>
    <row r="1783" spans="1:12" s="58" customFormat="1" ht="14.85" customHeight="1" x14ac:dyDescent="0.25">
      <c r="A1783" s="108" t="s">
        <v>9308</v>
      </c>
      <c r="B1783" s="115" t="s">
        <v>8939</v>
      </c>
      <c r="C1783" s="115" t="s">
        <v>9338</v>
      </c>
      <c r="D1783" s="109" t="s">
        <v>10643</v>
      </c>
      <c r="E1783" s="106" t="s">
        <v>10644</v>
      </c>
      <c r="F1783" s="109" t="s">
        <v>9496</v>
      </c>
      <c r="G1783" s="115" t="s">
        <v>9324</v>
      </c>
      <c r="H1783" s="115" t="s">
        <v>9323</v>
      </c>
      <c r="I1783" s="109" t="s">
        <v>10579</v>
      </c>
      <c r="J1783" s="239" t="s">
        <v>10580</v>
      </c>
      <c r="K1783" s="109" t="s">
        <v>9440</v>
      </c>
      <c r="L1783" s="109" t="s">
        <v>9496</v>
      </c>
    </row>
    <row r="1784" spans="1:12" s="58" customFormat="1" ht="14.85" customHeight="1" x14ac:dyDescent="0.25">
      <c r="A1784" s="108" t="s">
        <v>9308</v>
      </c>
      <c r="B1784" s="115" t="s">
        <v>8939</v>
      </c>
      <c r="C1784" s="115" t="s">
        <v>9338</v>
      </c>
      <c r="D1784" s="109" t="s">
        <v>10643</v>
      </c>
      <c r="E1784" s="106" t="s">
        <v>10644</v>
      </c>
      <c r="F1784" s="109" t="s">
        <v>9496</v>
      </c>
      <c r="G1784" s="115" t="s">
        <v>9324</v>
      </c>
      <c r="H1784" s="115" t="s">
        <v>9323</v>
      </c>
      <c r="I1784" s="109" t="s">
        <v>10583</v>
      </c>
      <c r="J1784" s="239" t="s">
        <v>10584</v>
      </c>
      <c r="K1784" s="109" t="s">
        <v>9440</v>
      </c>
      <c r="L1784" s="109" t="s">
        <v>9496</v>
      </c>
    </row>
    <row r="1785" spans="1:12" s="58" customFormat="1" ht="14.85" customHeight="1" x14ac:dyDescent="0.25">
      <c r="A1785" s="108" t="s">
        <v>9308</v>
      </c>
      <c r="B1785" s="115" t="s">
        <v>8939</v>
      </c>
      <c r="C1785" s="115" t="s">
        <v>9338</v>
      </c>
      <c r="D1785" s="109" t="s">
        <v>10643</v>
      </c>
      <c r="E1785" s="106" t="s">
        <v>10644</v>
      </c>
      <c r="F1785" s="109" t="s">
        <v>9496</v>
      </c>
      <c r="G1785" s="115" t="s">
        <v>9324</v>
      </c>
      <c r="H1785" s="115" t="s">
        <v>9323</v>
      </c>
      <c r="I1785" s="109" t="s">
        <v>10585</v>
      </c>
      <c r="J1785" s="239" t="s">
        <v>10586</v>
      </c>
      <c r="K1785" s="109" t="s">
        <v>9440</v>
      </c>
      <c r="L1785" s="109" t="s">
        <v>9496</v>
      </c>
    </row>
    <row r="1786" spans="1:12" s="58" customFormat="1" ht="14.85" customHeight="1" x14ac:dyDescent="0.25">
      <c r="A1786" s="108" t="s">
        <v>9308</v>
      </c>
      <c r="B1786" s="115" t="s">
        <v>8939</v>
      </c>
      <c r="C1786" s="115" t="s">
        <v>9338</v>
      </c>
      <c r="D1786" s="109" t="s">
        <v>10643</v>
      </c>
      <c r="E1786" s="106" t="s">
        <v>10644</v>
      </c>
      <c r="F1786" s="109" t="s">
        <v>9496</v>
      </c>
      <c r="G1786" s="115" t="s">
        <v>9324</v>
      </c>
      <c r="H1786" s="115" t="s">
        <v>9323</v>
      </c>
      <c r="I1786" s="109" t="s">
        <v>10587</v>
      </c>
      <c r="J1786" s="239" t="s">
        <v>10588</v>
      </c>
      <c r="K1786" s="109" t="s">
        <v>9440</v>
      </c>
      <c r="L1786" s="109" t="s">
        <v>9496</v>
      </c>
    </row>
    <row r="1787" spans="1:12" s="58" customFormat="1" ht="14.85" customHeight="1" x14ac:dyDescent="0.25">
      <c r="A1787" s="108" t="s">
        <v>9308</v>
      </c>
      <c r="B1787" s="115" t="s">
        <v>8939</v>
      </c>
      <c r="C1787" s="115" t="s">
        <v>9338</v>
      </c>
      <c r="D1787" s="109" t="s">
        <v>10643</v>
      </c>
      <c r="E1787" s="106" t="s">
        <v>10644</v>
      </c>
      <c r="F1787" s="109" t="s">
        <v>9496</v>
      </c>
      <c r="G1787" s="115" t="s">
        <v>9324</v>
      </c>
      <c r="H1787" s="115" t="s">
        <v>9323</v>
      </c>
      <c r="I1787" s="109" t="s">
        <v>10591</v>
      </c>
      <c r="J1787" s="239" t="s">
        <v>10592</v>
      </c>
      <c r="K1787" s="109" t="s">
        <v>9440</v>
      </c>
      <c r="L1787" s="109" t="s">
        <v>9496</v>
      </c>
    </row>
    <row r="1788" spans="1:12" s="58" customFormat="1" ht="14.85" customHeight="1" x14ac:dyDescent="0.25">
      <c r="A1788" s="108" t="s">
        <v>9308</v>
      </c>
      <c r="B1788" s="115" t="s">
        <v>8939</v>
      </c>
      <c r="C1788" s="115" t="s">
        <v>9338</v>
      </c>
      <c r="D1788" s="109" t="s">
        <v>10645</v>
      </c>
      <c r="E1788" s="106" t="s">
        <v>10646</v>
      </c>
      <c r="F1788" s="109" t="s">
        <v>9496</v>
      </c>
      <c r="G1788" s="115" t="s">
        <v>9324</v>
      </c>
      <c r="H1788" s="115" t="s">
        <v>9323</v>
      </c>
      <c r="I1788" s="109" t="s">
        <v>10567</v>
      </c>
      <c r="J1788" s="239" t="s">
        <v>10568</v>
      </c>
      <c r="K1788" s="109" t="s">
        <v>9440</v>
      </c>
      <c r="L1788" s="109" t="s">
        <v>9496</v>
      </c>
    </row>
    <row r="1789" spans="1:12" s="58" customFormat="1" ht="14.85" customHeight="1" x14ac:dyDescent="0.25">
      <c r="A1789" s="108" t="s">
        <v>9308</v>
      </c>
      <c r="B1789" s="115" t="s">
        <v>8939</v>
      </c>
      <c r="C1789" s="115" t="s">
        <v>9338</v>
      </c>
      <c r="D1789" s="109" t="s">
        <v>10645</v>
      </c>
      <c r="E1789" s="106" t="s">
        <v>10646</v>
      </c>
      <c r="F1789" s="109" t="s">
        <v>9496</v>
      </c>
      <c r="G1789" s="115" t="s">
        <v>9324</v>
      </c>
      <c r="H1789" s="115" t="s">
        <v>9323</v>
      </c>
      <c r="I1789" s="109" t="s">
        <v>10571</v>
      </c>
      <c r="J1789" s="239" t="s">
        <v>10572</v>
      </c>
      <c r="K1789" s="109" t="s">
        <v>9440</v>
      </c>
      <c r="L1789" s="109" t="s">
        <v>9496</v>
      </c>
    </row>
    <row r="1790" spans="1:12" s="58" customFormat="1" ht="14.85" customHeight="1" x14ac:dyDescent="0.25">
      <c r="A1790" s="108" t="s">
        <v>9308</v>
      </c>
      <c r="B1790" s="115" t="s">
        <v>8939</v>
      </c>
      <c r="C1790" s="115" t="s">
        <v>9338</v>
      </c>
      <c r="D1790" s="109" t="s">
        <v>10645</v>
      </c>
      <c r="E1790" s="106" t="s">
        <v>10646</v>
      </c>
      <c r="F1790" s="109" t="s">
        <v>9496</v>
      </c>
      <c r="G1790" s="115" t="s">
        <v>9324</v>
      </c>
      <c r="H1790" s="115" t="s">
        <v>9323</v>
      </c>
      <c r="I1790" s="109" t="s">
        <v>10597</v>
      </c>
      <c r="J1790" s="239" t="s">
        <v>10598</v>
      </c>
      <c r="K1790" s="109" t="s">
        <v>9440</v>
      </c>
      <c r="L1790" s="109" t="s">
        <v>9496</v>
      </c>
    </row>
    <row r="1791" spans="1:12" s="58" customFormat="1" ht="14.85" customHeight="1" x14ac:dyDescent="0.25">
      <c r="A1791" s="108" t="s">
        <v>9308</v>
      </c>
      <c r="B1791" s="115" t="s">
        <v>8939</v>
      </c>
      <c r="C1791" s="115" t="s">
        <v>9338</v>
      </c>
      <c r="D1791" s="109" t="s">
        <v>10645</v>
      </c>
      <c r="E1791" s="106" t="s">
        <v>10646</v>
      </c>
      <c r="F1791" s="109" t="s">
        <v>9496</v>
      </c>
      <c r="G1791" s="115" t="s">
        <v>9324</v>
      </c>
      <c r="H1791" s="115" t="s">
        <v>9323</v>
      </c>
      <c r="I1791" s="109" t="s">
        <v>10599</v>
      </c>
      <c r="J1791" s="239" t="s">
        <v>10600</v>
      </c>
      <c r="K1791" s="109" t="s">
        <v>9440</v>
      </c>
      <c r="L1791" s="109" t="s">
        <v>9496</v>
      </c>
    </row>
    <row r="1792" spans="1:12" s="58" customFormat="1" ht="14.85" customHeight="1" x14ac:dyDescent="0.25">
      <c r="A1792" s="108" t="s">
        <v>9308</v>
      </c>
      <c r="B1792" s="115" t="s">
        <v>8939</v>
      </c>
      <c r="C1792" s="115" t="s">
        <v>9338</v>
      </c>
      <c r="D1792" s="109" t="s">
        <v>10645</v>
      </c>
      <c r="E1792" s="106" t="s">
        <v>10646</v>
      </c>
      <c r="F1792" s="109" t="s">
        <v>9496</v>
      </c>
      <c r="G1792" s="115" t="s">
        <v>9324</v>
      </c>
      <c r="H1792" s="115" t="s">
        <v>9323</v>
      </c>
      <c r="I1792" s="109" t="s">
        <v>10575</v>
      </c>
      <c r="J1792" s="239" t="s">
        <v>10576</v>
      </c>
      <c r="K1792" s="109" t="s">
        <v>9440</v>
      </c>
      <c r="L1792" s="109" t="s">
        <v>9496</v>
      </c>
    </row>
    <row r="1793" spans="1:12" s="58" customFormat="1" ht="14.85" customHeight="1" x14ac:dyDescent="0.25">
      <c r="A1793" s="108" t="s">
        <v>9308</v>
      </c>
      <c r="B1793" s="115" t="s">
        <v>8939</v>
      </c>
      <c r="C1793" s="115" t="s">
        <v>9338</v>
      </c>
      <c r="D1793" s="109" t="s">
        <v>10645</v>
      </c>
      <c r="E1793" s="106" t="s">
        <v>10646</v>
      </c>
      <c r="F1793" s="109" t="s">
        <v>9496</v>
      </c>
      <c r="G1793" s="115" t="s">
        <v>9324</v>
      </c>
      <c r="H1793" s="115" t="s">
        <v>9323</v>
      </c>
      <c r="I1793" s="109" t="s">
        <v>10603</v>
      </c>
      <c r="J1793" s="239" t="s">
        <v>10604</v>
      </c>
      <c r="K1793" s="109" t="s">
        <v>9440</v>
      </c>
      <c r="L1793" s="109" t="s">
        <v>9496</v>
      </c>
    </row>
    <row r="1794" spans="1:12" s="58" customFormat="1" ht="14.85" customHeight="1" x14ac:dyDescent="0.25">
      <c r="A1794" s="108" t="s">
        <v>9308</v>
      </c>
      <c r="B1794" s="115" t="s">
        <v>8939</v>
      </c>
      <c r="C1794" s="115" t="s">
        <v>9338</v>
      </c>
      <c r="D1794" s="109" t="s">
        <v>10645</v>
      </c>
      <c r="E1794" s="106" t="s">
        <v>10646</v>
      </c>
      <c r="F1794" s="109" t="s">
        <v>9496</v>
      </c>
      <c r="G1794" s="115" t="s">
        <v>9324</v>
      </c>
      <c r="H1794" s="115" t="s">
        <v>9323</v>
      </c>
      <c r="I1794" s="109" t="s">
        <v>10583</v>
      </c>
      <c r="J1794" s="239" t="s">
        <v>10584</v>
      </c>
      <c r="K1794" s="109" t="s">
        <v>9440</v>
      </c>
      <c r="L1794" s="109" t="s">
        <v>9496</v>
      </c>
    </row>
    <row r="1795" spans="1:12" s="58" customFormat="1" ht="14.85" customHeight="1" x14ac:dyDescent="0.25">
      <c r="A1795" s="108" t="s">
        <v>9308</v>
      </c>
      <c r="B1795" s="115" t="s">
        <v>8939</v>
      </c>
      <c r="C1795" s="115" t="s">
        <v>9338</v>
      </c>
      <c r="D1795" s="109" t="s">
        <v>10645</v>
      </c>
      <c r="E1795" s="106" t="s">
        <v>10646</v>
      </c>
      <c r="F1795" s="109" t="s">
        <v>9496</v>
      </c>
      <c r="G1795" s="115" t="s">
        <v>9324</v>
      </c>
      <c r="H1795" s="115" t="s">
        <v>9323</v>
      </c>
      <c r="I1795" s="109" t="s">
        <v>10591</v>
      </c>
      <c r="J1795" s="239" t="s">
        <v>10592</v>
      </c>
      <c r="K1795" s="109" t="s">
        <v>9440</v>
      </c>
      <c r="L1795" s="109" t="s">
        <v>9496</v>
      </c>
    </row>
    <row r="1796" spans="1:12" s="58" customFormat="1" ht="14.85" customHeight="1" x14ac:dyDescent="0.25">
      <c r="A1796" s="108" t="s">
        <v>9308</v>
      </c>
      <c r="B1796" s="115" t="s">
        <v>8939</v>
      </c>
      <c r="C1796" s="115" t="s">
        <v>9338</v>
      </c>
      <c r="D1796" s="109" t="s">
        <v>10647</v>
      </c>
      <c r="E1796" s="106" t="s">
        <v>10648</v>
      </c>
      <c r="F1796" s="109" t="s">
        <v>9496</v>
      </c>
      <c r="G1796" s="115" t="s">
        <v>9324</v>
      </c>
      <c r="H1796" s="115" t="s">
        <v>9323</v>
      </c>
      <c r="I1796" s="109" t="s">
        <v>10567</v>
      </c>
      <c r="J1796" s="239" t="s">
        <v>10568</v>
      </c>
      <c r="K1796" s="109" t="s">
        <v>9440</v>
      </c>
      <c r="L1796" s="109" t="s">
        <v>9496</v>
      </c>
    </row>
    <row r="1797" spans="1:12" s="58" customFormat="1" ht="14.85" customHeight="1" x14ac:dyDescent="0.25">
      <c r="A1797" s="108" t="s">
        <v>9308</v>
      </c>
      <c r="B1797" s="115" t="s">
        <v>8939</v>
      </c>
      <c r="C1797" s="115" t="s">
        <v>9338</v>
      </c>
      <c r="D1797" s="109" t="s">
        <v>10647</v>
      </c>
      <c r="E1797" s="106" t="s">
        <v>10648</v>
      </c>
      <c r="F1797" s="109" t="s">
        <v>9496</v>
      </c>
      <c r="G1797" s="115" t="s">
        <v>9324</v>
      </c>
      <c r="H1797" s="115" t="s">
        <v>9323</v>
      </c>
      <c r="I1797" s="109" t="s">
        <v>10569</v>
      </c>
      <c r="J1797" s="239" t="s">
        <v>10570</v>
      </c>
      <c r="K1797" s="109" t="s">
        <v>9440</v>
      </c>
      <c r="L1797" s="109" t="s">
        <v>9496</v>
      </c>
    </row>
    <row r="1798" spans="1:12" s="58" customFormat="1" ht="14.85" customHeight="1" x14ac:dyDescent="0.25">
      <c r="A1798" s="108" t="s">
        <v>9308</v>
      </c>
      <c r="B1798" s="115" t="s">
        <v>8939</v>
      </c>
      <c r="C1798" s="115" t="s">
        <v>9338</v>
      </c>
      <c r="D1798" s="109" t="s">
        <v>10647</v>
      </c>
      <c r="E1798" s="106" t="s">
        <v>10648</v>
      </c>
      <c r="F1798" s="109" t="s">
        <v>9496</v>
      </c>
      <c r="G1798" s="115" t="s">
        <v>9324</v>
      </c>
      <c r="H1798" s="115" t="s">
        <v>9323</v>
      </c>
      <c r="I1798" s="109" t="s">
        <v>10571</v>
      </c>
      <c r="J1798" s="239" t="s">
        <v>10572</v>
      </c>
      <c r="K1798" s="109" t="s">
        <v>9440</v>
      </c>
      <c r="L1798" s="109" t="s">
        <v>9496</v>
      </c>
    </row>
    <row r="1799" spans="1:12" s="58" customFormat="1" ht="14.85" customHeight="1" x14ac:dyDescent="0.25">
      <c r="A1799" s="108" t="s">
        <v>9308</v>
      </c>
      <c r="B1799" s="115" t="s">
        <v>8939</v>
      </c>
      <c r="C1799" s="115" t="s">
        <v>9338</v>
      </c>
      <c r="D1799" s="109" t="s">
        <v>10647</v>
      </c>
      <c r="E1799" s="106" t="s">
        <v>10648</v>
      </c>
      <c r="F1799" s="109" t="s">
        <v>9496</v>
      </c>
      <c r="G1799" s="115" t="s">
        <v>9324</v>
      </c>
      <c r="H1799" s="115" t="s">
        <v>9323</v>
      </c>
      <c r="I1799" s="109" t="s">
        <v>10573</v>
      </c>
      <c r="J1799" s="239" t="s">
        <v>10574</v>
      </c>
      <c r="K1799" s="109" t="s">
        <v>9440</v>
      </c>
      <c r="L1799" s="109" t="s">
        <v>9496</v>
      </c>
    </row>
    <row r="1800" spans="1:12" s="58" customFormat="1" ht="14.85" customHeight="1" x14ac:dyDescent="0.25">
      <c r="A1800" s="108" t="s">
        <v>9308</v>
      </c>
      <c r="B1800" s="115" t="s">
        <v>8939</v>
      </c>
      <c r="C1800" s="115" t="s">
        <v>9338</v>
      </c>
      <c r="D1800" s="109" t="s">
        <v>10647</v>
      </c>
      <c r="E1800" s="106" t="s">
        <v>10648</v>
      </c>
      <c r="F1800" s="109" t="s">
        <v>9496</v>
      </c>
      <c r="G1800" s="115" t="s">
        <v>9324</v>
      </c>
      <c r="H1800" s="115" t="s">
        <v>9323</v>
      </c>
      <c r="I1800" s="109" t="s">
        <v>10597</v>
      </c>
      <c r="J1800" s="239" t="s">
        <v>10598</v>
      </c>
      <c r="K1800" s="109" t="s">
        <v>9440</v>
      </c>
      <c r="L1800" s="109" t="s">
        <v>9496</v>
      </c>
    </row>
    <row r="1801" spans="1:12" s="58" customFormat="1" ht="14.85" customHeight="1" x14ac:dyDescent="0.25">
      <c r="A1801" s="108" t="s">
        <v>9308</v>
      </c>
      <c r="B1801" s="115" t="s">
        <v>8939</v>
      </c>
      <c r="C1801" s="115" t="s">
        <v>9338</v>
      </c>
      <c r="D1801" s="109" t="s">
        <v>10647</v>
      </c>
      <c r="E1801" s="106" t="s">
        <v>10648</v>
      </c>
      <c r="F1801" s="109" t="s">
        <v>9496</v>
      </c>
      <c r="G1801" s="115" t="s">
        <v>9324</v>
      </c>
      <c r="H1801" s="115" t="s">
        <v>9323</v>
      </c>
      <c r="I1801" s="109" t="s">
        <v>10575</v>
      </c>
      <c r="J1801" s="239" t="s">
        <v>10576</v>
      </c>
      <c r="K1801" s="109" t="s">
        <v>9440</v>
      </c>
      <c r="L1801" s="109" t="s">
        <v>9496</v>
      </c>
    </row>
    <row r="1802" spans="1:12" s="58" customFormat="1" ht="14.85" customHeight="1" x14ac:dyDescent="0.25">
      <c r="A1802" s="108" t="s">
        <v>9308</v>
      </c>
      <c r="B1802" s="115" t="s">
        <v>8939</v>
      </c>
      <c r="C1802" s="115" t="s">
        <v>9338</v>
      </c>
      <c r="D1802" s="109" t="s">
        <v>10647</v>
      </c>
      <c r="E1802" s="106" t="s">
        <v>10648</v>
      </c>
      <c r="F1802" s="109" t="s">
        <v>9496</v>
      </c>
      <c r="G1802" s="115" t="s">
        <v>9324</v>
      </c>
      <c r="H1802" s="115" t="s">
        <v>9323</v>
      </c>
      <c r="I1802" s="109" t="s">
        <v>10585</v>
      </c>
      <c r="J1802" s="239" t="s">
        <v>10586</v>
      </c>
      <c r="K1802" s="109" t="s">
        <v>9440</v>
      </c>
      <c r="L1802" s="109" t="s">
        <v>9496</v>
      </c>
    </row>
    <row r="1803" spans="1:12" s="58" customFormat="1" ht="14.85" customHeight="1" x14ac:dyDescent="0.25">
      <c r="A1803" s="108" t="s">
        <v>9308</v>
      </c>
      <c r="B1803" s="115" t="s">
        <v>8939</v>
      </c>
      <c r="C1803" s="115" t="s">
        <v>9338</v>
      </c>
      <c r="D1803" s="109" t="s">
        <v>10647</v>
      </c>
      <c r="E1803" s="106" t="s">
        <v>10648</v>
      </c>
      <c r="F1803" s="109" t="s">
        <v>9496</v>
      </c>
      <c r="G1803" s="115" t="s">
        <v>9324</v>
      </c>
      <c r="H1803" s="115" t="s">
        <v>9323</v>
      </c>
      <c r="I1803" s="109" t="s">
        <v>10587</v>
      </c>
      <c r="J1803" s="239" t="s">
        <v>10588</v>
      </c>
      <c r="K1803" s="109" t="s">
        <v>9440</v>
      </c>
      <c r="L1803" s="109" t="s">
        <v>9496</v>
      </c>
    </row>
    <row r="1804" spans="1:12" s="58" customFormat="1" ht="14.85" customHeight="1" x14ac:dyDescent="0.25">
      <c r="A1804" s="108" t="s">
        <v>9308</v>
      </c>
      <c r="B1804" s="115" t="s">
        <v>8939</v>
      </c>
      <c r="C1804" s="115" t="s">
        <v>9338</v>
      </c>
      <c r="D1804" s="109" t="s">
        <v>10647</v>
      </c>
      <c r="E1804" s="106" t="s">
        <v>10648</v>
      </c>
      <c r="F1804" s="109" t="s">
        <v>9496</v>
      </c>
      <c r="G1804" s="115" t="s">
        <v>9324</v>
      </c>
      <c r="H1804" s="115" t="s">
        <v>9323</v>
      </c>
      <c r="I1804" s="109" t="s">
        <v>10591</v>
      </c>
      <c r="J1804" s="239" t="s">
        <v>10592</v>
      </c>
      <c r="K1804" s="109" t="s">
        <v>9440</v>
      </c>
      <c r="L1804" s="109" t="s">
        <v>9496</v>
      </c>
    </row>
    <row r="1805" spans="1:12" s="58" customFormat="1" ht="14.85" customHeight="1" x14ac:dyDescent="0.25">
      <c r="A1805" s="108" t="s">
        <v>9308</v>
      </c>
      <c r="B1805" s="115" t="s">
        <v>8939</v>
      </c>
      <c r="C1805" s="115" t="s">
        <v>9338</v>
      </c>
      <c r="D1805" s="109" t="s">
        <v>10649</v>
      </c>
      <c r="E1805" s="106" t="s">
        <v>10650</v>
      </c>
      <c r="F1805" s="109" t="s">
        <v>9496</v>
      </c>
      <c r="G1805" s="115" t="s">
        <v>9324</v>
      </c>
      <c r="H1805" s="115" t="s">
        <v>9323</v>
      </c>
      <c r="I1805" s="109" t="s">
        <v>10567</v>
      </c>
      <c r="J1805" s="239" t="s">
        <v>10568</v>
      </c>
      <c r="K1805" s="109" t="s">
        <v>9440</v>
      </c>
      <c r="L1805" s="109" t="s">
        <v>9496</v>
      </c>
    </row>
    <row r="1806" spans="1:12" s="58" customFormat="1" ht="14.85" customHeight="1" x14ac:dyDescent="0.25">
      <c r="A1806" s="108" t="s">
        <v>9308</v>
      </c>
      <c r="B1806" s="115" t="s">
        <v>8939</v>
      </c>
      <c r="C1806" s="115" t="s">
        <v>9338</v>
      </c>
      <c r="D1806" s="109" t="s">
        <v>10649</v>
      </c>
      <c r="E1806" s="106" t="s">
        <v>10650</v>
      </c>
      <c r="F1806" s="109" t="s">
        <v>9496</v>
      </c>
      <c r="G1806" s="115" t="s">
        <v>9324</v>
      </c>
      <c r="H1806" s="115" t="s">
        <v>9323</v>
      </c>
      <c r="I1806" s="109" t="s">
        <v>10571</v>
      </c>
      <c r="J1806" s="239" t="s">
        <v>10572</v>
      </c>
      <c r="K1806" s="109" t="s">
        <v>9440</v>
      </c>
      <c r="L1806" s="109" t="s">
        <v>9496</v>
      </c>
    </row>
    <row r="1807" spans="1:12" s="58" customFormat="1" ht="14.85" customHeight="1" x14ac:dyDescent="0.25">
      <c r="A1807" s="108" t="s">
        <v>9308</v>
      </c>
      <c r="B1807" s="115" t="s">
        <v>8939</v>
      </c>
      <c r="C1807" s="115" t="s">
        <v>9338</v>
      </c>
      <c r="D1807" s="109" t="s">
        <v>10649</v>
      </c>
      <c r="E1807" s="106" t="s">
        <v>10650</v>
      </c>
      <c r="F1807" s="109" t="s">
        <v>9496</v>
      </c>
      <c r="G1807" s="115" t="s">
        <v>9324</v>
      </c>
      <c r="H1807" s="115" t="s">
        <v>9323</v>
      </c>
      <c r="I1807" s="109" t="s">
        <v>10597</v>
      </c>
      <c r="J1807" s="239" t="s">
        <v>10598</v>
      </c>
      <c r="K1807" s="109" t="s">
        <v>9440</v>
      </c>
      <c r="L1807" s="109" t="s">
        <v>9496</v>
      </c>
    </row>
    <row r="1808" spans="1:12" s="58" customFormat="1" ht="14.85" customHeight="1" x14ac:dyDescent="0.25">
      <c r="A1808" s="108" t="s">
        <v>9308</v>
      </c>
      <c r="B1808" s="115" t="s">
        <v>8939</v>
      </c>
      <c r="C1808" s="115" t="s">
        <v>9338</v>
      </c>
      <c r="D1808" s="109" t="s">
        <v>10649</v>
      </c>
      <c r="E1808" s="106" t="s">
        <v>10650</v>
      </c>
      <c r="F1808" s="109" t="s">
        <v>9496</v>
      </c>
      <c r="G1808" s="115" t="s">
        <v>9324</v>
      </c>
      <c r="H1808" s="115" t="s">
        <v>9323</v>
      </c>
      <c r="I1808" s="109" t="s">
        <v>10583</v>
      </c>
      <c r="J1808" s="239" t="s">
        <v>10584</v>
      </c>
      <c r="K1808" s="109" t="s">
        <v>9440</v>
      </c>
      <c r="L1808" s="109" t="s">
        <v>9496</v>
      </c>
    </row>
    <row r="1809" spans="1:12" s="58" customFormat="1" ht="14.85" customHeight="1" x14ac:dyDescent="0.25">
      <c r="A1809" s="108" t="s">
        <v>9308</v>
      </c>
      <c r="B1809" s="115" t="s">
        <v>8939</v>
      </c>
      <c r="C1809" s="115" t="s">
        <v>9338</v>
      </c>
      <c r="D1809" s="109" t="s">
        <v>10649</v>
      </c>
      <c r="E1809" s="106" t="s">
        <v>10650</v>
      </c>
      <c r="F1809" s="109" t="s">
        <v>9496</v>
      </c>
      <c r="G1809" s="115" t="s">
        <v>9324</v>
      </c>
      <c r="H1809" s="115" t="s">
        <v>9323</v>
      </c>
      <c r="I1809" s="109" t="s">
        <v>10591</v>
      </c>
      <c r="J1809" s="239" t="s">
        <v>10592</v>
      </c>
      <c r="K1809" s="109" t="s">
        <v>9440</v>
      </c>
      <c r="L1809" s="109" t="s">
        <v>9496</v>
      </c>
    </row>
    <row r="1810" spans="1:12" s="58" customFormat="1" ht="14.85" customHeight="1" x14ac:dyDescent="0.25">
      <c r="A1810" s="108" t="s">
        <v>9308</v>
      </c>
      <c r="B1810" s="115" t="s">
        <v>8939</v>
      </c>
      <c r="C1810" s="115" t="s">
        <v>9338</v>
      </c>
      <c r="D1810" s="109" t="s">
        <v>10651</v>
      </c>
      <c r="E1810" s="106" t="s">
        <v>10652</v>
      </c>
      <c r="F1810" s="109" t="s">
        <v>9496</v>
      </c>
      <c r="G1810" s="115" t="s">
        <v>9324</v>
      </c>
      <c r="H1810" s="115" t="s">
        <v>9324</v>
      </c>
      <c r="I1810" s="109" t="s">
        <v>10567</v>
      </c>
      <c r="J1810" s="239" t="s">
        <v>10568</v>
      </c>
      <c r="K1810" s="109" t="s">
        <v>9440</v>
      </c>
      <c r="L1810" s="109" t="s">
        <v>9496</v>
      </c>
    </row>
    <row r="1811" spans="1:12" s="58" customFormat="1" ht="14.85" customHeight="1" x14ac:dyDescent="0.25">
      <c r="A1811" s="108" t="s">
        <v>9308</v>
      </c>
      <c r="B1811" s="115" t="s">
        <v>8939</v>
      </c>
      <c r="C1811" s="115" t="s">
        <v>9338</v>
      </c>
      <c r="D1811" s="109" t="s">
        <v>10651</v>
      </c>
      <c r="E1811" s="106" t="s">
        <v>10652</v>
      </c>
      <c r="F1811" s="109" t="s">
        <v>9496</v>
      </c>
      <c r="G1811" s="115" t="s">
        <v>9324</v>
      </c>
      <c r="H1811" s="115" t="s">
        <v>9324</v>
      </c>
      <c r="I1811" s="109" t="s">
        <v>10571</v>
      </c>
      <c r="J1811" s="239" t="s">
        <v>10572</v>
      </c>
      <c r="K1811" s="109" t="s">
        <v>9440</v>
      </c>
      <c r="L1811" s="109" t="s">
        <v>9496</v>
      </c>
    </row>
    <row r="1812" spans="1:12" s="58" customFormat="1" ht="14.85" customHeight="1" x14ac:dyDescent="0.25">
      <c r="A1812" s="108" t="s">
        <v>9308</v>
      </c>
      <c r="B1812" s="115" t="s">
        <v>8939</v>
      </c>
      <c r="C1812" s="115" t="s">
        <v>9338</v>
      </c>
      <c r="D1812" s="109" t="s">
        <v>10651</v>
      </c>
      <c r="E1812" s="106" t="s">
        <v>10652</v>
      </c>
      <c r="F1812" s="109" t="s">
        <v>9496</v>
      </c>
      <c r="G1812" s="115" t="s">
        <v>9324</v>
      </c>
      <c r="H1812" s="115" t="s">
        <v>9324</v>
      </c>
      <c r="I1812" s="109" t="s">
        <v>10573</v>
      </c>
      <c r="J1812" s="239" t="s">
        <v>10574</v>
      </c>
      <c r="K1812" s="109" t="s">
        <v>9440</v>
      </c>
      <c r="L1812" s="109" t="s">
        <v>9496</v>
      </c>
    </row>
    <row r="1813" spans="1:12" s="58" customFormat="1" ht="14.85" customHeight="1" x14ac:dyDescent="0.25">
      <c r="A1813" s="108" t="s">
        <v>9308</v>
      </c>
      <c r="B1813" s="115" t="s">
        <v>8939</v>
      </c>
      <c r="C1813" s="115" t="s">
        <v>9338</v>
      </c>
      <c r="D1813" s="109" t="s">
        <v>10651</v>
      </c>
      <c r="E1813" s="106" t="s">
        <v>10652</v>
      </c>
      <c r="F1813" s="109" t="s">
        <v>9496</v>
      </c>
      <c r="G1813" s="115" t="s">
        <v>9324</v>
      </c>
      <c r="H1813" s="115" t="s">
        <v>9324</v>
      </c>
      <c r="I1813" s="109" t="s">
        <v>10597</v>
      </c>
      <c r="J1813" s="239" t="s">
        <v>10598</v>
      </c>
      <c r="K1813" s="109" t="s">
        <v>9440</v>
      </c>
      <c r="L1813" s="109" t="s">
        <v>9496</v>
      </c>
    </row>
    <row r="1814" spans="1:12" s="58" customFormat="1" ht="14.85" customHeight="1" x14ac:dyDescent="0.25">
      <c r="A1814" s="108" t="s">
        <v>9308</v>
      </c>
      <c r="B1814" s="115" t="s">
        <v>8939</v>
      </c>
      <c r="C1814" s="115" t="s">
        <v>9338</v>
      </c>
      <c r="D1814" s="109" t="s">
        <v>10651</v>
      </c>
      <c r="E1814" s="106" t="s">
        <v>10652</v>
      </c>
      <c r="F1814" s="109" t="s">
        <v>9496</v>
      </c>
      <c r="G1814" s="115" t="s">
        <v>9324</v>
      </c>
      <c r="H1814" s="115" t="s">
        <v>9324</v>
      </c>
      <c r="I1814" s="109" t="s">
        <v>10583</v>
      </c>
      <c r="J1814" s="239" t="s">
        <v>10584</v>
      </c>
      <c r="K1814" s="109" t="s">
        <v>9440</v>
      </c>
      <c r="L1814" s="109" t="s">
        <v>9496</v>
      </c>
    </row>
    <row r="1815" spans="1:12" s="58" customFormat="1" ht="14.85" customHeight="1" x14ac:dyDescent="0.25">
      <c r="A1815" s="108" t="s">
        <v>9308</v>
      </c>
      <c r="B1815" s="115" t="s">
        <v>8939</v>
      </c>
      <c r="C1815" s="115" t="s">
        <v>9338</v>
      </c>
      <c r="D1815" s="109" t="s">
        <v>10651</v>
      </c>
      <c r="E1815" s="106" t="s">
        <v>10652</v>
      </c>
      <c r="F1815" s="109" t="s">
        <v>9496</v>
      </c>
      <c r="G1815" s="115" t="s">
        <v>9324</v>
      </c>
      <c r="H1815" s="115" t="s">
        <v>9324</v>
      </c>
      <c r="I1815" s="109" t="s">
        <v>10591</v>
      </c>
      <c r="J1815" s="239" t="s">
        <v>10592</v>
      </c>
      <c r="K1815" s="109" t="s">
        <v>9440</v>
      </c>
      <c r="L1815" s="109" t="s">
        <v>9496</v>
      </c>
    </row>
    <row r="1816" spans="1:12" s="58" customFormat="1" ht="14.85" customHeight="1" x14ac:dyDescent="0.25">
      <c r="A1816" s="108" t="s">
        <v>9308</v>
      </c>
      <c r="B1816" s="115" t="s">
        <v>8939</v>
      </c>
      <c r="C1816" s="115" t="s">
        <v>9338</v>
      </c>
      <c r="D1816" s="109" t="s">
        <v>10653</v>
      </c>
      <c r="E1816" s="106" t="s">
        <v>10654</v>
      </c>
      <c r="F1816" s="109" t="s">
        <v>9496</v>
      </c>
      <c r="G1816" s="115" t="s">
        <v>9324</v>
      </c>
      <c r="H1816" s="115" t="s">
        <v>9323</v>
      </c>
      <c r="I1816" s="109" t="s">
        <v>10567</v>
      </c>
      <c r="J1816" s="239" t="s">
        <v>10568</v>
      </c>
      <c r="K1816" s="109" t="s">
        <v>9440</v>
      </c>
      <c r="L1816" s="109" t="s">
        <v>9496</v>
      </c>
    </row>
    <row r="1817" spans="1:12" s="58" customFormat="1" ht="14.85" customHeight="1" x14ac:dyDescent="0.25">
      <c r="A1817" s="108" t="s">
        <v>9308</v>
      </c>
      <c r="B1817" s="115" t="s">
        <v>8939</v>
      </c>
      <c r="C1817" s="115" t="s">
        <v>9338</v>
      </c>
      <c r="D1817" s="109" t="s">
        <v>10653</v>
      </c>
      <c r="E1817" s="106" t="s">
        <v>10654</v>
      </c>
      <c r="F1817" s="109" t="s">
        <v>9496</v>
      </c>
      <c r="G1817" s="115" t="s">
        <v>9324</v>
      </c>
      <c r="H1817" s="115" t="s">
        <v>9323</v>
      </c>
      <c r="I1817" s="109" t="s">
        <v>10571</v>
      </c>
      <c r="J1817" s="239" t="s">
        <v>10572</v>
      </c>
      <c r="K1817" s="109" t="s">
        <v>9440</v>
      </c>
      <c r="L1817" s="109" t="s">
        <v>9496</v>
      </c>
    </row>
    <row r="1818" spans="1:12" s="58" customFormat="1" ht="14.85" customHeight="1" x14ac:dyDescent="0.25">
      <c r="A1818" s="108" t="s">
        <v>9308</v>
      </c>
      <c r="B1818" s="115" t="s">
        <v>8939</v>
      </c>
      <c r="C1818" s="115" t="s">
        <v>9338</v>
      </c>
      <c r="D1818" s="109" t="s">
        <v>10653</v>
      </c>
      <c r="E1818" s="106" t="s">
        <v>10654</v>
      </c>
      <c r="F1818" s="109" t="s">
        <v>9496</v>
      </c>
      <c r="G1818" s="115" t="s">
        <v>9324</v>
      </c>
      <c r="H1818" s="115" t="s">
        <v>9323</v>
      </c>
      <c r="I1818" s="109" t="s">
        <v>10597</v>
      </c>
      <c r="J1818" s="239" t="s">
        <v>10598</v>
      </c>
      <c r="K1818" s="109" t="s">
        <v>9440</v>
      </c>
      <c r="L1818" s="109" t="s">
        <v>9496</v>
      </c>
    </row>
    <row r="1819" spans="1:12" s="58" customFormat="1" ht="14.85" customHeight="1" x14ac:dyDescent="0.25">
      <c r="A1819" s="108" t="s">
        <v>9308</v>
      </c>
      <c r="B1819" s="115" t="s">
        <v>8939</v>
      </c>
      <c r="C1819" s="115" t="s">
        <v>9338</v>
      </c>
      <c r="D1819" s="109" t="s">
        <v>10653</v>
      </c>
      <c r="E1819" s="106" t="s">
        <v>10654</v>
      </c>
      <c r="F1819" s="109" t="s">
        <v>9496</v>
      </c>
      <c r="G1819" s="115" t="s">
        <v>9324</v>
      </c>
      <c r="H1819" s="115" t="s">
        <v>9323</v>
      </c>
      <c r="I1819" s="109" t="s">
        <v>10583</v>
      </c>
      <c r="J1819" s="239" t="s">
        <v>10584</v>
      </c>
      <c r="K1819" s="109" t="s">
        <v>9440</v>
      </c>
      <c r="L1819" s="109" t="s">
        <v>9496</v>
      </c>
    </row>
    <row r="1820" spans="1:12" s="58" customFormat="1" ht="14.85" customHeight="1" x14ac:dyDescent="0.25">
      <c r="A1820" s="108" t="s">
        <v>9308</v>
      </c>
      <c r="B1820" s="115" t="s">
        <v>8939</v>
      </c>
      <c r="C1820" s="115" t="s">
        <v>9338</v>
      </c>
      <c r="D1820" s="109" t="s">
        <v>10653</v>
      </c>
      <c r="E1820" s="106" t="s">
        <v>10654</v>
      </c>
      <c r="F1820" s="109" t="s">
        <v>9496</v>
      </c>
      <c r="G1820" s="115" t="s">
        <v>9324</v>
      </c>
      <c r="H1820" s="115" t="s">
        <v>9323</v>
      </c>
      <c r="I1820" s="109" t="s">
        <v>10591</v>
      </c>
      <c r="J1820" s="239" t="s">
        <v>10592</v>
      </c>
      <c r="K1820" s="109" t="s">
        <v>9440</v>
      </c>
      <c r="L1820" s="109" t="s">
        <v>9496</v>
      </c>
    </row>
    <row r="1821" spans="1:12" s="58" customFormat="1" ht="14.85" customHeight="1" x14ac:dyDescent="0.25">
      <c r="A1821" s="108" t="s">
        <v>9308</v>
      </c>
      <c r="B1821" s="115" t="s">
        <v>8939</v>
      </c>
      <c r="C1821" s="115" t="s">
        <v>9338</v>
      </c>
      <c r="D1821" s="109" t="s">
        <v>10655</v>
      </c>
      <c r="E1821" s="106" t="s">
        <v>10656</v>
      </c>
      <c r="F1821" s="109" t="s">
        <v>9496</v>
      </c>
      <c r="G1821" s="115" t="s">
        <v>9324</v>
      </c>
      <c r="H1821" s="115" t="s">
        <v>9323</v>
      </c>
      <c r="I1821" s="109" t="s">
        <v>10567</v>
      </c>
      <c r="J1821" s="239" t="s">
        <v>10568</v>
      </c>
      <c r="K1821" s="109" t="s">
        <v>9440</v>
      </c>
      <c r="L1821" s="109" t="s">
        <v>9496</v>
      </c>
    </row>
    <row r="1822" spans="1:12" s="58" customFormat="1" ht="14.85" customHeight="1" x14ac:dyDescent="0.25">
      <c r="A1822" s="108" t="s">
        <v>9308</v>
      </c>
      <c r="B1822" s="115" t="s">
        <v>8939</v>
      </c>
      <c r="C1822" s="115" t="s">
        <v>9338</v>
      </c>
      <c r="D1822" s="109" t="s">
        <v>10655</v>
      </c>
      <c r="E1822" s="106" t="s">
        <v>10656</v>
      </c>
      <c r="F1822" s="109" t="s">
        <v>9496</v>
      </c>
      <c r="G1822" s="115" t="s">
        <v>9324</v>
      </c>
      <c r="H1822" s="115" t="s">
        <v>9323</v>
      </c>
      <c r="I1822" s="109" t="s">
        <v>10571</v>
      </c>
      <c r="J1822" s="239" t="s">
        <v>10572</v>
      </c>
      <c r="K1822" s="109" t="s">
        <v>9440</v>
      </c>
      <c r="L1822" s="109" t="s">
        <v>9496</v>
      </c>
    </row>
    <row r="1823" spans="1:12" s="58" customFormat="1" ht="14.85" customHeight="1" x14ac:dyDescent="0.25">
      <c r="A1823" s="108" t="s">
        <v>9308</v>
      </c>
      <c r="B1823" s="115" t="s">
        <v>8939</v>
      </c>
      <c r="C1823" s="115" t="s">
        <v>9338</v>
      </c>
      <c r="D1823" s="109" t="s">
        <v>10655</v>
      </c>
      <c r="E1823" s="106" t="s">
        <v>10656</v>
      </c>
      <c r="F1823" s="109" t="s">
        <v>9496</v>
      </c>
      <c r="G1823" s="115" t="s">
        <v>9324</v>
      </c>
      <c r="H1823" s="115" t="s">
        <v>9323</v>
      </c>
      <c r="I1823" s="109" t="s">
        <v>10597</v>
      </c>
      <c r="J1823" s="239" t="s">
        <v>10598</v>
      </c>
      <c r="K1823" s="109" t="s">
        <v>9440</v>
      </c>
      <c r="L1823" s="109" t="s">
        <v>9496</v>
      </c>
    </row>
    <row r="1824" spans="1:12" s="58" customFormat="1" ht="14.85" customHeight="1" x14ac:dyDescent="0.25">
      <c r="A1824" s="108" t="s">
        <v>9308</v>
      </c>
      <c r="B1824" s="115" t="s">
        <v>8939</v>
      </c>
      <c r="C1824" s="115" t="s">
        <v>9338</v>
      </c>
      <c r="D1824" s="109" t="s">
        <v>10655</v>
      </c>
      <c r="E1824" s="106" t="s">
        <v>10656</v>
      </c>
      <c r="F1824" s="109" t="s">
        <v>9496</v>
      </c>
      <c r="G1824" s="115" t="s">
        <v>9324</v>
      </c>
      <c r="H1824" s="115" t="s">
        <v>9323</v>
      </c>
      <c r="I1824" s="109" t="s">
        <v>10591</v>
      </c>
      <c r="J1824" s="239" t="s">
        <v>10592</v>
      </c>
      <c r="K1824" s="109" t="s">
        <v>9440</v>
      </c>
      <c r="L1824" s="109" t="s">
        <v>9496</v>
      </c>
    </row>
    <row r="1825" spans="1:12" s="58" customFormat="1" ht="14.85" customHeight="1" x14ac:dyDescent="0.25">
      <c r="A1825" s="108" t="s">
        <v>9308</v>
      </c>
      <c r="B1825" s="115" t="s">
        <v>8939</v>
      </c>
      <c r="C1825" s="115" t="s">
        <v>9338</v>
      </c>
      <c r="D1825" s="109" t="s">
        <v>10657</v>
      </c>
      <c r="E1825" s="106" t="s">
        <v>10658</v>
      </c>
      <c r="F1825" s="109" t="s">
        <v>9496</v>
      </c>
      <c r="G1825" s="115" t="s">
        <v>9324</v>
      </c>
      <c r="H1825" s="115" t="s">
        <v>9323</v>
      </c>
      <c r="I1825" s="109" t="s">
        <v>10567</v>
      </c>
      <c r="J1825" s="239" t="s">
        <v>10568</v>
      </c>
      <c r="K1825" s="109" t="s">
        <v>9440</v>
      </c>
      <c r="L1825" s="109" t="s">
        <v>9496</v>
      </c>
    </row>
    <row r="1826" spans="1:12" s="58" customFormat="1" ht="14.85" customHeight="1" x14ac:dyDescent="0.25">
      <c r="A1826" s="108" t="s">
        <v>9308</v>
      </c>
      <c r="B1826" s="115" t="s">
        <v>8939</v>
      </c>
      <c r="C1826" s="115" t="s">
        <v>9338</v>
      </c>
      <c r="D1826" s="109" t="s">
        <v>10657</v>
      </c>
      <c r="E1826" s="106" t="s">
        <v>10658</v>
      </c>
      <c r="F1826" s="109" t="s">
        <v>9496</v>
      </c>
      <c r="G1826" s="115" t="s">
        <v>9324</v>
      </c>
      <c r="H1826" s="115" t="s">
        <v>9323</v>
      </c>
      <c r="I1826" s="109" t="s">
        <v>10571</v>
      </c>
      <c r="J1826" s="239" t="s">
        <v>10572</v>
      </c>
      <c r="K1826" s="109" t="s">
        <v>9440</v>
      </c>
      <c r="L1826" s="109" t="s">
        <v>9496</v>
      </c>
    </row>
    <row r="1827" spans="1:12" s="58" customFormat="1" ht="14.85" customHeight="1" x14ac:dyDescent="0.25">
      <c r="A1827" s="108" t="s">
        <v>9308</v>
      </c>
      <c r="B1827" s="115" t="s">
        <v>8939</v>
      </c>
      <c r="C1827" s="115" t="s">
        <v>9338</v>
      </c>
      <c r="D1827" s="109" t="s">
        <v>10657</v>
      </c>
      <c r="E1827" s="106" t="s">
        <v>10658</v>
      </c>
      <c r="F1827" s="109" t="s">
        <v>9496</v>
      </c>
      <c r="G1827" s="115" t="s">
        <v>9324</v>
      </c>
      <c r="H1827" s="115" t="s">
        <v>9323</v>
      </c>
      <c r="I1827" s="109" t="s">
        <v>10597</v>
      </c>
      <c r="J1827" s="239" t="s">
        <v>10598</v>
      </c>
      <c r="K1827" s="109" t="s">
        <v>9440</v>
      </c>
      <c r="L1827" s="109" t="s">
        <v>9496</v>
      </c>
    </row>
    <row r="1828" spans="1:12" s="58" customFormat="1" ht="14.85" customHeight="1" x14ac:dyDescent="0.25">
      <c r="A1828" s="108" t="s">
        <v>9308</v>
      </c>
      <c r="B1828" s="115" t="s">
        <v>8939</v>
      </c>
      <c r="C1828" s="115" t="s">
        <v>9338</v>
      </c>
      <c r="D1828" s="109" t="s">
        <v>10657</v>
      </c>
      <c r="E1828" s="106" t="s">
        <v>10658</v>
      </c>
      <c r="F1828" s="109" t="s">
        <v>9496</v>
      </c>
      <c r="G1828" s="115" t="s">
        <v>9324</v>
      </c>
      <c r="H1828" s="115" t="s">
        <v>9323</v>
      </c>
      <c r="I1828" s="109" t="s">
        <v>10591</v>
      </c>
      <c r="J1828" s="239" t="s">
        <v>10592</v>
      </c>
      <c r="K1828" s="109" t="s">
        <v>9440</v>
      </c>
      <c r="L1828" s="109" t="s">
        <v>9496</v>
      </c>
    </row>
    <row r="1829" spans="1:12" s="58" customFormat="1" ht="14.85" customHeight="1" x14ac:dyDescent="0.25">
      <c r="A1829" s="108" t="s">
        <v>9308</v>
      </c>
      <c r="B1829" s="115" t="s">
        <v>8939</v>
      </c>
      <c r="C1829" s="115" t="s">
        <v>9338</v>
      </c>
      <c r="D1829" s="109" t="s">
        <v>10659</v>
      </c>
      <c r="E1829" s="106" t="s">
        <v>10660</v>
      </c>
      <c r="F1829" s="109" t="s">
        <v>9496</v>
      </c>
      <c r="G1829" s="115" t="s">
        <v>9324</v>
      </c>
      <c r="H1829" s="115" t="s">
        <v>9323</v>
      </c>
      <c r="I1829" s="109" t="s">
        <v>10567</v>
      </c>
      <c r="J1829" s="239" t="s">
        <v>10568</v>
      </c>
      <c r="K1829" s="109" t="s">
        <v>9440</v>
      </c>
      <c r="L1829" s="109" t="s">
        <v>9496</v>
      </c>
    </row>
    <row r="1830" spans="1:12" s="58" customFormat="1" ht="14.85" customHeight="1" x14ac:dyDescent="0.25">
      <c r="A1830" s="108" t="s">
        <v>9308</v>
      </c>
      <c r="B1830" s="115" t="s">
        <v>8939</v>
      </c>
      <c r="C1830" s="115" t="s">
        <v>9338</v>
      </c>
      <c r="D1830" s="109" t="s">
        <v>10659</v>
      </c>
      <c r="E1830" s="106" t="s">
        <v>10660</v>
      </c>
      <c r="F1830" s="109" t="s">
        <v>9496</v>
      </c>
      <c r="G1830" s="115" t="s">
        <v>9324</v>
      </c>
      <c r="H1830" s="115" t="s">
        <v>9323</v>
      </c>
      <c r="I1830" s="109" t="s">
        <v>10571</v>
      </c>
      <c r="J1830" s="239" t="s">
        <v>10572</v>
      </c>
      <c r="K1830" s="109" t="s">
        <v>9440</v>
      </c>
      <c r="L1830" s="109" t="s">
        <v>9496</v>
      </c>
    </row>
    <row r="1831" spans="1:12" s="58" customFormat="1" ht="14.85" customHeight="1" x14ac:dyDescent="0.25">
      <c r="A1831" s="108" t="s">
        <v>9308</v>
      </c>
      <c r="B1831" s="115" t="s">
        <v>8939</v>
      </c>
      <c r="C1831" s="115" t="s">
        <v>9338</v>
      </c>
      <c r="D1831" s="109" t="s">
        <v>10659</v>
      </c>
      <c r="E1831" s="106" t="s">
        <v>10660</v>
      </c>
      <c r="F1831" s="109" t="s">
        <v>9496</v>
      </c>
      <c r="G1831" s="115" t="s">
        <v>9324</v>
      </c>
      <c r="H1831" s="115" t="s">
        <v>9323</v>
      </c>
      <c r="I1831" s="109" t="s">
        <v>10573</v>
      </c>
      <c r="J1831" s="239" t="s">
        <v>10574</v>
      </c>
      <c r="K1831" s="109" t="s">
        <v>9440</v>
      </c>
      <c r="L1831" s="109" t="s">
        <v>9496</v>
      </c>
    </row>
    <row r="1832" spans="1:12" s="58" customFormat="1" ht="14.85" customHeight="1" x14ac:dyDescent="0.25">
      <c r="A1832" s="108" t="s">
        <v>9308</v>
      </c>
      <c r="B1832" s="115" t="s">
        <v>8939</v>
      </c>
      <c r="C1832" s="115" t="s">
        <v>9338</v>
      </c>
      <c r="D1832" s="109" t="s">
        <v>10659</v>
      </c>
      <c r="E1832" s="106" t="s">
        <v>10660</v>
      </c>
      <c r="F1832" s="109" t="s">
        <v>9496</v>
      </c>
      <c r="G1832" s="115" t="s">
        <v>9324</v>
      </c>
      <c r="H1832" s="115" t="s">
        <v>9323</v>
      </c>
      <c r="I1832" s="109" t="s">
        <v>10597</v>
      </c>
      <c r="J1832" s="239" t="s">
        <v>10598</v>
      </c>
      <c r="K1832" s="109" t="s">
        <v>9440</v>
      </c>
      <c r="L1832" s="109" t="s">
        <v>9496</v>
      </c>
    </row>
    <row r="1833" spans="1:12" s="58" customFormat="1" ht="14.85" customHeight="1" x14ac:dyDescent="0.25">
      <c r="A1833" s="108" t="s">
        <v>9308</v>
      </c>
      <c r="B1833" s="115" t="s">
        <v>8939</v>
      </c>
      <c r="C1833" s="115" t="s">
        <v>9338</v>
      </c>
      <c r="D1833" s="109" t="s">
        <v>10659</v>
      </c>
      <c r="E1833" s="106" t="s">
        <v>10660</v>
      </c>
      <c r="F1833" s="109" t="s">
        <v>9496</v>
      </c>
      <c r="G1833" s="115" t="s">
        <v>9324</v>
      </c>
      <c r="H1833" s="115" t="s">
        <v>9323</v>
      </c>
      <c r="I1833" s="109" t="s">
        <v>10591</v>
      </c>
      <c r="J1833" s="239" t="s">
        <v>10592</v>
      </c>
      <c r="K1833" s="109" t="s">
        <v>9440</v>
      </c>
      <c r="L1833" s="109" t="s">
        <v>9496</v>
      </c>
    </row>
    <row r="1834" spans="1:12" s="58" customFormat="1" ht="14.85" customHeight="1" x14ac:dyDescent="0.25">
      <c r="A1834" s="108" t="s">
        <v>9308</v>
      </c>
      <c r="B1834" s="115" t="s">
        <v>8939</v>
      </c>
      <c r="C1834" s="115" t="s">
        <v>9338</v>
      </c>
      <c r="D1834" s="109" t="s">
        <v>10661</v>
      </c>
      <c r="E1834" s="106" t="s">
        <v>10662</v>
      </c>
      <c r="F1834" s="109" t="s">
        <v>9496</v>
      </c>
      <c r="G1834" s="115" t="s">
        <v>9324</v>
      </c>
      <c r="H1834" s="115" t="s">
        <v>9323</v>
      </c>
      <c r="I1834" s="109" t="s">
        <v>10567</v>
      </c>
      <c r="J1834" s="239" t="s">
        <v>10568</v>
      </c>
      <c r="K1834" s="109" t="s">
        <v>9440</v>
      </c>
      <c r="L1834" s="109" t="s">
        <v>9496</v>
      </c>
    </row>
    <row r="1835" spans="1:12" s="58" customFormat="1" ht="14.85" customHeight="1" x14ac:dyDescent="0.25">
      <c r="A1835" s="108" t="s">
        <v>9308</v>
      </c>
      <c r="B1835" s="115" t="s">
        <v>8939</v>
      </c>
      <c r="C1835" s="115" t="s">
        <v>9338</v>
      </c>
      <c r="D1835" s="109" t="s">
        <v>10661</v>
      </c>
      <c r="E1835" s="106" t="s">
        <v>10662</v>
      </c>
      <c r="F1835" s="109" t="s">
        <v>9496</v>
      </c>
      <c r="G1835" s="115" t="s">
        <v>9324</v>
      </c>
      <c r="H1835" s="115" t="s">
        <v>9323</v>
      </c>
      <c r="I1835" s="109" t="s">
        <v>10571</v>
      </c>
      <c r="J1835" s="239" t="s">
        <v>10572</v>
      </c>
      <c r="K1835" s="109" t="s">
        <v>9440</v>
      </c>
      <c r="L1835" s="109" t="s">
        <v>9496</v>
      </c>
    </row>
    <row r="1836" spans="1:12" s="58" customFormat="1" ht="14.85" customHeight="1" x14ac:dyDescent="0.25">
      <c r="A1836" s="108" t="s">
        <v>9308</v>
      </c>
      <c r="B1836" s="115" t="s">
        <v>8939</v>
      </c>
      <c r="C1836" s="115" t="s">
        <v>9338</v>
      </c>
      <c r="D1836" s="109" t="s">
        <v>10661</v>
      </c>
      <c r="E1836" s="106" t="s">
        <v>10662</v>
      </c>
      <c r="F1836" s="109" t="s">
        <v>9496</v>
      </c>
      <c r="G1836" s="115" t="s">
        <v>9324</v>
      </c>
      <c r="H1836" s="115" t="s">
        <v>9323</v>
      </c>
      <c r="I1836" s="109" t="s">
        <v>10597</v>
      </c>
      <c r="J1836" s="239" t="s">
        <v>10598</v>
      </c>
      <c r="K1836" s="109" t="s">
        <v>9440</v>
      </c>
      <c r="L1836" s="109" t="s">
        <v>9496</v>
      </c>
    </row>
    <row r="1837" spans="1:12" s="58" customFormat="1" ht="14.85" customHeight="1" x14ac:dyDescent="0.25">
      <c r="A1837" s="108" t="s">
        <v>9308</v>
      </c>
      <c r="B1837" s="115" t="s">
        <v>8939</v>
      </c>
      <c r="C1837" s="115" t="s">
        <v>9338</v>
      </c>
      <c r="D1837" s="109" t="s">
        <v>10661</v>
      </c>
      <c r="E1837" s="106" t="s">
        <v>10662</v>
      </c>
      <c r="F1837" s="109" t="s">
        <v>9496</v>
      </c>
      <c r="G1837" s="115" t="s">
        <v>9324</v>
      </c>
      <c r="H1837" s="115" t="s">
        <v>9323</v>
      </c>
      <c r="I1837" s="109" t="s">
        <v>10583</v>
      </c>
      <c r="J1837" s="239" t="s">
        <v>10584</v>
      </c>
      <c r="K1837" s="109" t="s">
        <v>9440</v>
      </c>
      <c r="L1837" s="109" t="s">
        <v>9496</v>
      </c>
    </row>
    <row r="1838" spans="1:12" s="58" customFormat="1" ht="14.85" customHeight="1" x14ac:dyDescent="0.25">
      <c r="A1838" s="108" t="s">
        <v>9308</v>
      </c>
      <c r="B1838" s="115" t="s">
        <v>8939</v>
      </c>
      <c r="C1838" s="115" t="s">
        <v>9338</v>
      </c>
      <c r="D1838" s="109" t="s">
        <v>10661</v>
      </c>
      <c r="E1838" s="106" t="s">
        <v>10662</v>
      </c>
      <c r="F1838" s="109" t="s">
        <v>9496</v>
      </c>
      <c r="G1838" s="115" t="s">
        <v>9324</v>
      </c>
      <c r="H1838" s="115" t="s">
        <v>9323</v>
      </c>
      <c r="I1838" s="109" t="s">
        <v>10591</v>
      </c>
      <c r="J1838" s="239" t="s">
        <v>10592</v>
      </c>
      <c r="K1838" s="109" t="s">
        <v>9440</v>
      </c>
      <c r="L1838" s="109" t="s">
        <v>9496</v>
      </c>
    </row>
    <row r="1839" spans="1:12" s="58" customFormat="1" ht="14.85" customHeight="1" x14ac:dyDescent="0.25">
      <c r="A1839" s="108" t="s">
        <v>9308</v>
      </c>
      <c r="B1839" s="115" t="s">
        <v>8939</v>
      </c>
      <c r="C1839" s="115" t="s">
        <v>9338</v>
      </c>
      <c r="D1839" s="109" t="s">
        <v>10663</v>
      </c>
      <c r="E1839" s="106" t="s">
        <v>10664</v>
      </c>
      <c r="F1839" s="109" t="s">
        <v>9496</v>
      </c>
      <c r="G1839" s="115" t="s">
        <v>9324</v>
      </c>
      <c r="H1839" s="115" t="s">
        <v>9323</v>
      </c>
      <c r="I1839" s="109" t="s">
        <v>10090</v>
      </c>
      <c r="J1839" s="239" t="s">
        <v>10091</v>
      </c>
      <c r="K1839" s="109" t="s">
        <v>9440</v>
      </c>
      <c r="L1839" s="109" t="s">
        <v>9496</v>
      </c>
    </row>
    <row r="1840" spans="1:12" s="58" customFormat="1" ht="14.85" customHeight="1" x14ac:dyDescent="0.25">
      <c r="A1840" s="108" t="s">
        <v>9308</v>
      </c>
      <c r="B1840" s="115" t="s">
        <v>8939</v>
      </c>
      <c r="C1840" s="115" t="s">
        <v>9338</v>
      </c>
      <c r="D1840" s="109" t="s">
        <v>10663</v>
      </c>
      <c r="E1840" s="106" t="s">
        <v>10664</v>
      </c>
      <c r="F1840" s="109" t="s">
        <v>9496</v>
      </c>
      <c r="G1840" s="115" t="s">
        <v>9324</v>
      </c>
      <c r="H1840" s="115" t="s">
        <v>9323</v>
      </c>
      <c r="I1840" s="109" t="s">
        <v>10567</v>
      </c>
      <c r="J1840" s="239" t="s">
        <v>10568</v>
      </c>
      <c r="K1840" s="109" t="s">
        <v>9440</v>
      </c>
      <c r="L1840" s="109" t="s">
        <v>9496</v>
      </c>
    </row>
    <row r="1841" spans="1:12" s="58" customFormat="1" ht="14.85" customHeight="1" x14ac:dyDescent="0.25">
      <c r="A1841" s="108" t="s">
        <v>9308</v>
      </c>
      <c r="B1841" s="115" t="s">
        <v>8939</v>
      </c>
      <c r="C1841" s="115" t="s">
        <v>9338</v>
      </c>
      <c r="D1841" s="109" t="s">
        <v>10663</v>
      </c>
      <c r="E1841" s="106" t="s">
        <v>10664</v>
      </c>
      <c r="F1841" s="109" t="s">
        <v>9496</v>
      </c>
      <c r="G1841" s="115" t="s">
        <v>9324</v>
      </c>
      <c r="H1841" s="115" t="s">
        <v>9323</v>
      </c>
      <c r="I1841" s="109" t="s">
        <v>10597</v>
      </c>
      <c r="J1841" s="239" t="s">
        <v>10598</v>
      </c>
      <c r="K1841" s="109" t="s">
        <v>9440</v>
      </c>
      <c r="L1841" s="109" t="s">
        <v>9496</v>
      </c>
    </row>
    <row r="1842" spans="1:12" s="58" customFormat="1" ht="14.85" customHeight="1" x14ac:dyDescent="0.25">
      <c r="A1842" s="108" t="s">
        <v>9308</v>
      </c>
      <c r="B1842" s="115" t="s">
        <v>8939</v>
      </c>
      <c r="C1842" s="115" t="s">
        <v>9338</v>
      </c>
      <c r="D1842" s="109" t="s">
        <v>10663</v>
      </c>
      <c r="E1842" s="106" t="s">
        <v>10664</v>
      </c>
      <c r="F1842" s="109" t="s">
        <v>9496</v>
      </c>
      <c r="G1842" s="115" t="s">
        <v>9324</v>
      </c>
      <c r="H1842" s="115" t="s">
        <v>9323</v>
      </c>
      <c r="I1842" s="109" t="s">
        <v>10583</v>
      </c>
      <c r="J1842" s="239" t="s">
        <v>10584</v>
      </c>
      <c r="K1842" s="109" t="s">
        <v>9440</v>
      </c>
      <c r="L1842" s="109" t="s">
        <v>9496</v>
      </c>
    </row>
    <row r="1843" spans="1:12" s="58" customFormat="1" ht="14.85" customHeight="1" x14ac:dyDescent="0.25">
      <c r="A1843" s="108" t="s">
        <v>9308</v>
      </c>
      <c r="B1843" s="115" t="s">
        <v>8939</v>
      </c>
      <c r="C1843" s="115" t="s">
        <v>9338</v>
      </c>
      <c r="D1843" s="109" t="s">
        <v>10663</v>
      </c>
      <c r="E1843" s="106" t="s">
        <v>10664</v>
      </c>
      <c r="F1843" s="109" t="s">
        <v>9496</v>
      </c>
      <c r="G1843" s="115" t="s">
        <v>9324</v>
      </c>
      <c r="H1843" s="115" t="s">
        <v>9323</v>
      </c>
      <c r="I1843" s="109" t="s">
        <v>10092</v>
      </c>
      <c r="J1843" s="239" t="s">
        <v>10093</v>
      </c>
      <c r="K1843" s="109" t="s">
        <v>9440</v>
      </c>
      <c r="L1843" s="109" t="s">
        <v>9496</v>
      </c>
    </row>
    <row r="1844" spans="1:12" s="58" customFormat="1" ht="14.85" customHeight="1" x14ac:dyDescent="0.25">
      <c r="A1844" s="108" t="s">
        <v>9308</v>
      </c>
      <c r="B1844" s="115" t="s">
        <v>8939</v>
      </c>
      <c r="C1844" s="115" t="s">
        <v>9338</v>
      </c>
      <c r="D1844" s="109" t="s">
        <v>10663</v>
      </c>
      <c r="E1844" s="106" t="s">
        <v>10664</v>
      </c>
      <c r="F1844" s="109" t="s">
        <v>9496</v>
      </c>
      <c r="G1844" s="115" t="s">
        <v>9324</v>
      </c>
      <c r="H1844" s="115" t="s">
        <v>9323</v>
      </c>
      <c r="I1844" s="109" t="s">
        <v>10591</v>
      </c>
      <c r="J1844" s="239" t="s">
        <v>10592</v>
      </c>
      <c r="K1844" s="109" t="s">
        <v>9440</v>
      </c>
      <c r="L1844" s="109" t="s">
        <v>9496</v>
      </c>
    </row>
    <row r="1845" spans="1:12" s="58" customFormat="1" ht="14.85" customHeight="1" x14ac:dyDescent="0.25">
      <c r="A1845" s="108" t="s">
        <v>9308</v>
      </c>
      <c r="B1845" s="115" t="s">
        <v>8939</v>
      </c>
      <c r="C1845" s="115" t="s">
        <v>9338</v>
      </c>
      <c r="D1845" s="109" t="s">
        <v>10665</v>
      </c>
      <c r="E1845" s="106" t="s">
        <v>10666</v>
      </c>
      <c r="F1845" s="109" t="s">
        <v>9496</v>
      </c>
      <c r="G1845" s="115" t="s">
        <v>9324</v>
      </c>
      <c r="H1845" s="115" t="s">
        <v>9323</v>
      </c>
      <c r="I1845" s="109" t="s">
        <v>10569</v>
      </c>
      <c r="J1845" s="239" t="s">
        <v>10570</v>
      </c>
      <c r="K1845" s="109" t="s">
        <v>9440</v>
      </c>
      <c r="L1845" s="109" t="s">
        <v>9496</v>
      </c>
    </row>
    <row r="1846" spans="1:12" s="58" customFormat="1" ht="14.85" customHeight="1" x14ac:dyDescent="0.25">
      <c r="A1846" s="108" t="s">
        <v>9308</v>
      </c>
      <c r="B1846" s="115" t="s">
        <v>8939</v>
      </c>
      <c r="C1846" s="115" t="s">
        <v>9338</v>
      </c>
      <c r="D1846" s="109" t="s">
        <v>10665</v>
      </c>
      <c r="E1846" s="106" t="s">
        <v>10666</v>
      </c>
      <c r="F1846" s="109" t="s">
        <v>9496</v>
      </c>
      <c r="G1846" s="115" t="s">
        <v>9324</v>
      </c>
      <c r="H1846" s="115" t="s">
        <v>9323</v>
      </c>
      <c r="I1846" s="109" t="s">
        <v>10571</v>
      </c>
      <c r="J1846" s="239" t="s">
        <v>10572</v>
      </c>
      <c r="K1846" s="109" t="s">
        <v>9440</v>
      </c>
      <c r="L1846" s="109" t="s">
        <v>9496</v>
      </c>
    </row>
    <row r="1847" spans="1:12" s="58" customFormat="1" ht="14.85" customHeight="1" x14ac:dyDescent="0.25">
      <c r="A1847" s="108" t="s">
        <v>9308</v>
      </c>
      <c r="B1847" s="115" t="s">
        <v>8939</v>
      </c>
      <c r="C1847" s="115" t="s">
        <v>9338</v>
      </c>
      <c r="D1847" s="109" t="s">
        <v>10665</v>
      </c>
      <c r="E1847" s="106" t="s">
        <v>10666</v>
      </c>
      <c r="F1847" s="109" t="s">
        <v>9496</v>
      </c>
      <c r="G1847" s="115" t="s">
        <v>9324</v>
      </c>
      <c r="H1847" s="115" t="s">
        <v>9323</v>
      </c>
      <c r="I1847" s="109" t="s">
        <v>10573</v>
      </c>
      <c r="J1847" s="239" t="s">
        <v>10574</v>
      </c>
      <c r="K1847" s="109" t="s">
        <v>9440</v>
      </c>
      <c r="L1847" s="109" t="s">
        <v>9496</v>
      </c>
    </row>
    <row r="1848" spans="1:12" s="58" customFormat="1" ht="14.85" customHeight="1" x14ac:dyDescent="0.25">
      <c r="A1848" s="108" t="s">
        <v>9308</v>
      </c>
      <c r="B1848" s="115" t="s">
        <v>8939</v>
      </c>
      <c r="C1848" s="115" t="s">
        <v>9338</v>
      </c>
      <c r="D1848" s="109" t="s">
        <v>10665</v>
      </c>
      <c r="E1848" s="106" t="s">
        <v>10666</v>
      </c>
      <c r="F1848" s="109" t="s">
        <v>9496</v>
      </c>
      <c r="G1848" s="115" t="s">
        <v>9324</v>
      </c>
      <c r="H1848" s="115" t="s">
        <v>9323</v>
      </c>
      <c r="I1848" s="109" t="s">
        <v>10599</v>
      </c>
      <c r="J1848" s="239" t="s">
        <v>10600</v>
      </c>
      <c r="K1848" s="109" t="s">
        <v>9440</v>
      </c>
      <c r="L1848" s="109" t="s">
        <v>9496</v>
      </c>
    </row>
    <row r="1849" spans="1:12" s="58" customFormat="1" ht="14.85" customHeight="1" x14ac:dyDescent="0.25">
      <c r="A1849" s="108" t="s">
        <v>9308</v>
      </c>
      <c r="B1849" s="115" t="s">
        <v>8939</v>
      </c>
      <c r="C1849" s="115" t="s">
        <v>9338</v>
      </c>
      <c r="D1849" s="109" t="s">
        <v>10665</v>
      </c>
      <c r="E1849" s="106" t="s">
        <v>10666</v>
      </c>
      <c r="F1849" s="109" t="s">
        <v>9496</v>
      </c>
      <c r="G1849" s="115" t="s">
        <v>9324</v>
      </c>
      <c r="H1849" s="115" t="s">
        <v>9323</v>
      </c>
      <c r="I1849" s="109" t="s">
        <v>10579</v>
      </c>
      <c r="J1849" s="239" t="s">
        <v>10580</v>
      </c>
      <c r="K1849" s="109" t="s">
        <v>9440</v>
      </c>
      <c r="L1849" s="109" t="s">
        <v>9496</v>
      </c>
    </row>
    <row r="1850" spans="1:12" s="58" customFormat="1" ht="14.85" customHeight="1" x14ac:dyDescent="0.25">
      <c r="A1850" s="108" t="s">
        <v>9308</v>
      </c>
      <c r="B1850" s="115" t="s">
        <v>8939</v>
      </c>
      <c r="C1850" s="115" t="s">
        <v>9338</v>
      </c>
      <c r="D1850" s="109" t="s">
        <v>10665</v>
      </c>
      <c r="E1850" s="106" t="s">
        <v>10666</v>
      </c>
      <c r="F1850" s="109" t="s">
        <v>9496</v>
      </c>
      <c r="G1850" s="115" t="s">
        <v>9324</v>
      </c>
      <c r="H1850" s="115" t="s">
        <v>9323</v>
      </c>
      <c r="I1850" s="109" t="s">
        <v>10591</v>
      </c>
      <c r="J1850" s="239" t="s">
        <v>10592</v>
      </c>
      <c r="K1850" s="109" t="s">
        <v>9440</v>
      </c>
      <c r="L1850" s="109" t="s">
        <v>9496</v>
      </c>
    </row>
    <row r="1851" spans="1:12" s="58" customFormat="1" ht="14.85" customHeight="1" x14ac:dyDescent="0.25">
      <c r="A1851" s="108" t="s">
        <v>9308</v>
      </c>
      <c r="B1851" s="115" t="s">
        <v>8939</v>
      </c>
      <c r="C1851" s="115" t="s">
        <v>9338</v>
      </c>
      <c r="D1851" s="109" t="s">
        <v>10667</v>
      </c>
      <c r="E1851" s="106" t="s">
        <v>10668</v>
      </c>
      <c r="F1851" s="109" t="s">
        <v>9496</v>
      </c>
      <c r="G1851" s="115" t="s">
        <v>9324</v>
      </c>
      <c r="H1851" s="115" t="s">
        <v>9324</v>
      </c>
      <c r="I1851" s="109" t="s">
        <v>10569</v>
      </c>
      <c r="J1851" s="239" t="s">
        <v>10570</v>
      </c>
      <c r="K1851" s="109" t="s">
        <v>9440</v>
      </c>
      <c r="L1851" s="109" t="s">
        <v>9496</v>
      </c>
    </row>
    <row r="1852" spans="1:12" s="58" customFormat="1" ht="14.85" customHeight="1" x14ac:dyDescent="0.25">
      <c r="A1852" s="108" t="s">
        <v>9308</v>
      </c>
      <c r="B1852" s="115" t="s">
        <v>8939</v>
      </c>
      <c r="C1852" s="115" t="s">
        <v>9338</v>
      </c>
      <c r="D1852" s="109" t="s">
        <v>10667</v>
      </c>
      <c r="E1852" s="106" t="s">
        <v>10668</v>
      </c>
      <c r="F1852" s="109" t="s">
        <v>9496</v>
      </c>
      <c r="G1852" s="115" t="s">
        <v>9324</v>
      </c>
      <c r="H1852" s="115" t="s">
        <v>9324</v>
      </c>
      <c r="I1852" s="109" t="s">
        <v>10571</v>
      </c>
      <c r="J1852" s="239" t="s">
        <v>10572</v>
      </c>
      <c r="K1852" s="109" t="s">
        <v>9440</v>
      </c>
      <c r="L1852" s="109" t="s">
        <v>9496</v>
      </c>
    </row>
    <row r="1853" spans="1:12" s="58" customFormat="1" ht="14.85" customHeight="1" x14ac:dyDescent="0.25">
      <c r="A1853" s="108" t="s">
        <v>9308</v>
      </c>
      <c r="B1853" s="115" t="s">
        <v>8939</v>
      </c>
      <c r="C1853" s="115" t="s">
        <v>9338</v>
      </c>
      <c r="D1853" s="109" t="s">
        <v>10667</v>
      </c>
      <c r="E1853" s="106" t="s">
        <v>10668</v>
      </c>
      <c r="F1853" s="109" t="s">
        <v>9496</v>
      </c>
      <c r="G1853" s="115" t="s">
        <v>9324</v>
      </c>
      <c r="H1853" s="115" t="s">
        <v>9324</v>
      </c>
      <c r="I1853" s="109" t="s">
        <v>10573</v>
      </c>
      <c r="J1853" s="239" t="s">
        <v>10574</v>
      </c>
      <c r="K1853" s="109" t="s">
        <v>9440</v>
      </c>
      <c r="L1853" s="109" t="s">
        <v>9496</v>
      </c>
    </row>
    <row r="1854" spans="1:12" s="58" customFormat="1" ht="14.85" customHeight="1" x14ac:dyDescent="0.25">
      <c r="A1854" s="108" t="s">
        <v>9308</v>
      </c>
      <c r="B1854" s="115" t="s">
        <v>8939</v>
      </c>
      <c r="C1854" s="115" t="s">
        <v>9338</v>
      </c>
      <c r="D1854" s="109" t="s">
        <v>10667</v>
      </c>
      <c r="E1854" s="106" t="s">
        <v>10668</v>
      </c>
      <c r="F1854" s="109" t="s">
        <v>9496</v>
      </c>
      <c r="G1854" s="115" t="s">
        <v>9324</v>
      </c>
      <c r="H1854" s="115" t="s">
        <v>9324</v>
      </c>
      <c r="I1854" s="109" t="s">
        <v>10599</v>
      </c>
      <c r="J1854" s="239" t="s">
        <v>10600</v>
      </c>
      <c r="K1854" s="109" t="s">
        <v>9440</v>
      </c>
      <c r="L1854" s="109" t="s">
        <v>9496</v>
      </c>
    </row>
    <row r="1855" spans="1:12" s="58" customFormat="1" ht="14.85" customHeight="1" x14ac:dyDescent="0.25">
      <c r="A1855" s="108" t="s">
        <v>9308</v>
      </c>
      <c r="B1855" s="115" t="s">
        <v>8939</v>
      </c>
      <c r="C1855" s="115" t="s">
        <v>9338</v>
      </c>
      <c r="D1855" s="109" t="s">
        <v>10667</v>
      </c>
      <c r="E1855" s="106" t="s">
        <v>10668</v>
      </c>
      <c r="F1855" s="109" t="s">
        <v>9496</v>
      </c>
      <c r="G1855" s="115" t="s">
        <v>9324</v>
      </c>
      <c r="H1855" s="115" t="s">
        <v>9324</v>
      </c>
      <c r="I1855" s="109" t="s">
        <v>10579</v>
      </c>
      <c r="J1855" s="239" t="s">
        <v>10580</v>
      </c>
      <c r="K1855" s="109" t="s">
        <v>9440</v>
      </c>
      <c r="L1855" s="109" t="s">
        <v>9496</v>
      </c>
    </row>
    <row r="1856" spans="1:12" s="58" customFormat="1" ht="14.85" customHeight="1" x14ac:dyDescent="0.25">
      <c r="A1856" s="108" t="s">
        <v>9308</v>
      </c>
      <c r="B1856" s="115" t="s">
        <v>8939</v>
      </c>
      <c r="C1856" s="115" t="s">
        <v>9338</v>
      </c>
      <c r="D1856" s="109" t="s">
        <v>10667</v>
      </c>
      <c r="E1856" s="106" t="s">
        <v>10668</v>
      </c>
      <c r="F1856" s="109" t="s">
        <v>9496</v>
      </c>
      <c r="G1856" s="115" t="s">
        <v>9324</v>
      </c>
      <c r="H1856" s="115" t="s">
        <v>9324</v>
      </c>
      <c r="I1856" s="109" t="s">
        <v>10591</v>
      </c>
      <c r="J1856" s="239" t="s">
        <v>10592</v>
      </c>
      <c r="K1856" s="109" t="s">
        <v>9440</v>
      </c>
      <c r="L1856" s="109" t="s">
        <v>9496</v>
      </c>
    </row>
    <row r="1857" spans="1:12" s="58" customFormat="1" ht="14.85" customHeight="1" x14ac:dyDescent="0.25">
      <c r="A1857" s="108" t="s">
        <v>9308</v>
      </c>
      <c r="B1857" s="115" t="s">
        <v>8939</v>
      </c>
      <c r="C1857" s="115" t="s">
        <v>9338</v>
      </c>
      <c r="D1857" s="109" t="s">
        <v>10669</v>
      </c>
      <c r="E1857" s="106" t="s">
        <v>10670</v>
      </c>
      <c r="F1857" s="109" t="s">
        <v>9496</v>
      </c>
      <c r="G1857" s="115" t="s">
        <v>9324</v>
      </c>
      <c r="H1857" s="115" t="s">
        <v>9323</v>
      </c>
      <c r="I1857" s="109" t="s">
        <v>10569</v>
      </c>
      <c r="J1857" s="239" t="s">
        <v>10570</v>
      </c>
      <c r="K1857" s="109" t="s">
        <v>9440</v>
      </c>
      <c r="L1857" s="109" t="s">
        <v>9496</v>
      </c>
    </row>
    <row r="1858" spans="1:12" s="58" customFormat="1" ht="14.85" customHeight="1" x14ac:dyDescent="0.25">
      <c r="A1858" s="108" t="s">
        <v>9308</v>
      </c>
      <c r="B1858" s="115" t="s">
        <v>8939</v>
      </c>
      <c r="C1858" s="115" t="s">
        <v>9338</v>
      </c>
      <c r="D1858" s="109" t="s">
        <v>10669</v>
      </c>
      <c r="E1858" s="106" t="s">
        <v>10670</v>
      </c>
      <c r="F1858" s="109" t="s">
        <v>9496</v>
      </c>
      <c r="G1858" s="115" t="s">
        <v>9324</v>
      </c>
      <c r="H1858" s="115" t="s">
        <v>9323</v>
      </c>
      <c r="I1858" s="109" t="s">
        <v>10571</v>
      </c>
      <c r="J1858" s="239" t="s">
        <v>10572</v>
      </c>
      <c r="K1858" s="109" t="s">
        <v>9440</v>
      </c>
      <c r="L1858" s="109" t="s">
        <v>9496</v>
      </c>
    </row>
    <row r="1859" spans="1:12" s="58" customFormat="1" ht="14.85" customHeight="1" x14ac:dyDescent="0.25">
      <c r="A1859" s="108" t="s">
        <v>9308</v>
      </c>
      <c r="B1859" s="115" t="s">
        <v>8939</v>
      </c>
      <c r="C1859" s="115" t="s">
        <v>9338</v>
      </c>
      <c r="D1859" s="109" t="s">
        <v>10669</v>
      </c>
      <c r="E1859" s="106" t="s">
        <v>10670</v>
      </c>
      <c r="F1859" s="109" t="s">
        <v>9496</v>
      </c>
      <c r="G1859" s="115" t="s">
        <v>9324</v>
      </c>
      <c r="H1859" s="115" t="s">
        <v>9323</v>
      </c>
      <c r="I1859" s="109" t="s">
        <v>10573</v>
      </c>
      <c r="J1859" s="239" t="s">
        <v>10574</v>
      </c>
      <c r="K1859" s="109" t="s">
        <v>9440</v>
      </c>
      <c r="L1859" s="109" t="s">
        <v>9496</v>
      </c>
    </row>
    <row r="1860" spans="1:12" s="58" customFormat="1" ht="14.85" customHeight="1" x14ac:dyDescent="0.25">
      <c r="A1860" s="108" t="s">
        <v>9308</v>
      </c>
      <c r="B1860" s="115" t="s">
        <v>8939</v>
      </c>
      <c r="C1860" s="115" t="s">
        <v>9338</v>
      </c>
      <c r="D1860" s="109" t="s">
        <v>10669</v>
      </c>
      <c r="E1860" s="106" t="s">
        <v>10670</v>
      </c>
      <c r="F1860" s="109" t="s">
        <v>9496</v>
      </c>
      <c r="G1860" s="115" t="s">
        <v>9324</v>
      </c>
      <c r="H1860" s="115" t="s">
        <v>9323</v>
      </c>
      <c r="I1860" s="109" t="s">
        <v>10599</v>
      </c>
      <c r="J1860" s="239" t="s">
        <v>10600</v>
      </c>
      <c r="K1860" s="109" t="s">
        <v>9440</v>
      </c>
      <c r="L1860" s="109" t="s">
        <v>9496</v>
      </c>
    </row>
    <row r="1861" spans="1:12" s="58" customFormat="1" ht="14.85" customHeight="1" x14ac:dyDescent="0.25">
      <c r="A1861" s="108" t="s">
        <v>9308</v>
      </c>
      <c r="B1861" s="115" t="s">
        <v>8939</v>
      </c>
      <c r="C1861" s="115" t="s">
        <v>9338</v>
      </c>
      <c r="D1861" s="109" t="s">
        <v>10669</v>
      </c>
      <c r="E1861" s="106" t="s">
        <v>10670</v>
      </c>
      <c r="F1861" s="109" t="s">
        <v>9496</v>
      </c>
      <c r="G1861" s="115" t="s">
        <v>9324</v>
      </c>
      <c r="H1861" s="115" t="s">
        <v>9323</v>
      </c>
      <c r="I1861" s="109" t="s">
        <v>10579</v>
      </c>
      <c r="J1861" s="239" t="s">
        <v>10580</v>
      </c>
      <c r="K1861" s="109" t="s">
        <v>9440</v>
      </c>
      <c r="L1861" s="109" t="s">
        <v>9496</v>
      </c>
    </row>
    <row r="1862" spans="1:12" s="58" customFormat="1" ht="14.85" customHeight="1" x14ac:dyDescent="0.25">
      <c r="A1862" s="108" t="s">
        <v>9308</v>
      </c>
      <c r="B1862" s="115" t="s">
        <v>8939</v>
      </c>
      <c r="C1862" s="115" t="s">
        <v>9338</v>
      </c>
      <c r="D1862" s="109" t="s">
        <v>10669</v>
      </c>
      <c r="E1862" s="106" t="s">
        <v>10670</v>
      </c>
      <c r="F1862" s="109" t="s">
        <v>9496</v>
      </c>
      <c r="G1862" s="115" t="s">
        <v>9324</v>
      </c>
      <c r="H1862" s="115" t="s">
        <v>9323</v>
      </c>
      <c r="I1862" s="109" t="s">
        <v>10617</v>
      </c>
      <c r="J1862" s="239" t="s">
        <v>10618</v>
      </c>
      <c r="K1862" s="109" t="s">
        <v>9440</v>
      </c>
      <c r="L1862" s="109" t="s">
        <v>9496</v>
      </c>
    </row>
    <row r="1863" spans="1:12" s="58" customFormat="1" ht="14.85" customHeight="1" x14ac:dyDescent="0.25">
      <c r="A1863" s="108" t="s">
        <v>9308</v>
      </c>
      <c r="B1863" s="115" t="s">
        <v>8939</v>
      </c>
      <c r="C1863" s="115" t="s">
        <v>9338</v>
      </c>
      <c r="D1863" s="109" t="s">
        <v>10669</v>
      </c>
      <c r="E1863" s="106" t="s">
        <v>10670</v>
      </c>
      <c r="F1863" s="109" t="s">
        <v>9496</v>
      </c>
      <c r="G1863" s="115" t="s">
        <v>9324</v>
      </c>
      <c r="H1863" s="115" t="s">
        <v>9323</v>
      </c>
      <c r="I1863" s="109" t="s">
        <v>10591</v>
      </c>
      <c r="J1863" s="239" t="s">
        <v>10592</v>
      </c>
      <c r="K1863" s="109" t="s">
        <v>9440</v>
      </c>
      <c r="L1863" s="109" t="s">
        <v>9496</v>
      </c>
    </row>
    <row r="1864" spans="1:12" s="58" customFormat="1" ht="14.85" customHeight="1" x14ac:dyDescent="0.25">
      <c r="A1864" s="108" t="s">
        <v>9308</v>
      </c>
      <c r="B1864" s="115" t="s">
        <v>8939</v>
      </c>
      <c r="C1864" s="115" t="s">
        <v>9338</v>
      </c>
      <c r="D1864" s="109" t="s">
        <v>10671</v>
      </c>
      <c r="E1864" s="106" t="s">
        <v>10672</v>
      </c>
      <c r="F1864" s="109" t="s">
        <v>9496</v>
      </c>
      <c r="G1864" s="115" t="s">
        <v>9324</v>
      </c>
      <c r="H1864" s="115" t="s">
        <v>9323</v>
      </c>
      <c r="I1864" s="109" t="s">
        <v>10567</v>
      </c>
      <c r="J1864" s="239" t="s">
        <v>10568</v>
      </c>
      <c r="K1864" s="109" t="s">
        <v>9440</v>
      </c>
      <c r="L1864" s="109" t="s">
        <v>9496</v>
      </c>
    </row>
    <row r="1865" spans="1:12" s="58" customFormat="1" ht="14.85" customHeight="1" x14ac:dyDescent="0.25">
      <c r="A1865" s="108" t="s">
        <v>9308</v>
      </c>
      <c r="B1865" s="115" t="s">
        <v>8939</v>
      </c>
      <c r="C1865" s="115" t="s">
        <v>9338</v>
      </c>
      <c r="D1865" s="109" t="s">
        <v>10671</v>
      </c>
      <c r="E1865" s="106" t="s">
        <v>10672</v>
      </c>
      <c r="F1865" s="109" t="s">
        <v>9496</v>
      </c>
      <c r="G1865" s="115" t="s">
        <v>9324</v>
      </c>
      <c r="H1865" s="115" t="s">
        <v>9323</v>
      </c>
      <c r="I1865" s="109" t="s">
        <v>10569</v>
      </c>
      <c r="J1865" s="239" t="s">
        <v>10570</v>
      </c>
      <c r="K1865" s="109" t="s">
        <v>9440</v>
      </c>
      <c r="L1865" s="109" t="s">
        <v>9496</v>
      </c>
    </row>
    <row r="1866" spans="1:12" s="58" customFormat="1" ht="14.85" customHeight="1" x14ac:dyDescent="0.25">
      <c r="A1866" s="108" t="s">
        <v>9308</v>
      </c>
      <c r="B1866" s="115" t="s">
        <v>8939</v>
      </c>
      <c r="C1866" s="115" t="s">
        <v>9338</v>
      </c>
      <c r="D1866" s="109" t="s">
        <v>10671</v>
      </c>
      <c r="E1866" s="106" t="s">
        <v>10672</v>
      </c>
      <c r="F1866" s="109" t="s">
        <v>9496</v>
      </c>
      <c r="G1866" s="115" t="s">
        <v>9324</v>
      </c>
      <c r="H1866" s="115" t="s">
        <v>9323</v>
      </c>
      <c r="I1866" s="109" t="s">
        <v>10571</v>
      </c>
      <c r="J1866" s="239" t="s">
        <v>10572</v>
      </c>
      <c r="K1866" s="109" t="s">
        <v>9440</v>
      </c>
      <c r="L1866" s="109" t="s">
        <v>9496</v>
      </c>
    </row>
    <row r="1867" spans="1:12" s="58" customFormat="1" ht="14.85" customHeight="1" x14ac:dyDescent="0.25">
      <c r="A1867" s="108" t="s">
        <v>9308</v>
      </c>
      <c r="B1867" s="115" t="s">
        <v>8939</v>
      </c>
      <c r="C1867" s="115" t="s">
        <v>9338</v>
      </c>
      <c r="D1867" s="109" t="s">
        <v>10671</v>
      </c>
      <c r="E1867" s="106" t="s">
        <v>10672</v>
      </c>
      <c r="F1867" s="109" t="s">
        <v>9496</v>
      </c>
      <c r="G1867" s="115" t="s">
        <v>9324</v>
      </c>
      <c r="H1867" s="115" t="s">
        <v>9323</v>
      </c>
      <c r="I1867" s="109" t="s">
        <v>10573</v>
      </c>
      <c r="J1867" s="239" t="s">
        <v>10574</v>
      </c>
      <c r="K1867" s="109" t="s">
        <v>9440</v>
      </c>
      <c r="L1867" s="109" t="s">
        <v>9496</v>
      </c>
    </row>
    <row r="1868" spans="1:12" s="58" customFormat="1" ht="14.85" customHeight="1" x14ac:dyDescent="0.25">
      <c r="A1868" s="108" t="s">
        <v>9308</v>
      </c>
      <c r="B1868" s="115" t="s">
        <v>8939</v>
      </c>
      <c r="C1868" s="115" t="s">
        <v>9338</v>
      </c>
      <c r="D1868" s="109" t="s">
        <v>10671</v>
      </c>
      <c r="E1868" s="106" t="s">
        <v>10672</v>
      </c>
      <c r="F1868" s="109" t="s">
        <v>9496</v>
      </c>
      <c r="G1868" s="115" t="s">
        <v>9324</v>
      </c>
      <c r="H1868" s="115" t="s">
        <v>9323</v>
      </c>
      <c r="I1868" s="109" t="s">
        <v>10575</v>
      </c>
      <c r="J1868" s="239" t="s">
        <v>10576</v>
      </c>
      <c r="K1868" s="109" t="s">
        <v>9440</v>
      </c>
      <c r="L1868" s="109" t="s">
        <v>9496</v>
      </c>
    </row>
    <row r="1869" spans="1:12" s="58" customFormat="1" ht="14.85" customHeight="1" x14ac:dyDescent="0.25">
      <c r="A1869" s="108" t="s">
        <v>9308</v>
      </c>
      <c r="B1869" s="115" t="s">
        <v>8939</v>
      </c>
      <c r="C1869" s="115" t="s">
        <v>9338</v>
      </c>
      <c r="D1869" s="109" t="s">
        <v>10671</v>
      </c>
      <c r="E1869" s="106" t="s">
        <v>10672</v>
      </c>
      <c r="F1869" s="109" t="s">
        <v>9496</v>
      </c>
      <c r="G1869" s="115" t="s">
        <v>9324</v>
      </c>
      <c r="H1869" s="115" t="s">
        <v>9323</v>
      </c>
      <c r="I1869" s="109" t="s">
        <v>10577</v>
      </c>
      <c r="J1869" s="239" t="s">
        <v>10578</v>
      </c>
      <c r="K1869" s="109" t="s">
        <v>9440</v>
      </c>
      <c r="L1869" s="109" t="s">
        <v>9496</v>
      </c>
    </row>
    <row r="1870" spans="1:12" s="58" customFormat="1" ht="14.85" customHeight="1" x14ac:dyDescent="0.25">
      <c r="A1870" s="108" t="s">
        <v>9308</v>
      </c>
      <c r="B1870" s="115" t="s">
        <v>8939</v>
      </c>
      <c r="C1870" s="115" t="s">
        <v>9338</v>
      </c>
      <c r="D1870" s="109" t="s">
        <v>10671</v>
      </c>
      <c r="E1870" s="106" t="s">
        <v>10672</v>
      </c>
      <c r="F1870" s="109" t="s">
        <v>9496</v>
      </c>
      <c r="G1870" s="115" t="s">
        <v>9324</v>
      </c>
      <c r="H1870" s="115" t="s">
        <v>9323</v>
      </c>
      <c r="I1870" s="109" t="s">
        <v>10579</v>
      </c>
      <c r="J1870" s="239" t="s">
        <v>10580</v>
      </c>
      <c r="K1870" s="109" t="s">
        <v>9440</v>
      </c>
      <c r="L1870" s="109" t="s">
        <v>9496</v>
      </c>
    </row>
    <row r="1871" spans="1:12" s="58" customFormat="1" ht="14.85" customHeight="1" x14ac:dyDescent="0.25">
      <c r="A1871" s="108" t="s">
        <v>9308</v>
      </c>
      <c r="B1871" s="115" t="s">
        <v>8939</v>
      </c>
      <c r="C1871" s="115" t="s">
        <v>9338</v>
      </c>
      <c r="D1871" s="109" t="s">
        <v>10671</v>
      </c>
      <c r="E1871" s="106" t="s">
        <v>10672</v>
      </c>
      <c r="F1871" s="109" t="s">
        <v>9496</v>
      </c>
      <c r="G1871" s="115" t="s">
        <v>9324</v>
      </c>
      <c r="H1871" s="115" t="s">
        <v>9323</v>
      </c>
      <c r="I1871" s="109" t="s">
        <v>10583</v>
      </c>
      <c r="J1871" s="239" t="s">
        <v>10584</v>
      </c>
      <c r="K1871" s="109" t="s">
        <v>9440</v>
      </c>
      <c r="L1871" s="109" t="s">
        <v>9496</v>
      </c>
    </row>
    <row r="1872" spans="1:12" s="58" customFormat="1" ht="14.85" customHeight="1" x14ac:dyDescent="0.25">
      <c r="A1872" s="108" t="s">
        <v>9308</v>
      </c>
      <c r="B1872" s="115" t="s">
        <v>8939</v>
      </c>
      <c r="C1872" s="115" t="s">
        <v>9338</v>
      </c>
      <c r="D1872" s="109" t="s">
        <v>10671</v>
      </c>
      <c r="E1872" s="106" t="s">
        <v>10672</v>
      </c>
      <c r="F1872" s="109" t="s">
        <v>9496</v>
      </c>
      <c r="G1872" s="115" t="s">
        <v>9324</v>
      </c>
      <c r="H1872" s="115" t="s">
        <v>9323</v>
      </c>
      <c r="I1872" s="109" t="s">
        <v>10585</v>
      </c>
      <c r="J1872" s="239" t="s">
        <v>10586</v>
      </c>
      <c r="K1872" s="109" t="s">
        <v>9440</v>
      </c>
      <c r="L1872" s="109" t="s">
        <v>9496</v>
      </c>
    </row>
    <row r="1873" spans="1:12" s="58" customFormat="1" ht="14.85" customHeight="1" x14ac:dyDescent="0.25">
      <c r="A1873" s="108" t="s">
        <v>9308</v>
      </c>
      <c r="B1873" s="115" t="s">
        <v>8939</v>
      </c>
      <c r="C1873" s="115" t="s">
        <v>9338</v>
      </c>
      <c r="D1873" s="109" t="s">
        <v>10671</v>
      </c>
      <c r="E1873" s="106" t="s">
        <v>10672</v>
      </c>
      <c r="F1873" s="109" t="s">
        <v>9496</v>
      </c>
      <c r="G1873" s="115" t="s">
        <v>9324</v>
      </c>
      <c r="H1873" s="115" t="s">
        <v>9323</v>
      </c>
      <c r="I1873" s="109" t="s">
        <v>10587</v>
      </c>
      <c r="J1873" s="239" t="s">
        <v>10588</v>
      </c>
      <c r="K1873" s="109" t="s">
        <v>9440</v>
      </c>
      <c r="L1873" s="109" t="s">
        <v>9496</v>
      </c>
    </row>
    <row r="1874" spans="1:12" s="58" customFormat="1" ht="14.85" customHeight="1" x14ac:dyDescent="0.25">
      <c r="A1874" s="108" t="s">
        <v>9308</v>
      </c>
      <c r="B1874" s="115" t="s">
        <v>8939</v>
      </c>
      <c r="C1874" s="115" t="s">
        <v>9338</v>
      </c>
      <c r="D1874" s="109" t="s">
        <v>10671</v>
      </c>
      <c r="E1874" s="106" t="s">
        <v>10672</v>
      </c>
      <c r="F1874" s="109" t="s">
        <v>9496</v>
      </c>
      <c r="G1874" s="115" t="s">
        <v>9324</v>
      </c>
      <c r="H1874" s="115" t="s">
        <v>9323</v>
      </c>
      <c r="I1874" s="109" t="s">
        <v>10591</v>
      </c>
      <c r="J1874" s="239" t="s">
        <v>10592</v>
      </c>
      <c r="K1874" s="109" t="s">
        <v>9440</v>
      </c>
      <c r="L1874" s="109" t="s">
        <v>9496</v>
      </c>
    </row>
    <row r="1875" spans="1:12" s="58" customFormat="1" ht="14.85" customHeight="1" x14ac:dyDescent="0.25">
      <c r="A1875" s="108" t="s">
        <v>9308</v>
      </c>
      <c r="B1875" s="115" t="s">
        <v>8939</v>
      </c>
      <c r="C1875" s="115" t="s">
        <v>9338</v>
      </c>
      <c r="D1875" s="109" t="s">
        <v>10673</v>
      </c>
      <c r="E1875" s="106" t="s">
        <v>10674</v>
      </c>
      <c r="F1875" s="109" t="s">
        <v>9496</v>
      </c>
      <c r="G1875" s="115" t="s">
        <v>9324</v>
      </c>
      <c r="H1875" s="115" t="s">
        <v>9323</v>
      </c>
      <c r="I1875" s="109" t="s">
        <v>10567</v>
      </c>
      <c r="J1875" s="239" t="s">
        <v>10568</v>
      </c>
      <c r="K1875" s="109" t="s">
        <v>9440</v>
      </c>
      <c r="L1875" s="109" t="s">
        <v>9496</v>
      </c>
    </row>
    <row r="1876" spans="1:12" s="58" customFormat="1" ht="14.85" customHeight="1" x14ac:dyDescent="0.25">
      <c r="A1876" s="108" t="s">
        <v>9308</v>
      </c>
      <c r="B1876" s="115" t="s">
        <v>8939</v>
      </c>
      <c r="C1876" s="115" t="s">
        <v>9338</v>
      </c>
      <c r="D1876" s="109" t="s">
        <v>10673</v>
      </c>
      <c r="E1876" s="106" t="s">
        <v>10674</v>
      </c>
      <c r="F1876" s="109" t="s">
        <v>9496</v>
      </c>
      <c r="G1876" s="115" t="s">
        <v>9324</v>
      </c>
      <c r="H1876" s="115" t="s">
        <v>9323</v>
      </c>
      <c r="I1876" s="109" t="s">
        <v>10569</v>
      </c>
      <c r="J1876" s="239" t="s">
        <v>10570</v>
      </c>
      <c r="K1876" s="109" t="s">
        <v>9440</v>
      </c>
      <c r="L1876" s="109" t="s">
        <v>9496</v>
      </c>
    </row>
    <row r="1877" spans="1:12" s="58" customFormat="1" ht="14.85" customHeight="1" x14ac:dyDescent="0.25">
      <c r="A1877" s="108" t="s">
        <v>9308</v>
      </c>
      <c r="B1877" s="115" t="s">
        <v>8939</v>
      </c>
      <c r="C1877" s="115" t="s">
        <v>9338</v>
      </c>
      <c r="D1877" s="109" t="s">
        <v>10673</v>
      </c>
      <c r="E1877" s="106" t="s">
        <v>10674</v>
      </c>
      <c r="F1877" s="109" t="s">
        <v>9496</v>
      </c>
      <c r="G1877" s="115" t="s">
        <v>9324</v>
      </c>
      <c r="H1877" s="115" t="s">
        <v>9323</v>
      </c>
      <c r="I1877" s="109" t="s">
        <v>10571</v>
      </c>
      <c r="J1877" s="239" t="s">
        <v>10572</v>
      </c>
      <c r="K1877" s="109" t="s">
        <v>9440</v>
      </c>
      <c r="L1877" s="109" t="s">
        <v>9496</v>
      </c>
    </row>
    <row r="1878" spans="1:12" s="58" customFormat="1" ht="14.85" customHeight="1" x14ac:dyDescent="0.25">
      <c r="A1878" s="108" t="s">
        <v>9308</v>
      </c>
      <c r="B1878" s="115" t="s">
        <v>8939</v>
      </c>
      <c r="C1878" s="115" t="s">
        <v>9338</v>
      </c>
      <c r="D1878" s="109" t="s">
        <v>10673</v>
      </c>
      <c r="E1878" s="106" t="s">
        <v>10674</v>
      </c>
      <c r="F1878" s="109" t="s">
        <v>9496</v>
      </c>
      <c r="G1878" s="115" t="s">
        <v>9324</v>
      </c>
      <c r="H1878" s="115" t="s">
        <v>9323</v>
      </c>
      <c r="I1878" s="109" t="s">
        <v>10573</v>
      </c>
      <c r="J1878" s="239" t="s">
        <v>10574</v>
      </c>
      <c r="K1878" s="109" t="s">
        <v>9440</v>
      </c>
      <c r="L1878" s="109" t="s">
        <v>9496</v>
      </c>
    </row>
    <row r="1879" spans="1:12" s="58" customFormat="1" ht="14.85" customHeight="1" x14ac:dyDescent="0.25">
      <c r="A1879" s="108" t="s">
        <v>9308</v>
      </c>
      <c r="B1879" s="115" t="s">
        <v>8939</v>
      </c>
      <c r="C1879" s="115" t="s">
        <v>9338</v>
      </c>
      <c r="D1879" s="109" t="s">
        <v>10673</v>
      </c>
      <c r="E1879" s="106" t="s">
        <v>10674</v>
      </c>
      <c r="F1879" s="109" t="s">
        <v>9496</v>
      </c>
      <c r="G1879" s="115" t="s">
        <v>9324</v>
      </c>
      <c r="H1879" s="115" t="s">
        <v>9323</v>
      </c>
      <c r="I1879" s="109" t="s">
        <v>10575</v>
      </c>
      <c r="J1879" s="239" t="s">
        <v>10576</v>
      </c>
      <c r="K1879" s="109" t="s">
        <v>9440</v>
      </c>
      <c r="L1879" s="109" t="s">
        <v>9496</v>
      </c>
    </row>
    <row r="1880" spans="1:12" s="58" customFormat="1" ht="14.85" customHeight="1" x14ac:dyDescent="0.25">
      <c r="A1880" s="108" t="s">
        <v>9308</v>
      </c>
      <c r="B1880" s="115" t="s">
        <v>8939</v>
      </c>
      <c r="C1880" s="115" t="s">
        <v>9338</v>
      </c>
      <c r="D1880" s="109" t="s">
        <v>10673</v>
      </c>
      <c r="E1880" s="106" t="s">
        <v>10674</v>
      </c>
      <c r="F1880" s="109" t="s">
        <v>9496</v>
      </c>
      <c r="G1880" s="115" t="s">
        <v>9324</v>
      </c>
      <c r="H1880" s="115" t="s">
        <v>9323</v>
      </c>
      <c r="I1880" s="109" t="s">
        <v>10577</v>
      </c>
      <c r="J1880" s="239" t="s">
        <v>10578</v>
      </c>
      <c r="K1880" s="109" t="s">
        <v>9440</v>
      </c>
      <c r="L1880" s="109" t="s">
        <v>9496</v>
      </c>
    </row>
    <row r="1881" spans="1:12" s="58" customFormat="1" ht="14.85" customHeight="1" x14ac:dyDescent="0.25">
      <c r="A1881" s="108" t="s">
        <v>9308</v>
      </c>
      <c r="B1881" s="115" t="s">
        <v>8939</v>
      </c>
      <c r="C1881" s="115" t="s">
        <v>9338</v>
      </c>
      <c r="D1881" s="109" t="s">
        <v>10673</v>
      </c>
      <c r="E1881" s="106" t="s">
        <v>10674</v>
      </c>
      <c r="F1881" s="109" t="s">
        <v>9496</v>
      </c>
      <c r="G1881" s="115" t="s">
        <v>9324</v>
      </c>
      <c r="H1881" s="115" t="s">
        <v>9323</v>
      </c>
      <c r="I1881" s="109" t="s">
        <v>10579</v>
      </c>
      <c r="J1881" s="239" t="s">
        <v>10580</v>
      </c>
      <c r="K1881" s="109" t="s">
        <v>9440</v>
      </c>
      <c r="L1881" s="109" t="s">
        <v>9496</v>
      </c>
    </row>
    <row r="1882" spans="1:12" s="58" customFormat="1" ht="14.85" customHeight="1" x14ac:dyDescent="0.25">
      <c r="A1882" s="108" t="s">
        <v>9308</v>
      </c>
      <c r="B1882" s="115" t="s">
        <v>8939</v>
      </c>
      <c r="C1882" s="115" t="s">
        <v>9338</v>
      </c>
      <c r="D1882" s="109" t="s">
        <v>10673</v>
      </c>
      <c r="E1882" s="106" t="s">
        <v>10674</v>
      </c>
      <c r="F1882" s="109" t="s">
        <v>9496</v>
      </c>
      <c r="G1882" s="115" t="s">
        <v>9324</v>
      </c>
      <c r="H1882" s="115" t="s">
        <v>9323</v>
      </c>
      <c r="I1882" s="109" t="s">
        <v>10583</v>
      </c>
      <c r="J1882" s="239" t="s">
        <v>10584</v>
      </c>
      <c r="K1882" s="109" t="s">
        <v>9440</v>
      </c>
      <c r="L1882" s="109" t="s">
        <v>9496</v>
      </c>
    </row>
    <row r="1883" spans="1:12" s="58" customFormat="1" ht="14.85" customHeight="1" x14ac:dyDescent="0.25">
      <c r="A1883" s="108" t="s">
        <v>9308</v>
      </c>
      <c r="B1883" s="115" t="s">
        <v>8939</v>
      </c>
      <c r="C1883" s="115" t="s">
        <v>9338</v>
      </c>
      <c r="D1883" s="109" t="s">
        <v>10673</v>
      </c>
      <c r="E1883" s="106" t="s">
        <v>10674</v>
      </c>
      <c r="F1883" s="109" t="s">
        <v>9496</v>
      </c>
      <c r="G1883" s="115" t="s">
        <v>9324</v>
      </c>
      <c r="H1883" s="115" t="s">
        <v>9323</v>
      </c>
      <c r="I1883" s="109" t="s">
        <v>10585</v>
      </c>
      <c r="J1883" s="239" t="s">
        <v>10586</v>
      </c>
      <c r="K1883" s="109" t="s">
        <v>9440</v>
      </c>
      <c r="L1883" s="109" t="s">
        <v>9496</v>
      </c>
    </row>
    <row r="1884" spans="1:12" s="58" customFormat="1" ht="14.85" customHeight="1" x14ac:dyDescent="0.25">
      <c r="A1884" s="108" t="s">
        <v>9308</v>
      </c>
      <c r="B1884" s="115" t="s">
        <v>8939</v>
      </c>
      <c r="C1884" s="115" t="s">
        <v>9338</v>
      </c>
      <c r="D1884" s="109" t="s">
        <v>10673</v>
      </c>
      <c r="E1884" s="106" t="s">
        <v>10674</v>
      </c>
      <c r="F1884" s="109" t="s">
        <v>9496</v>
      </c>
      <c r="G1884" s="115" t="s">
        <v>9324</v>
      </c>
      <c r="H1884" s="115" t="s">
        <v>9323</v>
      </c>
      <c r="I1884" s="109" t="s">
        <v>10587</v>
      </c>
      <c r="J1884" s="239" t="s">
        <v>10588</v>
      </c>
      <c r="K1884" s="109" t="s">
        <v>9440</v>
      </c>
      <c r="L1884" s="109" t="s">
        <v>9496</v>
      </c>
    </row>
    <row r="1885" spans="1:12" s="58" customFormat="1" ht="14.85" customHeight="1" x14ac:dyDescent="0.25">
      <c r="A1885" s="108" t="s">
        <v>9308</v>
      </c>
      <c r="B1885" s="115" t="s">
        <v>8939</v>
      </c>
      <c r="C1885" s="115" t="s">
        <v>9338</v>
      </c>
      <c r="D1885" s="109" t="s">
        <v>10673</v>
      </c>
      <c r="E1885" s="106" t="s">
        <v>10674</v>
      </c>
      <c r="F1885" s="109" t="s">
        <v>9496</v>
      </c>
      <c r="G1885" s="115" t="s">
        <v>9324</v>
      </c>
      <c r="H1885" s="115" t="s">
        <v>9323</v>
      </c>
      <c r="I1885" s="109" t="s">
        <v>10591</v>
      </c>
      <c r="J1885" s="239" t="s">
        <v>10592</v>
      </c>
      <c r="K1885" s="109" t="s">
        <v>9440</v>
      </c>
      <c r="L1885" s="109" t="s">
        <v>9496</v>
      </c>
    </row>
    <row r="1886" spans="1:12" s="58" customFormat="1" ht="14.85" customHeight="1" x14ac:dyDescent="0.25">
      <c r="A1886" s="108" t="s">
        <v>9308</v>
      </c>
      <c r="B1886" s="115" t="s">
        <v>8939</v>
      </c>
      <c r="C1886" s="115" t="s">
        <v>9338</v>
      </c>
      <c r="D1886" s="109" t="s">
        <v>10675</v>
      </c>
      <c r="E1886" s="106" t="s">
        <v>10676</v>
      </c>
      <c r="F1886" s="109" t="s">
        <v>9496</v>
      </c>
      <c r="G1886" s="115" t="s">
        <v>9324</v>
      </c>
      <c r="H1886" s="115" t="s">
        <v>9323</v>
      </c>
      <c r="I1886" s="109" t="s">
        <v>10569</v>
      </c>
      <c r="J1886" s="239" t="s">
        <v>10570</v>
      </c>
      <c r="K1886" s="109" t="s">
        <v>9440</v>
      </c>
      <c r="L1886" s="109" t="s">
        <v>9496</v>
      </c>
    </row>
    <row r="1887" spans="1:12" s="58" customFormat="1" ht="14.85" customHeight="1" x14ac:dyDescent="0.25">
      <c r="A1887" s="108" t="s">
        <v>9308</v>
      </c>
      <c r="B1887" s="115" t="s">
        <v>8939</v>
      </c>
      <c r="C1887" s="115" t="s">
        <v>9338</v>
      </c>
      <c r="D1887" s="109" t="s">
        <v>10675</v>
      </c>
      <c r="E1887" s="106" t="s">
        <v>10676</v>
      </c>
      <c r="F1887" s="109" t="s">
        <v>9496</v>
      </c>
      <c r="G1887" s="115" t="s">
        <v>9324</v>
      </c>
      <c r="H1887" s="115" t="s">
        <v>9323</v>
      </c>
      <c r="I1887" s="109" t="s">
        <v>10599</v>
      </c>
      <c r="J1887" s="239" t="s">
        <v>10600</v>
      </c>
      <c r="K1887" s="109" t="s">
        <v>9440</v>
      </c>
      <c r="L1887" s="109" t="s">
        <v>9496</v>
      </c>
    </row>
    <row r="1888" spans="1:12" s="58" customFormat="1" ht="14.85" customHeight="1" x14ac:dyDescent="0.25">
      <c r="A1888" s="108" t="s">
        <v>9308</v>
      </c>
      <c r="B1888" s="115" t="s">
        <v>8939</v>
      </c>
      <c r="C1888" s="115" t="s">
        <v>9338</v>
      </c>
      <c r="D1888" s="109" t="s">
        <v>10675</v>
      </c>
      <c r="E1888" s="106" t="s">
        <v>10676</v>
      </c>
      <c r="F1888" s="109" t="s">
        <v>9496</v>
      </c>
      <c r="G1888" s="115" t="s">
        <v>9324</v>
      </c>
      <c r="H1888" s="115" t="s">
        <v>9323</v>
      </c>
      <c r="I1888" s="109" t="s">
        <v>10617</v>
      </c>
      <c r="J1888" s="239" t="s">
        <v>10618</v>
      </c>
      <c r="K1888" s="109" t="s">
        <v>9440</v>
      </c>
      <c r="L1888" s="109" t="s">
        <v>9496</v>
      </c>
    </row>
    <row r="1889" spans="1:12" s="58" customFormat="1" ht="14.85" customHeight="1" x14ac:dyDescent="0.25">
      <c r="A1889" s="108" t="s">
        <v>9308</v>
      </c>
      <c r="B1889" s="115" t="s">
        <v>8939</v>
      </c>
      <c r="C1889" s="115" t="s">
        <v>9338</v>
      </c>
      <c r="D1889" s="109" t="s">
        <v>10675</v>
      </c>
      <c r="E1889" s="106" t="s">
        <v>10676</v>
      </c>
      <c r="F1889" s="109" t="s">
        <v>9496</v>
      </c>
      <c r="G1889" s="115" t="s">
        <v>9324</v>
      </c>
      <c r="H1889" s="115" t="s">
        <v>9323</v>
      </c>
      <c r="I1889" s="109" t="s">
        <v>10591</v>
      </c>
      <c r="J1889" s="239" t="s">
        <v>10592</v>
      </c>
      <c r="K1889" s="109" t="s">
        <v>9440</v>
      </c>
      <c r="L1889" s="109" t="s">
        <v>9496</v>
      </c>
    </row>
    <row r="1890" spans="1:12" s="58" customFormat="1" ht="14.85" customHeight="1" x14ac:dyDescent="0.25">
      <c r="A1890" s="108" t="s">
        <v>9308</v>
      </c>
      <c r="B1890" s="115" t="s">
        <v>8939</v>
      </c>
      <c r="C1890" s="115" t="s">
        <v>9338</v>
      </c>
      <c r="D1890" s="109" t="s">
        <v>10677</v>
      </c>
      <c r="E1890" s="106" t="s">
        <v>10678</v>
      </c>
      <c r="F1890" s="109" t="s">
        <v>9496</v>
      </c>
      <c r="G1890" s="115" t="s">
        <v>9324</v>
      </c>
      <c r="H1890" s="115" t="s">
        <v>9324</v>
      </c>
      <c r="I1890" s="109" t="s">
        <v>10569</v>
      </c>
      <c r="J1890" s="239" t="s">
        <v>10570</v>
      </c>
      <c r="K1890" s="109" t="s">
        <v>9440</v>
      </c>
      <c r="L1890" s="109" t="s">
        <v>9496</v>
      </c>
    </row>
    <row r="1891" spans="1:12" s="58" customFormat="1" ht="14.85" customHeight="1" x14ac:dyDescent="0.25">
      <c r="A1891" s="108" t="s">
        <v>9308</v>
      </c>
      <c r="B1891" s="115" t="s">
        <v>8939</v>
      </c>
      <c r="C1891" s="115" t="s">
        <v>9338</v>
      </c>
      <c r="D1891" s="109" t="s">
        <v>10677</v>
      </c>
      <c r="E1891" s="106" t="s">
        <v>10678</v>
      </c>
      <c r="F1891" s="109" t="s">
        <v>9496</v>
      </c>
      <c r="G1891" s="115" t="s">
        <v>9324</v>
      </c>
      <c r="H1891" s="115" t="s">
        <v>9324</v>
      </c>
      <c r="I1891" s="109" t="s">
        <v>10575</v>
      </c>
      <c r="J1891" s="239" t="s">
        <v>10576</v>
      </c>
      <c r="K1891" s="109" t="s">
        <v>9440</v>
      </c>
      <c r="L1891" s="109" t="s">
        <v>9496</v>
      </c>
    </row>
    <row r="1892" spans="1:12" s="58" customFormat="1" ht="14.85" customHeight="1" x14ac:dyDescent="0.25">
      <c r="A1892" s="108" t="s">
        <v>9308</v>
      </c>
      <c r="B1892" s="115" t="s">
        <v>8939</v>
      </c>
      <c r="C1892" s="115" t="s">
        <v>9338</v>
      </c>
      <c r="D1892" s="109" t="s">
        <v>10677</v>
      </c>
      <c r="E1892" s="106" t="s">
        <v>10678</v>
      </c>
      <c r="F1892" s="109" t="s">
        <v>9496</v>
      </c>
      <c r="G1892" s="115" t="s">
        <v>9324</v>
      </c>
      <c r="H1892" s="115" t="s">
        <v>9324</v>
      </c>
      <c r="I1892" s="109" t="s">
        <v>10591</v>
      </c>
      <c r="J1892" s="239" t="s">
        <v>10592</v>
      </c>
      <c r="K1892" s="109" t="s">
        <v>9440</v>
      </c>
      <c r="L1892" s="109" t="s">
        <v>9496</v>
      </c>
    </row>
    <row r="1893" spans="1:12" s="58" customFormat="1" ht="14.85" customHeight="1" x14ac:dyDescent="0.25">
      <c r="A1893" s="108" t="s">
        <v>9308</v>
      </c>
      <c r="B1893" s="115" t="s">
        <v>8939</v>
      </c>
      <c r="C1893" s="115" t="s">
        <v>9338</v>
      </c>
      <c r="D1893" s="109" t="s">
        <v>10679</v>
      </c>
      <c r="E1893" s="106" t="s">
        <v>10680</v>
      </c>
      <c r="F1893" s="109" t="s">
        <v>9496</v>
      </c>
      <c r="G1893" s="115" t="s">
        <v>9324</v>
      </c>
      <c r="H1893" s="115" t="s">
        <v>9323</v>
      </c>
      <c r="I1893" s="109" t="s">
        <v>10569</v>
      </c>
      <c r="J1893" s="239" t="s">
        <v>10570</v>
      </c>
      <c r="K1893" s="109" t="s">
        <v>9440</v>
      </c>
      <c r="L1893" s="109" t="s">
        <v>9496</v>
      </c>
    </row>
    <row r="1894" spans="1:12" s="58" customFormat="1" ht="14.85" customHeight="1" x14ac:dyDescent="0.25">
      <c r="A1894" s="108" t="s">
        <v>9308</v>
      </c>
      <c r="B1894" s="115" t="s">
        <v>8939</v>
      </c>
      <c r="C1894" s="115" t="s">
        <v>9338</v>
      </c>
      <c r="D1894" s="109" t="s">
        <v>10679</v>
      </c>
      <c r="E1894" s="106" t="s">
        <v>10680</v>
      </c>
      <c r="F1894" s="109" t="s">
        <v>9496</v>
      </c>
      <c r="G1894" s="115" t="s">
        <v>9324</v>
      </c>
      <c r="H1894" s="115" t="s">
        <v>9323</v>
      </c>
      <c r="I1894" s="109" t="s">
        <v>10571</v>
      </c>
      <c r="J1894" s="239" t="s">
        <v>10572</v>
      </c>
      <c r="K1894" s="109" t="s">
        <v>9440</v>
      </c>
      <c r="L1894" s="109" t="s">
        <v>9496</v>
      </c>
    </row>
    <row r="1895" spans="1:12" s="58" customFormat="1" ht="14.85" customHeight="1" x14ac:dyDescent="0.25">
      <c r="A1895" s="108" t="s">
        <v>9308</v>
      </c>
      <c r="B1895" s="115" t="s">
        <v>8939</v>
      </c>
      <c r="C1895" s="115" t="s">
        <v>9338</v>
      </c>
      <c r="D1895" s="109" t="s">
        <v>10679</v>
      </c>
      <c r="E1895" s="106" t="s">
        <v>10680</v>
      </c>
      <c r="F1895" s="109" t="s">
        <v>9496</v>
      </c>
      <c r="G1895" s="115" t="s">
        <v>9324</v>
      </c>
      <c r="H1895" s="115" t="s">
        <v>9323</v>
      </c>
      <c r="I1895" s="109" t="s">
        <v>10573</v>
      </c>
      <c r="J1895" s="239" t="s">
        <v>10574</v>
      </c>
      <c r="K1895" s="109" t="s">
        <v>9440</v>
      </c>
      <c r="L1895" s="109" t="s">
        <v>9496</v>
      </c>
    </row>
    <row r="1896" spans="1:12" s="58" customFormat="1" ht="14.85" customHeight="1" x14ac:dyDescent="0.25">
      <c r="A1896" s="108" t="s">
        <v>9308</v>
      </c>
      <c r="B1896" s="115" t="s">
        <v>8939</v>
      </c>
      <c r="C1896" s="115" t="s">
        <v>9338</v>
      </c>
      <c r="D1896" s="109" t="s">
        <v>10679</v>
      </c>
      <c r="E1896" s="106" t="s">
        <v>10680</v>
      </c>
      <c r="F1896" s="109" t="s">
        <v>9496</v>
      </c>
      <c r="G1896" s="115" t="s">
        <v>9324</v>
      </c>
      <c r="H1896" s="115" t="s">
        <v>9323</v>
      </c>
      <c r="I1896" s="109" t="s">
        <v>10579</v>
      </c>
      <c r="J1896" s="239" t="s">
        <v>10580</v>
      </c>
      <c r="K1896" s="109" t="s">
        <v>9440</v>
      </c>
      <c r="L1896" s="109" t="s">
        <v>9496</v>
      </c>
    </row>
    <row r="1897" spans="1:12" s="58" customFormat="1" ht="14.85" customHeight="1" x14ac:dyDescent="0.25">
      <c r="A1897" s="108" t="s">
        <v>9308</v>
      </c>
      <c r="B1897" s="115" t="s">
        <v>8939</v>
      </c>
      <c r="C1897" s="115" t="s">
        <v>9338</v>
      </c>
      <c r="D1897" s="109" t="s">
        <v>10679</v>
      </c>
      <c r="E1897" s="106" t="s">
        <v>10680</v>
      </c>
      <c r="F1897" s="109" t="s">
        <v>9496</v>
      </c>
      <c r="G1897" s="115" t="s">
        <v>9324</v>
      </c>
      <c r="H1897" s="115" t="s">
        <v>9323</v>
      </c>
      <c r="I1897" s="109" t="s">
        <v>10591</v>
      </c>
      <c r="J1897" s="239" t="s">
        <v>10592</v>
      </c>
      <c r="K1897" s="109" t="s">
        <v>9440</v>
      </c>
      <c r="L1897" s="109" t="s">
        <v>9496</v>
      </c>
    </row>
    <row r="1898" spans="1:12" s="58" customFormat="1" ht="14.85" customHeight="1" x14ac:dyDescent="0.25">
      <c r="A1898" s="108" t="s">
        <v>9308</v>
      </c>
      <c r="B1898" s="115" t="s">
        <v>8939</v>
      </c>
      <c r="C1898" s="115" t="s">
        <v>9338</v>
      </c>
      <c r="D1898" s="109" t="s">
        <v>10681</v>
      </c>
      <c r="E1898" s="106" t="s">
        <v>10682</v>
      </c>
      <c r="F1898" s="109" t="s">
        <v>9496</v>
      </c>
      <c r="G1898" s="115" t="s">
        <v>9324</v>
      </c>
      <c r="H1898" s="115" t="s">
        <v>9323</v>
      </c>
      <c r="I1898" s="109" t="s">
        <v>10090</v>
      </c>
      <c r="J1898" s="239" t="s">
        <v>10091</v>
      </c>
      <c r="K1898" s="109" t="s">
        <v>9440</v>
      </c>
      <c r="L1898" s="109" t="s">
        <v>9496</v>
      </c>
    </row>
    <row r="1899" spans="1:12" s="58" customFormat="1" ht="14.85" customHeight="1" x14ac:dyDescent="0.25">
      <c r="A1899" s="108" t="s">
        <v>9308</v>
      </c>
      <c r="B1899" s="115" t="s">
        <v>8939</v>
      </c>
      <c r="C1899" s="115" t="s">
        <v>9338</v>
      </c>
      <c r="D1899" s="109" t="s">
        <v>10681</v>
      </c>
      <c r="E1899" s="106" t="s">
        <v>10682</v>
      </c>
      <c r="F1899" s="109" t="s">
        <v>9496</v>
      </c>
      <c r="G1899" s="115" t="s">
        <v>9324</v>
      </c>
      <c r="H1899" s="115" t="s">
        <v>9323</v>
      </c>
      <c r="I1899" s="109" t="s">
        <v>10569</v>
      </c>
      <c r="J1899" s="239" t="s">
        <v>10570</v>
      </c>
      <c r="K1899" s="109" t="s">
        <v>9440</v>
      </c>
      <c r="L1899" s="109" t="s">
        <v>9496</v>
      </c>
    </row>
    <row r="1900" spans="1:12" s="58" customFormat="1" ht="14.85" customHeight="1" x14ac:dyDescent="0.25">
      <c r="A1900" s="108" t="s">
        <v>9308</v>
      </c>
      <c r="B1900" s="115" t="s">
        <v>8939</v>
      </c>
      <c r="C1900" s="115" t="s">
        <v>9338</v>
      </c>
      <c r="D1900" s="109" t="s">
        <v>10681</v>
      </c>
      <c r="E1900" s="106" t="s">
        <v>10682</v>
      </c>
      <c r="F1900" s="109" t="s">
        <v>9496</v>
      </c>
      <c r="G1900" s="115" t="s">
        <v>9324</v>
      </c>
      <c r="H1900" s="115" t="s">
        <v>9323</v>
      </c>
      <c r="I1900" s="109" t="s">
        <v>10571</v>
      </c>
      <c r="J1900" s="239" t="s">
        <v>10572</v>
      </c>
      <c r="K1900" s="109" t="s">
        <v>9440</v>
      </c>
      <c r="L1900" s="109" t="s">
        <v>9496</v>
      </c>
    </row>
    <row r="1901" spans="1:12" s="58" customFormat="1" ht="14.85" customHeight="1" x14ac:dyDescent="0.25">
      <c r="A1901" s="108" t="s">
        <v>9308</v>
      </c>
      <c r="B1901" s="115" t="s">
        <v>8939</v>
      </c>
      <c r="C1901" s="115" t="s">
        <v>9338</v>
      </c>
      <c r="D1901" s="109" t="s">
        <v>10681</v>
      </c>
      <c r="E1901" s="106" t="s">
        <v>10682</v>
      </c>
      <c r="F1901" s="109" t="s">
        <v>9496</v>
      </c>
      <c r="G1901" s="115" t="s">
        <v>9324</v>
      </c>
      <c r="H1901" s="115" t="s">
        <v>9323</v>
      </c>
      <c r="I1901" s="109" t="s">
        <v>10573</v>
      </c>
      <c r="J1901" s="239" t="s">
        <v>10574</v>
      </c>
      <c r="K1901" s="109" t="s">
        <v>9440</v>
      </c>
      <c r="L1901" s="109" t="s">
        <v>9496</v>
      </c>
    </row>
    <row r="1902" spans="1:12" s="58" customFormat="1" ht="14.85" customHeight="1" x14ac:dyDescent="0.25">
      <c r="A1902" s="108" t="s">
        <v>9308</v>
      </c>
      <c r="B1902" s="115" t="s">
        <v>8939</v>
      </c>
      <c r="C1902" s="115" t="s">
        <v>9338</v>
      </c>
      <c r="D1902" s="109" t="s">
        <v>10681</v>
      </c>
      <c r="E1902" s="106" t="s">
        <v>10682</v>
      </c>
      <c r="F1902" s="109" t="s">
        <v>9496</v>
      </c>
      <c r="G1902" s="115" t="s">
        <v>9324</v>
      </c>
      <c r="H1902" s="115" t="s">
        <v>9323</v>
      </c>
      <c r="I1902" s="109" t="s">
        <v>10599</v>
      </c>
      <c r="J1902" s="239" t="s">
        <v>10600</v>
      </c>
      <c r="K1902" s="109" t="s">
        <v>9440</v>
      </c>
      <c r="L1902" s="109" t="s">
        <v>9496</v>
      </c>
    </row>
    <row r="1903" spans="1:12" s="58" customFormat="1" ht="14.85" customHeight="1" x14ac:dyDescent="0.25">
      <c r="A1903" s="108" t="s">
        <v>9308</v>
      </c>
      <c r="B1903" s="115" t="s">
        <v>8939</v>
      </c>
      <c r="C1903" s="115" t="s">
        <v>9338</v>
      </c>
      <c r="D1903" s="109" t="s">
        <v>10681</v>
      </c>
      <c r="E1903" s="106" t="s">
        <v>10682</v>
      </c>
      <c r="F1903" s="109" t="s">
        <v>9496</v>
      </c>
      <c r="G1903" s="115" t="s">
        <v>9324</v>
      </c>
      <c r="H1903" s="115" t="s">
        <v>9323</v>
      </c>
      <c r="I1903" s="109" t="s">
        <v>10579</v>
      </c>
      <c r="J1903" s="239" t="s">
        <v>10580</v>
      </c>
      <c r="K1903" s="109" t="s">
        <v>9440</v>
      </c>
      <c r="L1903" s="109" t="s">
        <v>9496</v>
      </c>
    </row>
    <row r="1904" spans="1:12" s="58" customFormat="1" ht="14.85" customHeight="1" x14ac:dyDescent="0.25">
      <c r="A1904" s="108" t="s">
        <v>9308</v>
      </c>
      <c r="B1904" s="115" t="s">
        <v>8939</v>
      </c>
      <c r="C1904" s="115" t="s">
        <v>9338</v>
      </c>
      <c r="D1904" s="109" t="s">
        <v>10681</v>
      </c>
      <c r="E1904" s="106" t="s">
        <v>10682</v>
      </c>
      <c r="F1904" s="109" t="s">
        <v>9496</v>
      </c>
      <c r="G1904" s="115" t="s">
        <v>9324</v>
      </c>
      <c r="H1904" s="115" t="s">
        <v>9323</v>
      </c>
      <c r="I1904" s="109" t="s">
        <v>10092</v>
      </c>
      <c r="J1904" s="239" t="s">
        <v>10093</v>
      </c>
      <c r="K1904" s="109" t="s">
        <v>9440</v>
      </c>
      <c r="L1904" s="109" t="s">
        <v>9496</v>
      </c>
    </row>
    <row r="1905" spans="1:12" s="58" customFormat="1" ht="14.85" customHeight="1" x14ac:dyDescent="0.25">
      <c r="A1905" s="108" t="s">
        <v>9308</v>
      </c>
      <c r="B1905" s="115" t="s">
        <v>8939</v>
      </c>
      <c r="C1905" s="115" t="s">
        <v>9338</v>
      </c>
      <c r="D1905" s="109" t="s">
        <v>10681</v>
      </c>
      <c r="E1905" s="106" t="s">
        <v>10682</v>
      </c>
      <c r="F1905" s="109" t="s">
        <v>9496</v>
      </c>
      <c r="G1905" s="115" t="s">
        <v>9324</v>
      </c>
      <c r="H1905" s="115" t="s">
        <v>9323</v>
      </c>
      <c r="I1905" s="109">
        <v>9921</v>
      </c>
      <c r="J1905" s="239" t="s">
        <v>10592</v>
      </c>
      <c r="K1905" s="109" t="s">
        <v>9440</v>
      </c>
      <c r="L1905" s="109" t="s">
        <v>9496</v>
      </c>
    </row>
    <row r="1906" spans="1:12" s="58" customFormat="1" ht="14.85" customHeight="1" x14ac:dyDescent="0.25">
      <c r="A1906" s="108" t="s">
        <v>9308</v>
      </c>
      <c r="B1906" s="115" t="s">
        <v>8939</v>
      </c>
      <c r="C1906" s="115" t="s">
        <v>9338</v>
      </c>
      <c r="D1906" s="109" t="s">
        <v>10683</v>
      </c>
      <c r="E1906" s="106" t="s">
        <v>10684</v>
      </c>
      <c r="F1906" s="109" t="s">
        <v>9496</v>
      </c>
      <c r="G1906" s="115" t="s">
        <v>9324</v>
      </c>
      <c r="H1906" s="115" t="s">
        <v>9323</v>
      </c>
      <c r="I1906" s="109" t="s">
        <v>10090</v>
      </c>
      <c r="J1906" s="239" t="s">
        <v>10091</v>
      </c>
      <c r="K1906" s="109" t="s">
        <v>9440</v>
      </c>
      <c r="L1906" s="109" t="s">
        <v>9496</v>
      </c>
    </row>
    <row r="1907" spans="1:12" s="58" customFormat="1" ht="14.85" customHeight="1" x14ac:dyDescent="0.25">
      <c r="A1907" s="108" t="s">
        <v>9308</v>
      </c>
      <c r="B1907" s="115" t="s">
        <v>8939</v>
      </c>
      <c r="C1907" s="115" t="s">
        <v>9338</v>
      </c>
      <c r="D1907" s="109" t="s">
        <v>10683</v>
      </c>
      <c r="E1907" s="106" t="s">
        <v>10684</v>
      </c>
      <c r="F1907" s="109" t="s">
        <v>9496</v>
      </c>
      <c r="G1907" s="115" t="s">
        <v>9324</v>
      </c>
      <c r="H1907" s="115" t="s">
        <v>9323</v>
      </c>
      <c r="I1907" s="109" t="s">
        <v>10569</v>
      </c>
      <c r="J1907" s="239" t="s">
        <v>10570</v>
      </c>
      <c r="K1907" s="109" t="s">
        <v>9440</v>
      </c>
      <c r="L1907" s="109" t="s">
        <v>9496</v>
      </c>
    </row>
    <row r="1908" spans="1:12" s="58" customFormat="1" ht="14.85" customHeight="1" x14ac:dyDescent="0.25">
      <c r="A1908" s="108" t="s">
        <v>9308</v>
      </c>
      <c r="B1908" s="115" t="s">
        <v>8939</v>
      </c>
      <c r="C1908" s="115" t="s">
        <v>9338</v>
      </c>
      <c r="D1908" s="109" t="s">
        <v>10683</v>
      </c>
      <c r="E1908" s="106" t="s">
        <v>10684</v>
      </c>
      <c r="F1908" s="109" t="s">
        <v>9496</v>
      </c>
      <c r="G1908" s="115" t="s">
        <v>9324</v>
      </c>
      <c r="H1908" s="115" t="s">
        <v>9323</v>
      </c>
      <c r="I1908" s="109" t="s">
        <v>10575</v>
      </c>
      <c r="J1908" s="239" t="s">
        <v>10576</v>
      </c>
      <c r="K1908" s="109" t="s">
        <v>9440</v>
      </c>
      <c r="L1908" s="109" t="s">
        <v>9496</v>
      </c>
    </row>
    <row r="1909" spans="1:12" s="58" customFormat="1" ht="14.85" customHeight="1" x14ac:dyDescent="0.25">
      <c r="A1909" s="108" t="s">
        <v>9308</v>
      </c>
      <c r="B1909" s="115" t="s">
        <v>8939</v>
      </c>
      <c r="C1909" s="115" t="s">
        <v>9338</v>
      </c>
      <c r="D1909" s="109" t="s">
        <v>10683</v>
      </c>
      <c r="E1909" s="106" t="s">
        <v>10684</v>
      </c>
      <c r="F1909" s="109" t="s">
        <v>9496</v>
      </c>
      <c r="G1909" s="115" t="s">
        <v>9324</v>
      </c>
      <c r="H1909" s="115" t="s">
        <v>9323</v>
      </c>
      <c r="I1909" s="109" t="s">
        <v>10092</v>
      </c>
      <c r="J1909" s="239" t="s">
        <v>10093</v>
      </c>
      <c r="K1909" s="109" t="s">
        <v>9440</v>
      </c>
      <c r="L1909" s="109" t="s">
        <v>9496</v>
      </c>
    </row>
    <row r="1910" spans="1:12" s="58" customFormat="1" ht="14.85" customHeight="1" x14ac:dyDescent="0.25">
      <c r="A1910" s="108" t="s">
        <v>9308</v>
      </c>
      <c r="B1910" s="115" t="s">
        <v>8939</v>
      </c>
      <c r="C1910" s="115" t="s">
        <v>9338</v>
      </c>
      <c r="D1910" s="109" t="s">
        <v>10683</v>
      </c>
      <c r="E1910" s="106" t="s">
        <v>10684</v>
      </c>
      <c r="F1910" s="109" t="s">
        <v>9496</v>
      </c>
      <c r="G1910" s="115" t="s">
        <v>9324</v>
      </c>
      <c r="H1910" s="115" t="s">
        <v>9323</v>
      </c>
      <c r="I1910" s="109" t="s">
        <v>10591</v>
      </c>
      <c r="J1910" s="239" t="s">
        <v>10592</v>
      </c>
      <c r="K1910" s="109" t="s">
        <v>9440</v>
      </c>
      <c r="L1910" s="109" t="s">
        <v>9496</v>
      </c>
    </row>
    <row r="1911" spans="1:12" s="58" customFormat="1" ht="14.85" customHeight="1" x14ac:dyDescent="0.25">
      <c r="A1911" s="108" t="s">
        <v>9308</v>
      </c>
      <c r="B1911" s="115" t="s">
        <v>8939</v>
      </c>
      <c r="C1911" s="115" t="s">
        <v>9338</v>
      </c>
      <c r="D1911" s="109" t="s">
        <v>10685</v>
      </c>
      <c r="E1911" s="106" t="s">
        <v>10686</v>
      </c>
      <c r="F1911" s="109" t="s">
        <v>9496</v>
      </c>
      <c r="G1911" s="115" t="s">
        <v>9324</v>
      </c>
      <c r="H1911" s="115" t="s">
        <v>9323</v>
      </c>
      <c r="I1911" s="109" t="s">
        <v>10603</v>
      </c>
      <c r="J1911" s="239" t="s">
        <v>10604</v>
      </c>
      <c r="K1911" s="109" t="s">
        <v>9440</v>
      </c>
      <c r="L1911" s="109" t="s">
        <v>9496</v>
      </c>
    </row>
    <row r="1912" spans="1:12" s="58" customFormat="1" ht="14.85" customHeight="1" x14ac:dyDescent="0.25">
      <c r="A1912" s="108" t="s">
        <v>9308</v>
      </c>
      <c r="B1912" s="115" t="s">
        <v>8939</v>
      </c>
      <c r="C1912" s="115" t="s">
        <v>9338</v>
      </c>
      <c r="D1912" s="109" t="s">
        <v>10685</v>
      </c>
      <c r="E1912" s="106" t="s">
        <v>10686</v>
      </c>
      <c r="F1912" s="109" t="s">
        <v>9496</v>
      </c>
      <c r="G1912" s="115" t="s">
        <v>9324</v>
      </c>
      <c r="H1912" s="115" t="s">
        <v>9323</v>
      </c>
      <c r="I1912" s="109" t="s">
        <v>10591</v>
      </c>
      <c r="J1912" s="239" t="s">
        <v>10592</v>
      </c>
      <c r="K1912" s="109" t="s">
        <v>9440</v>
      </c>
      <c r="L1912" s="109" t="s">
        <v>9496</v>
      </c>
    </row>
    <row r="1913" spans="1:12" s="58" customFormat="1" ht="14.85" customHeight="1" x14ac:dyDescent="0.25">
      <c r="A1913" s="108" t="s">
        <v>9308</v>
      </c>
      <c r="B1913" s="115" t="s">
        <v>8939</v>
      </c>
      <c r="C1913" s="115" t="s">
        <v>9338</v>
      </c>
      <c r="D1913" s="109" t="s">
        <v>10687</v>
      </c>
      <c r="E1913" s="106" t="s">
        <v>10688</v>
      </c>
      <c r="F1913" s="109" t="s">
        <v>9496</v>
      </c>
      <c r="G1913" s="115" t="s">
        <v>9324</v>
      </c>
      <c r="H1913" s="115" t="s">
        <v>9323</v>
      </c>
      <c r="I1913" s="109" t="s">
        <v>10603</v>
      </c>
      <c r="J1913" s="239" t="s">
        <v>10604</v>
      </c>
      <c r="K1913" s="109" t="s">
        <v>9440</v>
      </c>
      <c r="L1913" s="109" t="s">
        <v>9496</v>
      </c>
    </row>
    <row r="1914" spans="1:12" s="58" customFormat="1" ht="14.85" customHeight="1" x14ac:dyDescent="0.25">
      <c r="A1914" s="108" t="s">
        <v>9308</v>
      </c>
      <c r="B1914" s="115" t="s">
        <v>8939</v>
      </c>
      <c r="C1914" s="115" t="s">
        <v>9338</v>
      </c>
      <c r="D1914" s="109" t="s">
        <v>10687</v>
      </c>
      <c r="E1914" s="106" t="s">
        <v>10688</v>
      </c>
      <c r="F1914" s="109" t="s">
        <v>9496</v>
      </c>
      <c r="G1914" s="115" t="s">
        <v>9324</v>
      </c>
      <c r="H1914" s="115" t="s">
        <v>9323</v>
      </c>
      <c r="I1914" s="109" t="s">
        <v>10591</v>
      </c>
      <c r="J1914" s="239" t="s">
        <v>10592</v>
      </c>
      <c r="K1914" s="109" t="s">
        <v>9440</v>
      </c>
      <c r="L1914" s="109" t="s">
        <v>9496</v>
      </c>
    </row>
    <row r="1915" spans="1:12" s="58" customFormat="1" ht="14.85" customHeight="1" x14ac:dyDescent="0.25">
      <c r="A1915" s="108" t="s">
        <v>9308</v>
      </c>
      <c r="B1915" s="115" t="s">
        <v>8939</v>
      </c>
      <c r="C1915" s="115" t="s">
        <v>9338</v>
      </c>
      <c r="D1915" s="109" t="s">
        <v>10689</v>
      </c>
      <c r="E1915" s="106" t="s">
        <v>10690</v>
      </c>
      <c r="F1915" s="109" t="s">
        <v>9496</v>
      </c>
      <c r="G1915" s="115" t="s">
        <v>9324</v>
      </c>
      <c r="H1915" s="115" t="s">
        <v>9324</v>
      </c>
      <c r="I1915" s="109" t="s">
        <v>10603</v>
      </c>
      <c r="J1915" s="239" t="s">
        <v>10604</v>
      </c>
      <c r="K1915" s="109" t="s">
        <v>9440</v>
      </c>
      <c r="L1915" s="109" t="s">
        <v>9496</v>
      </c>
    </row>
    <row r="1916" spans="1:12" s="58" customFormat="1" ht="14.85" customHeight="1" x14ac:dyDescent="0.25">
      <c r="A1916" s="108" t="s">
        <v>9308</v>
      </c>
      <c r="B1916" s="115" t="s">
        <v>8939</v>
      </c>
      <c r="C1916" s="115" t="s">
        <v>9338</v>
      </c>
      <c r="D1916" s="109" t="s">
        <v>10689</v>
      </c>
      <c r="E1916" s="106" t="s">
        <v>10690</v>
      </c>
      <c r="F1916" s="109" t="s">
        <v>9496</v>
      </c>
      <c r="G1916" s="115" t="s">
        <v>9324</v>
      </c>
      <c r="H1916" s="115" t="s">
        <v>9324</v>
      </c>
      <c r="I1916" s="109" t="s">
        <v>10591</v>
      </c>
      <c r="J1916" s="239" t="s">
        <v>10592</v>
      </c>
      <c r="K1916" s="109" t="s">
        <v>9440</v>
      </c>
      <c r="L1916" s="109" t="s">
        <v>9496</v>
      </c>
    </row>
    <row r="1917" spans="1:12" s="58" customFormat="1" ht="14.85" customHeight="1" x14ac:dyDescent="0.25">
      <c r="A1917" s="108" t="s">
        <v>9308</v>
      </c>
      <c r="B1917" s="115" t="s">
        <v>8939</v>
      </c>
      <c r="C1917" s="115" t="s">
        <v>9338</v>
      </c>
      <c r="D1917" s="109" t="s">
        <v>10691</v>
      </c>
      <c r="E1917" s="106" t="s">
        <v>10692</v>
      </c>
      <c r="F1917" s="109" t="s">
        <v>9496</v>
      </c>
      <c r="G1917" s="115" t="s">
        <v>9324</v>
      </c>
      <c r="H1917" s="115" t="s">
        <v>9323</v>
      </c>
      <c r="I1917" s="109" t="s">
        <v>10567</v>
      </c>
      <c r="J1917" s="239" t="s">
        <v>10568</v>
      </c>
      <c r="K1917" s="109" t="s">
        <v>9440</v>
      </c>
      <c r="L1917" s="109" t="s">
        <v>9496</v>
      </c>
    </row>
    <row r="1918" spans="1:12" s="58" customFormat="1" ht="14.85" customHeight="1" x14ac:dyDescent="0.25">
      <c r="A1918" s="108" t="s">
        <v>9308</v>
      </c>
      <c r="B1918" s="115" t="s">
        <v>8939</v>
      </c>
      <c r="C1918" s="115" t="s">
        <v>9338</v>
      </c>
      <c r="D1918" s="109" t="s">
        <v>10691</v>
      </c>
      <c r="E1918" s="106" t="s">
        <v>10692</v>
      </c>
      <c r="F1918" s="109" t="s">
        <v>9496</v>
      </c>
      <c r="G1918" s="115" t="s">
        <v>9324</v>
      </c>
      <c r="H1918" s="115" t="s">
        <v>9323</v>
      </c>
      <c r="I1918" s="109" t="s">
        <v>10571</v>
      </c>
      <c r="J1918" s="239" t="s">
        <v>10572</v>
      </c>
      <c r="K1918" s="109" t="s">
        <v>9440</v>
      </c>
      <c r="L1918" s="109" t="s">
        <v>9496</v>
      </c>
    </row>
    <row r="1919" spans="1:12" s="58" customFormat="1" ht="14.85" customHeight="1" x14ac:dyDescent="0.25">
      <c r="A1919" s="108" t="s">
        <v>9308</v>
      </c>
      <c r="B1919" s="115" t="s">
        <v>8939</v>
      </c>
      <c r="C1919" s="115" t="s">
        <v>9338</v>
      </c>
      <c r="D1919" s="109" t="s">
        <v>10691</v>
      </c>
      <c r="E1919" s="106" t="s">
        <v>10692</v>
      </c>
      <c r="F1919" s="109" t="s">
        <v>9496</v>
      </c>
      <c r="G1919" s="115" t="s">
        <v>9324</v>
      </c>
      <c r="H1919" s="115" t="s">
        <v>9323</v>
      </c>
      <c r="I1919" s="109" t="s">
        <v>10597</v>
      </c>
      <c r="J1919" s="239" t="s">
        <v>10598</v>
      </c>
      <c r="K1919" s="109" t="s">
        <v>9440</v>
      </c>
      <c r="L1919" s="109" t="s">
        <v>9496</v>
      </c>
    </row>
    <row r="1920" spans="1:12" s="58" customFormat="1" ht="14.85" customHeight="1" x14ac:dyDescent="0.25">
      <c r="A1920" s="108" t="s">
        <v>9308</v>
      </c>
      <c r="B1920" s="115" t="s">
        <v>8939</v>
      </c>
      <c r="C1920" s="115" t="s">
        <v>9338</v>
      </c>
      <c r="D1920" s="109" t="s">
        <v>10691</v>
      </c>
      <c r="E1920" s="106" t="s">
        <v>10692</v>
      </c>
      <c r="F1920" s="109" t="s">
        <v>9496</v>
      </c>
      <c r="G1920" s="115" t="s">
        <v>9324</v>
      </c>
      <c r="H1920" s="115" t="s">
        <v>9323</v>
      </c>
      <c r="I1920" s="109" t="s">
        <v>10583</v>
      </c>
      <c r="J1920" s="239" t="s">
        <v>10584</v>
      </c>
      <c r="K1920" s="109" t="s">
        <v>9440</v>
      </c>
      <c r="L1920" s="109" t="s">
        <v>9496</v>
      </c>
    </row>
    <row r="1921" spans="1:12" s="58" customFormat="1" ht="14.85" customHeight="1" x14ac:dyDescent="0.25">
      <c r="A1921" s="108" t="s">
        <v>9308</v>
      </c>
      <c r="B1921" s="115" t="s">
        <v>8939</v>
      </c>
      <c r="C1921" s="115" t="s">
        <v>9338</v>
      </c>
      <c r="D1921" s="109" t="s">
        <v>10691</v>
      </c>
      <c r="E1921" s="106" t="s">
        <v>10692</v>
      </c>
      <c r="F1921" s="109" t="s">
        <v>9496</v>
      </c>
      <c r="G1921" s="115" t="s">
        <v>9324</v>
      </c>
      <c r="H1921" s="115" t="s">
        <v>9323</v>
      </c>
      <c r="I1921" s="109" t="s">
        <v>10585</v>
      </c>
      <c r="J1921" s="239" t="s">
        <v>10586</v>
      </c>
      <c r="K1921" s="109" t="s">
        <v>9440</v>
      </c>
      <c r="L1921" s="109" t="s">
        <v>9496</v>
      </c>
    </row>
    <row r="1922" spans="1:12" s="58" customFormat="1" ht="14.85" customHeight="1" x14ac:dyDescent="0.25">
      <c r="A1922" s="108" t="s">
        <v>9308</v>
      </c>
      <c r="B1922" s="115" t="s">
        <v>8939</v>
      </c>
      <c r="C1922" s="115" t="s">
        <v>9338</v>
      </c>
      <c r="D1922" s="109" t="s">
        <v>10691</v>
      </c>
      <c r="E1922" s="106" t="s">
        <v>10692</v>
      </c>
      <c r="F1922" s="109" t="s">
        <v>9496</v>
      </c>
      <c r="G1922" s="115" t="s">
        <v>9324</v>
      </c>
      <c r="H1922" s="115" t="s">
        <v>9323</v>
      </c>
      <c r="I1922" s="109" t="s">
        <v>10587</v>
      </c>
      <c r="J1922" s="239" t="s">
        <v>10588</v>
      </c>
      <c r="K1922" s="109" t="s">
        <v>9440</v>
      </c>
      <c r="L1922" s="109" t="s">
        <v>9496</v>
      </c>
    </row>
    <row r="1923" spans="1:12" s="58" customFormat="1" ht="14.85" customHeight="1" x14ac:dyDescent="0.25">
      <c r="A1923" s="108" t="s">
        <v>9308</v>
      </c>
      <c r="B1923" s="115" t="s">
        <v>8939</v>
      </c>
      <c r="C1923" s="115" t="s">
        <v>9338</v>
      </c>
      <c r="D1923" s="109" t="s">
        <v>10691</v>
      </c>
      <c r="E1923" s="106" t="s">
        <v>10692</v>
      </c>
      <c r="F1923" s="109" t="s">
        <v>9496</v>
      </c>
      <c r="G1923" s="115" t="s">
        <v>9324</v>
      </c>
      <c r="H1923" s="115" t="s">
        <v>9323</v>
      </c>
      <c r="I1923" s="109" t="s">
        <v>10591</v>
      </c>
      <c r="J1923" s="239" t="s">
        <v>10592</v>
      </c>
      <c r="K1923" s="109" t="s">
        <v>9440</v>
      </c>
      <c r="L1923" s="109" t="s">
        <v>9496</v>
      </c>
    </row>
    <row r="1924" spans="1:12" s="58" customFormat="1" ht="14.85" customHeight="1" x14ac:dyDescent="0.25">
      <c r="A1924" s="108" t="s">
        <v>9308</v>
      </c>
      <c r="B1924" s="115" t="s">
        <v>8939</v>
      </c>
      <c r="C1924" s="115" t="s">
        <v>9338</v>
      </c>
      <c r="D1924" s="109" t="s">
        <v>10693</v>
      </c>
      <c r="E1924" s="106" t="s">
        <v>10694</v>
      </c>
      <c r="F1924" s="109" t="s">
        <v>9496</v>
      </c>
      <c r="G1924" s="115" t="s">
        <v>9324</v>
      </c>
      <c r="H1924" s="115" t="s">
        <v>9323</v>
      </c>
      <c r="I1924" s="109" t="s">
        <v>10567</v>
      </c>
      <c r="J1924" s="239" t="s">
        <v>10568</v>
      </c>
      <c r="K1924" s="109" t="s">
        <v>9440</v>
      </c>
      <c r="L1924" s="109" t="s">
        <v>9496</v>
      </c>
    </row>
    <row r="1925" spans="1:12" s="58" customFormat="1" ht="14.85" customHeight="1" x14ac:dyDescent="0.25">
      <c r="A1925" s="108" t="s">
        <v>9308</v>
      </c>
      <c r="B1925" s="115" t="s">
        <v>8939</v>
      </c>
      <c r="C1925" s="115" t="s">
        <v>9338</v>
      </c>
      <c r="D1925" s="109" t="s">
        <v>10693</v>
      </c>
      <c r="E1925" s="106" t="s">
        <v>10694</v>
      </c>
      <c r="F1925" s="109" t="s">
        <v>9496</v>
      </c>
      <c r="G1925" s="115" t="s">
        <v>9324</v>
      </c>
      <c r="H1925" s="115" t="s">
        <v>9323</v>
      </c>
      <c r="I1925" s="109" t="s">
        <v>10571</v>
      </c>
      <c r="J1925" s="239" t="s">
        <v>10572</v>
      </c>
      <c r="K1925" s="109" t="s">
        <v>9440</v>
      </c>
      <c r="L1925" s="109" t="s">
        <v>9496</v>
      </c>
    </row>
    <row r="1926" spans="1:12" s="58" customFormat="1" ht="14.85" customHeight="1" x14ac:dyDescent="0.25">
      <c r="A1926" s="108" t="s">
        <v>9308</v>
      </c>
      <c r="B1926" s="115" t="s">
        <v>8939</v>
      </c>
      <c r="C1926" s="115" t="s">
        <v>9338</v>
      </c>
      <c r="D1926" s="109" t="s">
        <v>10693</v>
      </c>
      <c r="E1926" s="106" t="s">
        <v>10694</v>
      </c>
      <c r="F1926" s="109" t="s">
        <v>9496</v>
      </c>
      <c r="G1926" s="115" t="s">
        <v>9324</v>
      </c>
      <c r="H1926" s="115" t="s">
        <v>9323</v>
      </c>
      <c r="I1926" s="109" t="s">
        <v>10603</v>
      </c>
      <c r="J1926" s="239" t="s">
        <v>10604</v>
      </c>
      <c r="K1926" s="109" t="s">
        <v>9440</v>
      </c>
      <c r="L1926" s="109" t="s">
        <v>9496</v>
      </c>
    </row>
    <row r="1927" spans="1:12" s="58" customFormat="1" ht="14.85" customHeight="1" x14ac:dyDescent="0.25">
      <c r="A1927" s="108" t="s">
        <v>9308</v>
      </c>
      <c r="B1927" s="115" t="s">
        <v>8939</v>
      </c>
      <c r="C1927" s="115" t="s">
        <v>9338</v>
      </c>
      <c r="D1927" s="109" t="s">
        <v>10693</v>
      </c>
      <c r="E1927" s="106" t="s">
        <v>10694</v>
      </c>
      <c r="F1927" s="109" t="s">
        <v>9496</v>
      </c>
      <c r="G1927" s="115" t="s">
        <v>9324</v>
      </c>
      <c r="H1927" s="115" t="s">
        <v>9323</v>
      </c>
      <c r="I1927" s="109" t="s">
        <v>10583</v>
      </c>
      <c r="J1927" s="239" t="s">
        <v>10584</v>
      </c>
      <c r="K1927" s="109" t="s">
        <v>9440</v>
      </c>
      <c r="L1927" s="109" t="s">
        <v>9496</v>
      </c>
    </row>
    <row r="1928" spans="1:12" s="58" customFormat="1" ht="14.85" customHeight="1" x14ac:dyDescent="0.25">
      <c r="A1928" s="108" t="s">
        <v>9308</v>
      </c>
      <c r="B1928" s="115" t="s">
        <v>8939</v>
      </c>
      <c r="C1928" s="115" t="s">
        <v>9338</v>
      </c>
      <c r="D1928" s="109" t="s">
        <v>10693</v>
      </c>
      <c r="E1928" s="106" t="s">
        <v>10694</v>
      </c>
      <c r="F1928" s="109" t="s">
        <v>9496</v>
      </c>
      <c r="G1928" s="115" t="s">
        <v>9324</v>
      </c>
      <c r="H1928" s="115" t="s">
        <v>9323</v>
      </c>
      <c r="I1928" s="109" t="s">
        <v>10591</v>
      </c>
      <c r="J1928" s="239" t="s">
        <v>10592</v>
      </c>
      <c r="K1928" s="109" t="s">
        <v>9440</v>
      </c>
      <c r="L1928" s="109" t="s">
        <v>9496</v>
      </c>
    </row>
    <row r="1929" spans="1:12" s="58" customFormat="1" ht="14.85" customHeight="1" x14ac:dyDescent="0.25">
      <c r="A1929" s="108" t="s">
        <v>9308</v>
      </c>
      <c r="B1929" s="115" t="s">
        <v>8939</v>
      </c>
      <c r="C1929" s="115" t="s">
        <v>9338</v>
      </c>
      <c r="D1929" s="109" t="s">
        <v>10695</v>
      </c>
      <c r="E1929" s="106" t="s">
        <v>10696</v>
      </c>
      <c r="F1929" s="109" t="s">
        <v>9496</v>
      </c>
      <c r="G1929" s="115" t="s">
        <v>9324</v>
      </c>
      <c r="H1929" s="115" t="s">
        <v>9323</v>
      </c>
      <c r="I1929" s="109" t="s">
        <v>10567</v>
      </c>
      <c r="J1929" s="239" t="s">
        <v>10568</v>
      </c>
      <c r="K1929" s="109" t="s">
        <v>9440</v>
      </c>
      <c r="L1929" s="109" t="s">
        <v>9496</v>
      </c>
    </row>
    <row r="1930" spans="1:12" s="58" customFormat="1" ht="14.85" customHeight="1" x14ac:dyDescent="0.25">
      <c r="A1930" s="108" t="s">
        <v>9308</v>
      </c>
      <c r="B1930" s="115" t="s">
        <v>8939</v>
      </c>
      <c r="C1930" s="115" t="s">
        <v>9338</v>
      </c>
      <c r="D1930" s="109" t="s">
        <v>10695</v>
      </c>
      <c r="E1930" s="106" t="s">
        <v>10696</v>
      </c>
      <c r="F1930" s="109" t="s">
        <v>9496</v>
      </c>
      <c r="G1930" s="115" t="s">
        <v>9324</v>
      </c>
      <c r="H1930" s="115" t="s">
        <v>9323</v>
      </c>
      <c r="I1930" s="109" t="s">
        <v>10571</v>
      </c>
      <c r="J1930" s="239" t="s">
        <v>10572</v>
      </c>
      <c r="K1930" s="109" t="s">
        <v>9440</v>
      </c>
      <c r="L1930" s="109" t="s">
        <v>9496</v>
      </c>
    </row>
    <row r="1931" spans="1:12" s="58" customFormat="1" ht="14.85" customHeight="1" x14ac:dyDescent="0.25">
      <c r="A1931" s="108" t="s">
        <v>9308</v>
      </c>
      <c r="B1931" s="115" t="s">
        <v>8939</v>
      </c>
      <c r="C1931" s="115" t="s">
        <v>9338</v>
      </c>
      <c r="D1931" s="109" t="s">
        <v>10695</v>
      </c>
      <c r="E1931" s="106" t="s">
        <v>10696</v>
      </c>
      <c r="F1931" s="109" t="s">
        <v>9496</v>
      </c>
      <c r="G1931" s="115" t="s">
        <v>9324</v>
      </c>
      <c r="H1931" s="115" t="s">
        <v>9323</v>
      </c>
      <c r="I1931" s="109" t="s">
        <v>10575</v>
      </c>
      <c r="J1931" s="239" t="s">
        <v>10576</v>
      </c>
      <c r="K1931" s="109" t="s">
        <v>9440</v>
      </c>
      <c r="L1931" s="109" t="s">
        <v>9496</v>
      </c>
    </row>
    <row r="1932" spans="1:12" s="58" customFormat="1" ht="14.85" customHeight="1" x14ac:dyDescent="0.25">
      <c r="A1932" s="108" t="s">
        <v>9308</v>
      </c>
      <c r="B1932" s="115" t="s">
        <v>8939</v>
      </c>
      <c r="C1932" s="115" t="s">
        <v>9338</v>
      </c>
      <c r="D1932" s="109" t="s">
        <v>10695</v>
      </c>
      <c r="E1932" s="106" t="s">
        <v>10696</v>
      </c>
      <c r="F1932" s="109" t="s">
        <v>9496</v>
      </c>
      <c r="G1932" s="115" t="s">
        <v>9324</v>
      </c>
      <c r="H1932" s="115" t="s">
        <v>9323</v>
      </c>
      <c r="I1932" s="109" t="s">
        <v>10603</v>
      </c>
      <c r="J1932" s="239" t="s">
        <v>10604</v>
      </c>
      <c r="K1932" s="109" t="s">
        <v>9440</v>
      </c>
      <c r="L1932" s="109" t="s">
        <v>9496</v>
      </c>
    </row>
    <row r="1933" spans="1:12" s="58" customFormat="1" ht="14.85" customHeight="1" x14ac:dyDescent="0.25">
      <c r="A1933" s="108" t="s">
        <v>9308</v>
      </c>
      <c r="B1933" s="115" t="s">
        <v>8939</v>
      </c>
      <c r="C1933" s="115" t="s">
        <v>9338</v>
      </c>
      <c r="D1933" s="109" t="s">
        <v>10695</v>
      </c>
      <c r="E1933" s="106" t="s">
        <v>10696</v>
      </c>
      <c r="F1933" s="109" t="s">
        <v>9496</v>
      </c>
      <c r="G1933" s="115" t="s">
        <v>9324</v>
      </c>
      <c r="H1933" s="115" t="s">
        <v>9323</v>
      </c>
      <c r="I1933" s="109" t="s">
        <v>10579</v>
      </c>
      <c r="J1933" s="239" t="s">
        <v>10580</v>
      </c>
      <c r="K1933" s="109" t="s">
        <v>9440</v>
      </c>
      <c r="L1933" s="109" t="s">
        <v>9496</v>
      </c>
    </row>
    <row r="1934" spans="1:12" s="58" customFormat="1" ht="14.85" customHeight="1" x14ac:dyDescent="0.25">
      <c r="A1934" s="108" t="s">
        <v>9308</v>
      </c>
      <c r="B1934" s="115" t="s">
        <v>8939</v>
      </c>
      <c r="C1934" s="115" t="s">
        <v>9338</v>
      </c>
      <c r="D1934" s="109" t="s">
        <v>10695</v>
      </c>
      <c r="E1934" s="106" t="s">
        <v>10696</v>
      </c>
      <c r="F1934" s="109" t="s">
        <v>9496</v>
      </c>
      <c r="G1934" s="115" t="s">
        <v>9324</v>
      </c>
      <c r="H1934" s="115" t="s">
        <v>9323</v>
      </c>
      <c r="I1934" s="109" t="s">
        <v>10583</v>
      </c>
      <c r="J1934" s="239" t="s">
        <v>10584</v>
      </c>
      <c r="K1934" s="109" t="s">
        <v>9440</v>
      </c>
      <c r="L1934" s="109" t="s">
        <v>9496</v>
      </c>
    </row>
    <row r="1935" spans="1:12" s="58" customFormat="1" ht="14.85" customHeight="1" x14ac:dyDescent="0.25">
      <c r="A1935" s="108" t="s">
        <v>9308</v>
      </c>
      <c r="B1935" s="115" t="s">
        <v>8939</v>
      </c>
      <c r="C1935" s="115" t="s">
        <v>9338</v>
      </c>
      <c r="D1935" s="109" t="s">
        <v>10695</v>
      </c>
      <c r="E1935" s="106" t="s">
        <v>10696</v>
      </c>
      <c r="F1935" s="109" t="s">
        <v>9496</v>
      </c>
      <c r="G1935" s="115" t="s">
        <v>9324</v>
      </c>
      <c r="H1935" s="115" t="s">
        <v>9323</v>
      </c>
      <c r="I1935" s="109" t="s">
        <v>10591</v>
      </c>
      <c r="J1935" s="239" t="s">
        <v>10592</v>
      </c>
      <c r="K1935" s="109" t="s">
        <v>9440</v>
      </c>
      <c r="L1935" s="109" t="s">
        <v>9496</v>
      </c>
    </row>
    <row r="1936" spans="1:12" s="58" customFormat="1" ht="14.85" customHeight="1" x14ac:dyDescent="0.25">
      <c r="A1936" s="108" t="s">
        <v>9308</v>
      </c>
      <c r="B1936" s="115" t="s">
        <v>8939</v>
      </c>
      <c r="C1936" s="115" t="s">
        <v>9338</v>
      </c>
      <c r="D1936" s="109" t="s">
        <v>10697</v>
      </c>
      <c r="E1936" s="106" t="s">
        <v>10698</v>
      </c>
      <c r="F1936" s="109" t="s">
        <v>9496</v>
      </c>
      <c r="G1936" s="115" t="s">
        <v>9324</v>
      </c>
      <c r="H1936" s="115" t="s">
        <v>9323</v>
      </c>
      <c r="I1936" s="109" t="s">
        <v>10090</v>
      </c>
      <c r="J1936" s="239" t="s">
        <v>10091</v>
      </c>
      <c r="K1936" s="109" t="s">
        <v>9440</v>
      </c>
      <c r="L1936" s="109" t="s">
        <v>9496</v>
      </c>
    </row>
    <row r="1937" spans="1:12" s="58" customFormat="1" ht="14.85" customHeight="1" x14ac:dyDescent="0.25">
      <c r="A1937" s="108" t="s">
        <v>9308</v>
      </c>
      <c r="B1937" s="115" t="s">
        <v>8939</v>
      </c>
      <c r="C1937" s="115" t="s">
        <v>9338</v>
      </c>
      <c r="D1937" s="109" t="s">
        <v>10697</v>
      </c>
      <c r="E1937" s="106" t="s">
        <v>10698</v>
      </c>
      <c r="F1937" s="109" t="s">
        <v>9496</v>
      </c>
      <c r="G1937" s="115" t="s">
        <v>9324</v>
      </c>
      <c r="H1937" s="115" t="s">
        <v>9323</v>
      </c>
      <c r="I1937" s="109" t="s">
        <v>10603</v>
      </c>
      <c r="J1937" s="239" t="s">
        <v>10604</v>
      </c>
      <c r="K1937" s="109" t="s">
        <v>9440</v>
      </c>
      <c r="L1937" s="109" t="s">
        <v>9496</v>
      </c>
    </row>
    <row r="1938" spans="1:12" s="58" customFormat="1" ht="14.85" customHeight="1" x14ac:dyDescent="0.25">
      <c r="A1938" s="108" t="s">
        <v>9308</v>
      </c>
      <c r="B1938" s="115" t="s">
        <v>8939</v>
      </c>
      <c r="C1938" s="115" t="s">
        <v>9338</v>
      </c>
      <c r="D1938" s="109" t="s">
        <v>10697</v>
      </c>
      <c r="E1938" s="106" t="s">
        <v>10698</v>
      </c>
      <c r="F1938" s="109" t="s">
        <v>9496</v>
      </c>
      <c r="G1938" s="115" t="s">
        <v>9324</v>
      </c>
      <c r="H1938" s="115" t="s">
        <v>9323</v>
      </c>
      <c r="I1938" s="109" t="s">
        <v>10092</v>
      </c>
      <c r="J1938" s="239" t="s">
        <v>10093</v>
      </c>
      <c r="K1938" s="109" t="s">
        <v>9440</v>
      </c>
      <c r="L1938" s="109" t="s">
        <v>9496</v>
      </c>
    </row>
    <row r="1939" spans="1:12" s="58" customFormat="1" ht="14.85" customHeight="1" x14ac:dyDescent="0.25">
      <c r="A1939" s="108" t="s">
        <v>9308</v>
      </c>
      <c r="B1939" s="115" t="s">
        <v>8939</v>
      </c>
      <c r="C1939" s="115" t="s">
        <v>9338</v>
      </c>
      <c r="D1939" s="109" t="s">
        <v>10697</v>
      </c>
      <c r="E1939" s="106" t="s">
        <v>10698</v>
      </c>
      <c r="F1939" s="109" t="s">
        <v>9496</v>
      </c>
      <c r="G1939" s="115" t="s">
        <v>9324</v>
      </c>
      <c r="H1939" s="115" t="s">
        <v>9323</v>
      </c>
      <c r="I1939" s="109" t="s">
        <v>10591</v>
      </c>
      <c r="J1939" s="239" t="s">
        <v>10592</v>
      </c>
      <c r="K1939" s="109" t="s">
        <v>9440</v>
      </c>
      <c r="L1939" s="109" t="s">
        <v>9496</v>
      </c>
    </row>
    <row r="1940" spans="1:12" s="58" customFormat="1" ht="14.85" customHeight="1" x14ac:dyDescent="0.25">
      <c r="A1940" s="108" t="s">
        <v>13511</v>
      </c>
      <c r="B1940" s="300" t="s">
        <v>8939</v>
      </c>
      <c r="C1940" s="169" t="s">
        <v>9338</v>
      </c>
      <c r="D1940" s="163" t="s">
        <v>10699</v>
      </c>
      <c r="E1940" s="301" t="s">
        <v>10700</v>
      </c>
      <c r="F1940" s="163" t="s">
        <v>9496</v>
      </c>
      <c r="G1940" s="169" t="s">
        <v>9324</v>
      </c>
      <c r="H1940" s="169" t="s">
        <v>9323</v>
      </c>
      <c r="I1940" s="163" t="s">
        <v>10567</v>
      </c>
      <c r="J1940" s="242" t="s">
        <v>10568</v>
      </c>
      <c r="K1940" s="163" t="s">
        <v>9440</v>
      </c>
      <c r="L1940" s="163" t="s">
        <v>9496</v>
      </c>
    </row>
    <row r="1941" spans="1:12" s="58" customFormat="1" ht="14.85" customHeight="1" x14ac:dyDescent="0.25">
      <c r="A1941" s="108" t="s">
        <v>13511</v>
      </c>
      <c r="B1941" s="300" t="s">
        <v>8939</v>
      </c>
      <c r="C1941" s="169" t="s">
        <v>9338</v>
      </c>
      <c r="D1941" s="163" t="s">
        <v>10699</v>
      </c>
      <c r="E1941" s="301" t="s">
        <v>10700</v>
      </c>
      <c r="F1941" s="163" t="s">
        <v>9496</v>
      </c>
      <c r="G1941" s="169" t="s">
        <v>9324</v>
      </c>
      <c r="H1941" s="169" t="s">
        <v>9323</v>
      </c>
      <c r="I1941" s="163" t="s">
        <v>10597</v>
      </c>
      <c r="J1941" s="242" t="s">
        <v>10598</v>
      </c>
      <c r="K1941" s="163" t="s">
        <v>9440</v>
      </c>
      <c r="L1941" s="163" t="s">
        <v>9496</v>
      </c>
    </row>
    <row r="1942" spans="1:12" s="58" customFormat="1" ht="14.85" customHeight="1" x14ac:dyDescent="0.25">
      <c r="A1942" s="108" t="s">
        <v>13511</v>
      </c>
      <c r="B1942" s="300" t="s">
        <v>8939</v>
      </c>
      <c r="C1942" s="169" t="s">
        <v>9338</v>
      </c>
      <c r="D1942" s="163" t="s">
        <v>10699</v>
      </c>
      <c r="E1942" s="301" t="s">
        <v>10700</v>
      </c>
      <c r="F1942" s="163" t="s">
        <v>9496</v>
      </c>
      <c r="G1942" s="169" t="s">
        <v>9324</v>
      </c>
      <c r="H1942" s="169" t="s">
        <v>9323</v>
      </c>
      <c r="I1942" s="163" t="s">
        <v>10577</v>
      </c>
      <c r="J1942" s="242" t="s">
        <v>10578</v>
      </c>
      <c r="K1942" s="163" t="s">
        <v>9440</v>
      </c>
      <c r="L1942" s="163" t="s">
        <v>9496</v>
      </c>
    </row>
    <row r="1943" spans="1:12" s="58" customFormat="1" ht="14.85" customHeight="1" x14ac:dyDescent="0.25">
      <c r="A1943" s="108" t="s">
        <v>13511</v>
      </c>
      <c r="B1943" s="300" t="s">
        <v>8939</v>
      </c>
      <c r="C1943" s="169" t="s">
        <v>9338</v>
      </c>
      <c r="D1943" s="163" t="s">
        <v>10699</v>
      </c>
      <c r="E1943" s="301" t="s">
        <v>10700</v>
      </c>
      <c r="F1943" s="163" t="s">
        <v>9496</v>
      </c>
      <c r="G1943" s="169" t="s">
        <v>9324</v>
      </c>
      <c r="H1943" s="169" t="s">
        <v>9323</v>
      </c>
      <c r="I1943" s="163" t="s">
        <v>10601</v>
      </c>
      <c r="J1943" s="242" t="s">
        <v>10602</v>
      </c>
      <c r="K1943" s="163" t="s">
        <v>9440</v>
      </c>
      <c r="L1943" s="163" t="s">
        <v>9496</v>
      </c>
    </row>
    <row r="1944" spans="1:12" s="58" customFormat="1" ht="14.85" customHeight="1" x14ac:dyDescent="0.25">
      <c r="A1944" s="108" t="s">
        <v>13511</v>
      </c>
      <c r="B1944" s="300" t="s">
        <v>8939</v>
      </c>
      <c r="C1944" s="169" t="s">
        <v>9338</v>
      </c>
      <c r="D1944" s="163" t="s">
        <v>10699</v>
      </c>
      <c r="E1944" s="301" t="s">
        <v>10700</v>
      </c>
      <c r="F1944" s="163" t="s">
        <v>9496</v>
      </c>
      <c r="G1944" s="169" t="s">
        <v>9324</v>
      </c>
      <c r="H1944" s="169" t="s">
        <v>9323</v>
      </c>
      <c r="I1944" s="163" t="s">
        <v>10581</v>
      </c>
      <c r="J1944" s="242" t="s">
        <v>10582</v>
      </c>
      <c r="K1944" s="163" t="s">
        <v>9440</v>
      </c>
      <c r="L1944" s="163" t="s">
        <v>9496</v>
      </c>
    </row>
    <row r="1945" spans="1:12" s="58" customFormat="1" ht="14.85" customHeight="1" x14ac:dyDescent="0.25">
      <c r="A1945" s="108" t="s">
        <v>13511</v>
      </c>
      <c r="B1945" s="300" t="s">
        <v>8939</v>
      </c>
      <c r="C1945" s="169" t="s">
        <v>9338</v>
      </c>
      <c r="D1945" s="163" t="s">
        <v>10699</v>
      </c>
      <c r="E1945" s="301" t="s">
        <v>10700</v>
      </c>
      <c r="F1945" s="163" t="s">
        <v>9496</v>
      </c>
      <c r="G1945" s="169" t="s">
        <v>9324</v>
      </c>
      <c r="H1945" s="169" t="s">
        <v>9323</v>
      </c>
      <c r="I1945" s="163" t="s">
        <v>10585</v>
      </c>
      <c r="J1945" s="242" t="s">
        <v>10586</v>
      </c>
      <c r="K1945" s="163" t="s">
        <v>9440</v>
      </c>
      <c r="L1945" s="163" t="s">
        <v>9496</v>
      </c>
    </row>
    <row r="1946" spans="1:12" s="58" customFormat="1" ht="14.85" customHeight="1" x14ac:dyDescent="0.25">
      <c r="A1946" s="108" t="s">
        <v>13511</v>
      </c>
      <c r="B1946" s="300" t="s">
        <v>8939</v>
      </c>
      <c r="C1946" s="169" t="s">
        <v>9338</v>
      </c>
      <c r="D1946" s="163" t="s">
        <v>10699</v>
      </c>
      <c r="E1946" s="301" t="s">
        <v>10700</v>
      </c>
      <c r="F1946" s="163" t="s">
        <v>9496</v>
      </c>
      <c r="G1946" s="169" t="s">
        <v>9324</v>
      </c>
      <c r="H1946" s="169" t="s">
        <v>9323</v>
      </c>
      <c r="I1946" s="163" t="s">
        <v>10587</v>
      </c>
      <c r="J1946" s="242" t="s">
        <v>10588</v>
      </c>
      <c r="K1946" s="163" t="s">
        <v>9440</v>
      </c>
      <c r="L1946" s="163" t="s">
        <v>9496</v>
      </c>
    </row>
    <row r="1947" spans="1:12" s="58" customFormat="1" ht="14.85" customHeight="1" x14ac:dyDescent="0.25">
      <c r="A1947" s="108" t="s">
        <v>13511</v>
      </c>
      <c r="B1947" s="300" t="s">
        <v>8939</v>
      </c>
      <c r="C1947" s="169" t="s">
        <v>9338</v>
      </c>
      <c r="D1947" s="163" t="s">
        <v>10699</v>
      </c>
      <c r="E1947" s="301" t="s">
        <v>10700</v>
      </c>
      <c r="F1947" s="163" t="s">
        <v>9496</v>
      </c>
      <c r="G1947" s="169" t="s">
        <v>9324</v>
      </c>
      <c r="H1947" s="169" t="s">
        <v>9323</v>
      </c>
      <c r="I1947" s="163" t="s">
        <v>10589</v>
      </c>
      <c r="J1947" s="242" t="s">
        <v>10590</v>
      </c>
      <c r="K1947" s="163" t="s">
        <v>9440</v>
      </c>
      <c r="L1947" s="163" t="s">
        <v>9496</v>
      </c>
    </row>
    <row r="1948" spans="1:12" s="58" customFormat="1" ht="14.85" customHeight="1" x14ac:dyDescent="0.25">
      <c r="A1948" s="108" t="s">
        <v>13511</v>
      </c>
      <c r="B1948" s="300" t="s">
        <v>8939</v>
      </c>
      <c r="C1948" s="169" t="s">
        <v>9338</v>
      </c>
      <c r="D1948" s="163" t="s">
        <v>10699</v>
      </c>
      <c r="E1948" s="301" t="s">
        <v>10700</v>
      </c>
      <c r="F1948" s="163" t="s">
        <v>9496</v>
      </c>
      <c r="G1948" s="169" t="s">
        <v>9324</v>
      </c>
      <c r="H1948" s="169" t="s">
        <v>9323</v>
      </c>
      <c r="I1948" s="163" t="s">
        <v>10591</v>
      </c>
      <c r="J1948" s="242" t="s">
        <v>10592</v>
      </c>
      <c r="K1948" s="163" t="s">
        <v>9440</v>
      </c>
      <c r="L1948" s="163" t="s">
        <v>9496</v>
      </c>
    </row>
    <row r="1949" spans="1:12" s="58" customFormat="1" ht="14.85" customHeight="1" x14ac:dyDescent="0.25">
      <c r="A1949" s="108" t="s">
        <v>9308</v>
      </c>
      <c r="B1949" s="115" t="s">
        <v>8939</v>
      </c>
      <c r="C1949" s="115" t="s">
        <v>9338</v>
      </c>
      <c r="D1949" s="109" t="s">
        <v>10701</v>
      </c>
      <c r="E1949" s="106" t="s">
        <v>10702</v>
      </c>
      <c r="F1949" s="109" t="s">
        <v>9496</v>
      </c>
      <c r="G1949" s="115" t="s">
        <v>9324</v>
      </c>
      <c r="H1949" s="115" t="s">
        <v>9323</v>
      </c>
      <c r="I1949" s="109" t="s">
        <v>10567</v>
      </c>
      <c r="J1949" s="239" t="s">
        <v>10568</v>
      </c>
      <c r="K1949" s="109" t="s">
        <v>9440</v>
      </c>
      <c r="L1949" s="109" t="s">
        <v>9496</v>
      </c>
    </row>
    <row r="1950" spans="1:12" s="58" customFormat="1" ht="14.85" customHeight="1" x14ac:dyDescent="0.25">
      <c r="A1950" s="108" t="s">
        <v>9308</v>
      </c>
      <c r="B1950" s="115" t="s">
        <v>8939</v>
      </c>
      <c r="C1950" s="115" t="s">
        <v>9338</v>
      </c>
      <c r="D1950" s="109" t="s">
        <v>10701</v>
      </c>
      <c r="E1950" s="106" t="s">
        <v>10702</v>
      </c>
      <c r="F1950" s="109" t="s">
        <v>9496</v>
      </c>
      <c r="G1950" s="115" t="s">
        <v>9324</v>
      </c>
      <c r="H1950" s="115" t="s">
        <v>9323</v>
      </c>
      <c r="I1950" s="109" t="s">
        <v>10569</v>
      </c>
      <c r="J1950" s="239" t="s">
        <v>10570</v>
      </c>
      <c r="K1950" s="109" t="s">
        <v>9440</v>
      </c>
      <c r="L1950" s="109" t="s">
        <v>9496</v>
      </c>
    </row>
    <row r="1951" spans="1:12" s="58" customFormat="1" ht="14.85" customHeight="1" x14ac:dyDescent="0.25">
      <c r="A1951" s="108" t="s">
        <v>9308</v>
      </c>
      <c r="B1951" s="115" t="s">
        <v>8939</v>
      </c>
      <c r="C1951" s="115" t="s">
        <v>9338</v>
      </c>
      <c r="D1951" s="109" t="s">
        <v>10701</v>
      </c>
      <c r="E1951" s="106" t="s">
        <v>10702</v>
      </c>
      <c r="F1951" s="109" t="s">
        <v>9496</v>
      </c>
      <c r="G1951" s="115" t="s">
        <v>9324</v>
      </c>
      <c r="H1951" s="115" t="s">
        <v>9323</v>
      </c>
      <c r="I1951" s="109" t="s">
        <v>10571</v>
      </c>
      <c r="J1951" s="239" t="s">
        <v>10572</v>
      </c>
      <c r="K1951" s="109" t="s">
        <v>9440</v>
      </c>
      <c r="L1951" s="109" t="s">
        <v>9496</v>
      </c>
    </row>
    <row r="1952" spans="1:12" s="58" customFormat="1" ht="14.85" customHeight="1" x14ac:dyDescent="0.25">
      <c r="A1952" s="108" t="s">
        <v>9308</v>
      </c>
      <c r="B1952" s="115" t="s">
        <v>8939</v>
      </c>
      <c r="C1952" s="115" t="s">
        <v>9338</v>
      </c>
      <c r="D1952" s="109" t="s">
        <v>10701</v>
      </c>
      <c r="E1952" s="106" t="s">
        <v>10702</v>
      </c>
      <c r="F1952" s="109" t="s">
        <v>9496</v>
      </c>
      <c r="G1952" s="115" t="s">
        <v>9324</v>
      </c>
      <c r="H1952" s="115" t="s">
        <v>9323</v>
      </c>
      <c r="I1952" s="109" t="s">
        <v>10573</v>
      </c>
      <c r="J1952" s="239" t="s">
        <v>10574</v>
      </c>
      <c r="K1952" s="109" t="s">
        <v>9440</v>
      </c>
      <c r="L1952" s="109" t="s">
        <v>9496</v>
      </c>
    </row>
    <row r="1953" spans="1:12" s="58" customFormat="1" ht="14.85" customHeight="1" x14ac:dyDescent="0.25">
      <c r="A1953" s="108" t="s">
        <v>9308</v>
      </c>
      <c r="B1953" s="115" t="s">
        <v>8939</v>
      </c>
      <c r="C1953" s="115" t="s">
        <v>9338</v>
      </c>
      <c r="D1953" s="109" t="s">
        <v>10701</v>
      </c>
      <c r="E1953" s="106" t="s">
        <v>10702</v>
      </c>
      <c r="F1953" s="109" t="s">
        <v>9496</v>
      </c>
      <c r="G1953" s="115" t="s">
        <v>9324</v>
      </c>
      <c r="H1953" s="115" t="s">
        <v>9323</v>
      </c>
      <c r="I1953" s="109" t="s">
        <v>10575</v>
      </c>
      <c r="J1953" s="239" t="s">
        <v>10576</v>
      </c>
      <c r="K1953" s="109" t="s">
        <v>9440</v>
      </c>
      <c r="L1953" s="109" t="s">
        <v>9496</v>
      </c>
    </row>
    <row r="1954" spans="1:12" s="58" customFormat="1" ht="14.85" customHeight="1" x14ac:dyDescent="0.25">
      <c r="A1954" s="108" t="s">
        <v>9308</v>
      </c>
      <c r="B1954" s="115" t="s">
        <v>8939</v>
      </c>
      <c r="C1954" s="115" t="s">
        <v>9338</v>
      </c>
      <c r="D1954" s="109" t="s">
        <v>10701</v>
      </c>
      <c r="E1954" s="106" t="s">
        <v>10702</v>
      </c>
      <c r="F1954" s="109" t="s">
        <v>9496</v>
      </c>
      <c r="G1954" s="115" t="s">
        <v>9324</v>
      </c>
      <c r="H1954" s="115" t="s">
        <v>9323</v>
      </c>
      <c r="I1954" s="109" t="s">
        <v>10577</v>
      </c>
      <c r="J1954" s="239" t="s">
        <v>10578</v>
      </c>
      <c r="K1954" s="109" t="s">
        <v>9440</v>
      </c>
      <c r="L1954" s="109" t="s">
        <v>9496</v>
      </c>
    </row>
    <row r="1955" spans="1:12" s="58" customFormat="1" ht="14.85" customHeight="1" x14ac:dyDescent="0.25">
      <c r="A1955" s="108" t="s">
        <v>9308</v>
      </c>
      <c r="B1955" s="115" t="s">
        <v>8939</v>
      </c>
      <c r="C1955" s="115" t="s">
        <v>9338</v>
      </c>
      <c r="D1955" s="109" t="s">
        <v>10701</v>
      </c>
      <c r="E1955" s="106" t="s">
        <v>10702</v>
      </c>
      <c r="F1955" s="109" t="s">
        <v>9496</v>
      </c>
      <c r="G1955" s="115" t="s">
        <v>9324</v>
      </c>
      <c r="H1955" s="115" t="s">
        <v>9323</v>
      </c>
      <c r="I1955" s="109" t="s">
        <v>10601</v>
      </c>
      <c r="J1955" s="239" t="s">
        <v>10602</v>
      </c>
      <c r="K1955" s="109" t="s">
        <v>9440</v>
      </c>
      <c r="L1955" s="109" t="s">
        <v>9496</v>
      </c>
    </row>
    <row r="1956" spans="1:12" s="58" customFormat="1" ht="14.85" customHeight="1" x14ac:dyDescent="0.25">
      <c r="A1956" s="108" t="s">
        <v>9308</v>
      </c>
      <c r="B1956" s="115" t="s">
        <v>8939</v>
      </c>
      <c r="C1956" s="115" t="s">
        <v>9338</v>
      </c>
      <c r="D1956" s="109" t="s">
        <v>10701</v>
      </c>
      <c r="E1956" s="106" t="s">
        <v>10702</v>
      </c>
      <c r="F1956" s="109" t="s">
        <v>9496</v>
      </c>
      <c r="G1956" s="115" t="s">
        <v>9324</v>
      </c>
      <c r="H1956" s="115" t="s">
        <v>9323</v>
      </c>
      <c r="I1956" s="109" t="s">
        <v>10579</v>
      </c>
      <c r="J1956" s="239" t="s">
        <v>10580</v>
      </c>
      <c r="K1956" s="109" t="s">
        <v>9440</v>
      </c>
      <c r="L1956" s="109" t="s">
        <v>9496</v>
      </c>
    </row>
    <row r="1957" spans="1:12" s="58" customFormat="1" ht="14.85" customHeight="1" x14ac:dyDescent="0.25">
      <c r="A1957" s="108" t="s">
        <v>9308</v>
      </c>
      <c r="B1957" s="115" t="s">
        <v>8939</v>
      </c>
      <c r="C1957" s="115" t="s">
        <v>9338</v>
      </c>
      <c r="D1957" s="109" t="s">
        <v>10701</v>
      </c>
      <c r="E1957" s="106" t="s">
        <v>10702</v>
      </c>
      <c r="F1957" s="109" t="s">
        <v>9496</v>
      </c>
      <c r="G1957" s="115" t="s">
        <v>9324</v>
      </c>
      <c r="H1957" s="115" t="s">
        <v>9323</v>
      </c>
      <c r="I1957" s="109" t="s">
        <v>10583</v>
      </c>
      <c r="J1957" s="239" t="s">
        <v>10584</v>
      </c>
      <c r="K1957" s="109" t="s">
        <v>9440</v>
      </c>
      <c r="L1957" s="109" t="s">
        <v>9496</v>
      </c>
    </row>
    <row r="1958" spans="1:12" s="58" customFormat="1" ht="14.85" customHeight="1" x14ac:dyDescent="0.25">
      <c r="A1958" s="108" t="s">
        <v>9308</v>
      </c>
      <c r="B1958" s="115" t="s">
        <v>8939</v>
      </c>
      <c r="C1958" s="115" t="s">
        <v>9338</v>
      </c>
      <c r="D1958" s="109" t="s">
        <v>10701</v>
      </c>
      <c r="E1958" s="106" t="s">
        <v>10702</v>
      </c>
      <c r="F1958" s="109" t="s">
        <v>9496</v>
      </c>
      <c r="G1958" s="115" t="s">
        <v>9324</v>
      </c>
      <c r="H1958" s="115" t="s">
        <v>9323</v>
      </c>
      <c r="I1958" s="109" t="s">
        <v>10585</v>
      </c>
      <c r="J1958" s="239" t="s">
        <v>10586</v>
      </c>
      <c r="K1958" s="109" t="s">
        <v>9440</v>
      </c>
      <c r="L1958" s="109" t="s">
        <v>9496</v>
      </c>
    </row>
    <row r="1959" spans="1:12" s="58" customFormat="1" ht="14.85" customHeight="1" x14ac:dyDescent="0.25">
      <c r="A1959" s="108" t="s">
        <v>9308</v>
      </c>
      <c r="B1959" s="115" t="s">
        <v>8939</v>
      </c>
      <c r="C1959" s="115" t="s">
        <v>9338</v>
      </c>
      <c r="D1959" s="109" t="s">
        <v>10701</v>
      </c>
      <c r="E1959" s="106" t="s">
        <v>10702</v>
      </c>
      <c r="F1959" s="109" t="s">
        <v>9496</v>
      </c>
      <c r="G1959" s="115" t="s">
        <v>9324</v>
      </c>
      <c r="H1959" s="115" t="s">
        <v>9323</v>
      </c>
      <c r="I1959" s="109" t="s">
        <v>10587</v>
      </c>
      <c r="J1959" s="239" t="s">
        <v>10588</v>
      </c>
      <c r="K1959" s="109" t="s">
        <v>9440</v>
      </c>
      <c r="L1959" s="109" t="s">
        <v>9496</v>
      </c>
    </row>
    <row r="1960" spans="1:12" s="58" customFormat="1" ht="14.85" customHeight="1" x14ac:dyDescent="0.25">
      <c r="A1960" s="108" t="s">
        <v>9308</v>
      </c>
      <c r="B1960" s="115" t="s">
        <v>8939</v>
      </c>
      <c r="C1960" s="115" t="s">
        <v>9338</v>
      </c>
      <c r="D1960" s="109" t="s">
        <v>10701</v>
      </c>
      <c r="E1960" s="106" t="s">
        <v>10702</v>
      </c>
      <c r="F1960" s="109" t="s">
        <v>9496</v>
      </c>
      <c r="G1960" s="115" t="s">
        <v>9324</v>
      </c>
      <c r="H1960" s="115" t="s">
        <v>9323</v>
      </c>
      <c r="I1960" s="109" t="s">
        <v>10332</v>
      </c>
      <c r="J1960" s="239" t="s">
        <v>10333</v>
      </c>
      <c r="K1960" s="109" t="s">
        <v>9440</v>
      </c>
      <c r="L1960" s="109" t="s">
        <v>9496</v>
      </c>
    </row>
    <row r="1961" spans="1:12" s="58" customFormat="1" ht="14.85" customHeight="1" x14ac:dyDescent="0.25">
      <c r="A1961" s="108" t="s">
        <v>9308</v>
      </c>
      <c r="B1961" s="115" t="s">
        <v>8939</v>
      </c>
      <c r="C1961" s="115" t="s">
        <v>9338</v>
      </c>
      <c r="D1961" s="109" t="s">
        <v>10701</v>
      </c>
      <c r="E1961" s="106" t="s">
        <v>10702</v>
      </c>
      <c r="F1961" s="109" t="s">
        <v>9496</v>
      </c>
      <c r="G1961" s="115" t="s">
        <v>9324</v>
      </c>
      <c r="H1961" s="115" t="s">
        <v>9323</v>
      </c>
      <c r="I1961" s="109" t="s">
        <v>10703</v>
      </c>
      <c r="J1961" s="239" t="s">
        <v>10704</v>
      </c>
      <c r="K1961" s="109" t="s">
        <v>9440</v>
      </c>
      <c r="L1961" s="109" t="s">
        <v>9496</v>
      </c>
    </row>
    <row r="1962" spans="1:12" s="58" customFormat="1" ht="14.85" customHeight="1" x14ac:dyDescent="0.25">
      <c r="A1962" s="108" t="s">
        <v>9308</v>
      </c>
      <c r="B1962" s="115" t="s">
        <v>8939</v>
      </c>
      <c r="C1962" s="115" t="s">
        <v>9338</v>
      </c>
      <c r="D1962" s="109" t="s">
        <v>10701</v>
      </c>
      <c r="E1962" s="106" t="s">
        <v>10702</v>
      </c>
      <c r="F1962" s="109" t="s">
        <v>9496</v>
      </c>
      <c r="G1962" s="115" t="s">
        <v>9324</v>
      </c>
      <c r="H1962" s="115" t="s">
        <v>9323</v>
      </c>
      <c r="I1962" s="109" t="s">
        <v>10591</v>
      </c>
      <c r="J1962" s="239" t="s">
        <v>10592</v>
      </c>
      <c r="K1962" s="109" t="s">
        <v>9440</v>
      </c>
      <c r="L1962" s="109" t="s">
        <v>9496</v>
      </c>
    </row>
    <row r="1963" spans="1:12" s="58" customFormat="1" ht="14.85" customHeight="1" x14ac:dyDescent="0.25">
      <c r="A1963" s="108" t="s">
        <v>9308</v>
      </c>
      <c r="B1963" s="115" t="s">
        <v>8939</v>
      </c>
      <c r="C1963" s="115" t="s">
        <v>9338</v>
      </c>
      <c r="D1963" s="109" t="s">
        <v>10705</v>
      </c>
      <c r="E1963" s="106" t="s">
        <v>10706</v>
      </c>
      <c r="F1963" s="109" t="s">
        <v>9496</v>
      </c>
      <c r="G1963" s="115" t="s">
        <v>9324</v>
      </c>
      <c r="H1963" s="115" t="s">
        <v>9323</v>
      </c>
      <c r="I1963" s="109" t="s">
        <v>10577</v>
      </c>
      <c r="J1963" s="239" t="s">
        <v>10578</v>
      </c>
      <c r="K1963" s="109" t="s">
        <v>9440</v>
      </c>
      <c r="L1963" s="109" t="s">
        <v>9496</v>
      </c>
    </row>
    <row r="1964" spans="1:12" s="58" customFormat="1" ht="14.85" customHeight="1" x14ac:dyDescent="0.25">
      <c r="A1964" s="108" t="s">
        <v>9308</v>
      </c>
      <c r="B1964" s="115" t="s">
        <v>8939</v>
      </c>
      <c r="C1964" s="115" t="s">
        <v>9338</v>
      </c>
      <c r="D1964" s="109" t="s">
        <v>10705</v>
      </c>
      <c r="E1964" s="106" t="s">
        <v>10706</v>
      </c>
      <c r="F1964" s="109" t="s">
        <v>9496</v>
      </c>
      <c r="G1964" s="115" t="s">
        <v>9324</v>
      </c>
      <c r="H1964" s="115" t="s">
        <v>9323</v>
      </c>
      <c r="I1964" s="109" t="s">
        <v>10601</v>
      </c>
      <c r="J1964" s="239" t="s">
        <v>10602</v>
      </c>
      <c r="K1964" s="109" t="s">
        <v>9440</v>
      </c>
      <c r="L1964" s="109" t="s">
        <v>9496</v>
      </c>
    </row>
    <row r="1965" spans="1:12" s="58" customFormat="1" ht="14.85" customHeight="1" x14ac:dyDescent="0.25">
      <c r="A1965" s="108" t="s">
        <v>9308</v>
      </c>
      <c r="B1965" s="115" t="s">
        <v>8939</v>
      </c>
      <c r="C1965" s="115" t="s">
        <v>9338</v>
      </c>
      <c r="D1965" s="109" t="s">
        <v>10705</v>
      </c>
      <c r="E1965" s="106" t="s">
        <v>10706</v>
      </c>
      <c r="F1965" s="109" t="s">
        <v>9496</v>
      </c>
      <c r="G1965" s="115" t="s">
        <v>9324</v>
      </c>
      <c r="H1965" s="115" t="s">
        <v>9323</v>
      </c>
      <c r="I1965" s="109" t="s">
        <v>10579</v>
      </c>
      <c r="J1965" s="239" t="s">
        <v>10580</v>
      </c>
      <c r="K1965" s="109" t="s">
        <v>9440</v>
      </c>
      <c r="L1965" s="109" t="s">
        <v>9496</v>
      </c>
    </row>
    <row r="1966" spans="1:12" s="58" customFormat="1" ht="14.85" customHeight="1" x14ac:dyDescent="0.25">
      <c r="A1966" s="108" t="s">
        <v>9308</v>
      </c>
      <c r="B1966" s="115" t="s">
        <v>8939</v>
      </c>
      <c r="C1966" s="115" t="s">
        <v>9338</v>
      </c>
      <c r="D1966" s="109" t="s">
        <v>10705</v>
      </c>
      <c r="E1966" s="106" t="s">
        <v>10706</v>
      </c>
      <c r="F1966" s="109" t="s">
        <v>9496</v>
      </c>
      <c r="G1966" s="115" t="s">
        <v>9324</v>
      </c>
      <c r="H1966" s="115" t="s">
        <v>9323</v>
      </c>
      <c r="I1966" s="109" t="s">
        <v>10703</v>
      </c>
      <c r="J1966" s="239" t="s">
        <v>10704</v>
      </c>
      <c r="K1966" s="109" t="s">
        <v>9440</v>
      </c>
      <c r="L1966" s="109" t="s">
        <v>9496</v>
      </c>
    </row>
    <row r="1967" spans="1:12" s="58" customFormat="1" ht="14.85" customHeight="1" x14ac:dyDescent="0.25">
      <c r="A1967" s="108" t="s">
        <v>9308</v>
      </c>
      <c r="B1967" s="115" t="s">
        <v>8939</v>
      </c>
      <c r="C1967" s="115" t="s">
        <v>9338</v>
      </c>
      <c r="D1967" s="109" t="s">
        <v>10705</v>
      </c>
      <c r="E1967" s="106" t="s">
        <v>10706</v>
      </c>
      <c r="F1967" s="109" t="s">
        <v>9496</v>
      </c>
      <c r="G1967" s="115" t="s">
        <v>9324</v>
      </c>
      <c r="H1967" s="115" t="s">
        <v>9323</v>
      </c>
      <c r="I1967" s="109" t="s">
        <v>10591</v>
      </c>
      <c r="J1967" s="239" t="s">
        <v>10592</v>
      </c>
      <c r="K1967" s="109" t="s">
        <v>9440</v>
      </c>
      <c r="L1967" s="109" t="s">
        <v>9496</v>
      </c>
    </row>
    <row r="1968" spans="1:12" s="58" customFormat="1" ht="14.85" customHeight="1" x14ac:dyDescent="0.25">
      <c r="A1968" s="108" t="s">
        <v>9308</v>
      </c>
      <c r="B1968" s="115" t="s">
        <v>8939</v>
      </c>
      <c r="C1968" s="115" t="s">
        <v>9338</v>
      </c>
      <c r="D1968" s="109" t="s">
        <v>10707</v>
      </c>
      <c r="E1968" s="106" t="s">
        <v>10708</v>
      </c>
      <c r="F1968" s="109" t="s">
        <v>9496</v>
      </c>
      <c r="G1968" s="115" t="s">
        <v>9324</v>
      </c>
      <c r="H1968" s="115" t="s">
        <v>9323</v>
      </c>
      <c r="I1968" s="109" t="s">
        <v>10577</v>
      </c>
      <c r="J1968" s="239" t="s">
        <v>10578</v>
      </c>
      <c r="K1968" s="109" t="s">
        <v>9440</v>
      </c>
      <c r="L1968" s="109" t="s">
        <v>9496</v>
      </c>
    </row>
    <row r="1969" spans="1:12" s="58" customFormat="1" ht="14.85" customHeight="1" x14ac:dyDescent="0.25">
      <c r="A1969" s="108" t="s">
        <v>9308</v>
      </c>
      <c r="B1969" s="115" t="s">
        <v>8939</v>
      </c>
      <c r="C1969" s="115" t="s">
        <v>9338</v>
      </c>
      <c r="D1969" s="109" t="s">
        <v>10707</v>
      </c>
      <c r="E1969" s="106" t="s">
        <v>10708</v>
      </c>
      <c r="F1969" s="109" t="s">
        <v>9496</v>
      </c>
      <c r="G1969" s="115" t="s">
        <v>9324</v>
      </c>
      <c r="H1969" s="115" t="s">
        <v>9323</v>
      </c>
      <c r="I1969" s="109" t="s">
        <v>10601</v>
      </c>
      <c r="J1969" s="239" t="s">
        <v>10602</v>
      </c>
      <c r="K1969" s="109" t="s">
        <v>9440</v>
      </c>
      <c r="L1969" s="109" t="s">
        <v>9496</v>
      </c>
    </row>
    <row r="1970" spans="1:12" s="58" customFormat="1" ht="14.85" customHeight="1" x14ac:dyDescent="0.25">
      <c r="A1970" s="108" t="s">
        <v>9308</v>
      </c>
      <c r="B1970" s="115" t="s">
        <v>8939</v>
      </c>
      <c r="C1970" s="115" t="s">
        <v>9338</v>
      </c>
      <c r="D1970" s="109" t="s">
        <v>10707</v>
      </c>
      <c r="E1970" s="106" t="s">
        <v>10708</v>
      </c>
      <c r="F1970" s="109" t="s">
        <v>9496</v>
      </c>
      <c r="G1970" s="115" t="s">
        <v>9324</v>
      </c>
      <c r="H1970" s="115" t="s">
        <v>9323</v>
      </c>
      <c r="I1970" s="109" t="s">
        <v>10703</v>
      </c>
      <c r="J1970" s="239" t="s">
        <v>10704</v>
      </c>
      <c r="K1970" s="109" t="s">
        <v>9440</v>
      </c>
      <c r="L1970" s="109" t="s">
        <v>9496</v>
      </c>
    </row>
    <row r="1971" spans="1:12" s="58" customFormat="1" ht="14.85" customHeight="1" x14ac:dyDescent="0.25">
      <c r="A1971" s="108" t="s">
        <v>9308</v>
      </c>
      <c r="B1971" s="115" t="s">
        <v>8939</v>
      </c>
      <c r="C1971" s="115" t="s">
        <v>9338</v>
      </c>
      <c r="D1971" s="109" t="s">
        <v>10707</v>
      </c>
      <c r="E1971" s="106" t="s">
        <v>10708</v>
      </c>
      <c r="F1971" s="109" t="s">
        <v>9496</v>
      </c>
      <c r="G1971" s="115" t="s">
        <v>9324</v>
      </c>
      <c r="H1971" s="115" t="s">
        <v>9323</v>
      </c>
      <c r="I1971" s="109" t="s">
        <v>10591</v>
      </c>
      <c r="J1971" s="239" t="s">
        <v>10592</v>
      </c>
      <c r="K1971" s="109" t="s">
        <v>9440</v>
      </c>
      <c r="L1971" s="109" t="s">
        <v>9496</v>
      </c>
    </row>
    <row r="1972" spans="1:12" s="58" customFormat="1" ht="14.85" customHeight="1" x14ac:dyDescent="0.25">
      <c r="A1972" s="108" t="s">
        <v>9308</v>
      </c>
      <c r="B1972" s="115" t="s">
        <v>8939</v>
      </c>
      <c r="C1972" s="115" t="s">
        <v>9338</v>
      </c>
      <c r="D1972" s="109" t="s">
        <v>10709</v>
      </c>
      <c r="E1972" s="106" t="s">
        <v>10710</v>
      </c>
      <c r="F1972" s="109" t="s">
        <v>9496</v>
      </c>
      <c r="G1972" s="115" t="s">
        <v>9324</v>
      </c>
      <c r="H1972" s="115" t="s">
        <v>9323</v>
      </c>
      <c r="I1972" s="109" t="s">
        <v>10577</v>
      </c>
      <c r="J1972" s="239" t="s">
        <v>10578</v>
      </c>
      <c r="K1972" s="109" t="s">
        <v>9440</v>
      </c>
      <c r="L1972" s="109" t="s">
        <v>9496</v>
      </c>
    </row>
    <row r="1973" spans="1:12" s="58" customFormat="1" ht="14.85" customHeight="1" x14ac:dyDescent="0.25">
      <c r="A1973" s="108" t="s">
        <v>9308</v>
      </c>
      <c r="B1973" s="115" t="s">
        <v>8939</v>
      </c>
      <c r="C1973" s="115" t="s">
        <v>9338</v>
      </c>
      <c r="D1973" s="109" t="s">
        <v>10709</v>
      </c>
      <c r="E1973" s="106" t="s">
        <v>10710</v>
      </c>
      <c r="F1973" s="109" t="s">
        <v>9496</v>
      </c>
      <c r="G1973" s="115" t="s">
        <v>9324</v>
      </c>
      <c r="H1973" s="115" t="s">
        <v>9323</v>
      </c>
      <c r="I1973" s="109" t="s">
        <v>10601</v>
      </c>
      <c r="J1973" s="239" t="s">
        <v>10602</v>
      </c>
      <c r="K1973" s="109" t="s">
        <v>9440</v>
      </c>
      <c r="L1973" s="109" t="s">
        <v>9496</v>
      </c>
    </row>
    <row r="1974" spans="1:12" s="58" customFormat="1" ht="14.85" customHeight="1" x14ac:dyDescent="0.25">
      <c r="A1974" s="108" t="s">
        <v>9308</v>
      </c>
      <c r="B1974" s="115" t="s">
        <v>8939</v>
      </c>
      <c r="C1974" s="115" t="s">
        <v>9338</v>
      </c>
      <c r="D1974" s="109" t="s">
        <v>10709</v>
      </c>
      <c r="E1974" s="106" t="s">
        <v>10710</v>
      </c>
      <c r="F1974" s="109" t="s">
        <v>9496</v>
      </c>
      <c r="G1974" s="115" t="s">
        <v>9324</v>
      </c>
      <c r="H1974" s="115" t="s">
        <v>9323</v>
      </c>
      <c r="I1974" s="109" t="s">
        <v>10591</v>
      </c>
      <c r="J1974" s="239" t="s">
        <v>10592</v>
      </c>
      <c r="K1974" s="109" t="s">
        <v>9440</v>
      </c>
      <c r="L1974" s="109" t="s">
        <v>9496</v>
      </c>
    </row>
    <row r="1975" spans="1:12" s="58" customFormat="1" ht="14.85" customHeight="1" x14ac:dyDescent="0.25">
      <c r="A1975" s="108" t="s">
        <v>9308</v>
      </c>
      <c r="B1975" s="115" t="s">
        <v>8939</v>
      </c>
      <c r="C1975" s="115" t="s">
        <v>9338</v>
      </c>
      <c r="D1975" s="109" t="s">
        <v>10711</v>
      </c>
      <c r="E1975" s="106" t="s">
        <v>10712</v>
      </c>
      <c r="F1975" s="109" t="s">
        <v>9496</v>
      </c>
      <c r="G1975" s="115" t="s">
        <v>9324</v>
      </c>
      <c r="H1975" s="115" t="s">
        <v>9323</v>
      </c>
      <c r="I1975" s="109" t="s">
        <v>10577</v>
      </c>
      <c r="J1975" s="239" t="s">
        <v>10578</v>
      </c>
      <c r="K1975" s="109" t="s">
        <v>9440</v>
      </c>
      <c r="L1975" s="109" t="s">
        <v>9496</v>
      </c>
    </row>
    <row r="1976" spans="1:12" s="58" customFormat="1" ht="14.85" customHeight="1" x14ac:dyDescent="0.25">
      <c r="A1976" s="108" t="s">
        <v>9308</v>
      </c>
      <c r="B1976" s="115" t="s">
        <v>8939</v>
      </c>
      <c r="C1976" s="115" t="s">
        <v>9338</v>
      </c>
      <c r="D1976" s="109" t="s">
        <v>10711</v>
      </c>
      <c r="E1976" s="106" t="s">
        <v>10712</v>
      </c>
      <c r="F1976" s="109" t="s">
        <v>9496</v>
      </c>
      <c r="G1976" s="115" t="s">
        <v>9324</v>
      </c>
      <c r="H1976" s="115" t="s">
        <v>9323</v>
      </c>
      <c r="I1976" s="109" t="s">
        <v>10601</v>
      </c>
      <c r="J1976" s="239" t="s">
        <v>10602</v>
      </c>
      <c r="K1976" s="109" t="s">
        <v>9440</v>
      </c>
      <c r="L1976" s="109" t="s">
        <v>9496</v>
      </c>
    </row>
    <row r="1977" spans="1:12" s="58" customFormat="1" ht="14.85" customHeight="1" x14ac:dyDescent="0.25">
      <c r="A1977" s="108" t="s">
        <v>9308</v>
      </c>
      <c r="B1977" s="115" t="s">
        <v>8939</v>
      </c>
      <c r="C1977" s="115" t="s">
        <v>9338</v>
      </c>
      <c r="D1977" s="109" t="s">
        <v>10711</v>
      </c>
      <c r="E1977" s="106" t="s">
        <v>10712</v>
      </c>
      <c r="F1977" s="109" t="s">
        <v>9496</v>
      </c>
      <c r="G1977" s="115" t="s">
        <v>9324</v>
      </c>
      <c r="H1977" s="115" t="s">
        <v>9323</v>
      </c>
      <c r="I1977" s="109" t="s">
        <v>10703</v>
      </c>
      <c r="J1977" s="239" t="s">
        <v>10704</v>
      </c>
      <c r="K1977" s="109" t="s">
        <v>9440</v>
      </c>
      <c r="L1977" s="109" t="s">
        <v>9496</v>
      </c>
    </row>
    <row r="1978" spans="1:12" s="58" customFormat="1" ht="14.85" customHeight="1" x14ac:dyDescent="0.25">
      <c r="A1978" s="108" t="s">
        <v>9308</v>
      </c>
      <c r="B1978" s="115" t="s">
        <v>8939</v>
      </c>
      <c r="C1978" s="115" t="s">
        <v>9338</v>
      </c>
      <c r="D1978" s="109" t="s">
        <v>10711</v>
      </c>
      <c r="E1978" s="106" t="s">
        <v>10712</v>
      </c>
      <c r="F1978" s="109" t="s">
        <v>9496</v>
      </c>
      <c r="G1978" s="115" t="s">
        <v>9324</v>
      </c>
      <c r="H1978" s="115" t="s">
        <v>9323</v>
      </c>
      <c r="I1978" s="109" t="s">
        <v>10591</v>
      </c>
      <c r="J1978" s="239" t="s">
        <v>10592</v>
      </c>
      <c r="K1978" s="109" t="s">
        <v>9440</v>
      </c>
      <c r="L1978" s="109" t="s">
        <v>9496</v>
      </c>
    </row>
    <row r="1979" spans="1:12" s="58" customFormat="1" ht="14.85" customHeight="1" x14ac:dyDescent="0.25">
      <c r="A1979" s="108" t="s">
        <v>9308</v>
      </c>
      <c r="B1979" s="115" t="s">
        <v>8939</v>
      </c>
      <c r="C1979" s="115" t="s">
        <v>9338</v>
      </c>
      <c r="D1979" s="109" t="s">
        <v>10713</v>
      </c>
      <c r="E1979" s="106" t="s">
        <v>10714</v>
      </c>
      <c r="F1979" s="109" t="s">
        <v>9496</v>
      </c>
      <c r="G1979" s="115" t="s">
        <v>9324</v>
      </c>
      <c r="H1979" s="115" t="s">
        <v>9323</v>
      </c>
      <c r="I1979" s="109" t="s">
        <v>10577</v>
      </c>
      <c r="J1979" s="239" t="s">
        <v>10578</v>
      </c>
      <c r="K1979" s="109" t="s">
        <v>9440</v>
      </c>
      <c r="L1979" s="109" t="s">
        <v>9496</v>
      </c>
    </row>
    <row r="1980" spans="1:12" s="58" customFormat="1" ht="14.85" customHeight="1" x14ac:dyDescent="0.25">
      <c r="A1980" s="108" t="s">
        <v>9308</v>
      </c>
      <c r="B1980" s="115" t="s">
        <v>8939</v>
      </c>
      <c r="C1980" s="115" t="s">
        <v>9338</v>
      </c>
      <c r="D1980" s="109" t="s">
        <v>10713</v>
      </c>
      <c r="E1980" s="106" t="s">
        <v>10714</v>
      </c>
      <c r="F1980" s="109" t="s">
        <v>9496</v>
      </c>
      <c r="G1980" s="115" t="s">
        <v>9324</v>
      </c>
      <c r="H1980" s="115" t="s">
        <v>9323</v>
      </c>
      <c r="I1980" s="109" t="s">
        <v>10591</v>
      </c>
      <c r="J1980" s="239" t="s">
        <v>10592</v>
      </c>
      <c r="K1980" s="109" t="s">
        <v>9440</v>
      </c>
      <c r="L1980" s="109" t="s">
        <v>9496</v>
      </c>
    </row>
    <row r="1981" spans="1:12" s="58" customFormat="1" ht="14.85" customHeight="1" x14ac:dyDescent="0.25">
      <c r="A1981" s="108" t="s">
        <v>9308</v>
      </c>
      <c r="B1981" s="115" t="s">
        <v>8939</v>
      </c>
      <c r="C1981" s="115" t="s">
        <v>9338</v>
      </c>
      <c r="D1981" s="109" t="s">
        <v>10715</v>
      </c>
      <c r="E1981" s="106" t="s">
        <v>10716</v>
      </c>
      <c r="F1981" s="109" t="s">
        <v>9496</v>
      </c>
      <c r="G1981" s="115" t="s">
        <v>9324</v>
      </c>
      <c r="H1981" s="115" t="s">
        <v>9324</v>
      </c>
      <c r="I1981" s="109" t="s">
        <v>10577</v>
      </c>
      <c r="J1981" s="239" t="s">
        <v>10578</v>
      </c>
      <c r="K1981" s="109" t="s">
        <v>9440</v>
      </c>
      <c r="L1981" s="109" t="s">
        <v>9496</v>
      </c>
    </row>
    <row r="1982" spans="1:12" s="58" customFormat="1" ht="14.85" customHeight="1" x14ac:dyDescent="0.25">
      <c r="A1982" s="108" t="s">
        <v>9308</v>
      </c>
      <c r="B1982" s="115" t="s">
        <v>8939</v>
      </c>
      <c r="C1982" s="115" t="s">
        <v>9338</v>
      </c>
      <c r="D1982" s="109" t="s">
        <v>10715</v>
      </c>
      <c r="E1982" s="106" t="s">
        <v>10716</v>
      </c>
      <c r="F1982" s="109" t="s">
        <v>9496</v>
      </c>
      <c r="G1982" s="115" t="s">
        <v>9324</v>
      </c>
      <c r="H1982" s="115" t="s">
        <v>9324</v>
      </c>
      <c r="I1982" s="109" t="s">
        <v>10703</v>
      </c>
      <c r="J1982" s="239" t="s">
        <v>10704</v>
      </c>
      <c r="K1982" s="109" t="s">
        <v>9440</v>
      </c>
      <c r="L1982" s="109" t="s">
        <v>9496</v>
      </c>
    </row>
    <row r="1983" spans="1:12" s="58" customFormat="1" ht="14.85" customHeight="1" x14ac:dyDescent="0.25">
      <c r="A1983" s="108" t="s">
        <v>9308</v>
      </c>
      <c r="B1983" s="115" t="s">
        <v>8939</v>
      </c>
      <c r="C1983" s="115" t="s">
        <v>9338</v>
      </c>
      <c r="D1983" s="109" t="s">
        <v>10715</v>
      </c>
      <c r="E1983" s="106" t="s">
        <v>10716</v>
      </c>
      <c r="F1983" s="109" t="s">
        <v>9496</v>
      </c>
      <c r="G1983" s="115" t="s">
        <v>9324</v>
      </c>
      <c r="H1983" s="115" t="s">
        <v>9324</v>
      </c>
      <c r="I1983" s="109" t="s">
        <v>10591</v>
      </c>
      <c r="J1983" s="239" t="s">
        <v>10592</v>
      </c>
      <c r="K1983" s="109" t="s">
        <v>9440</v>
      </c>
      <c r="L1983" s="109" t="s">
        <v>9496</v>
      </c>
    </row>
    <row r="1984" spans="1:12" s="58" customFormat="1" ht="14.85" customHeight="1" x14ac:dyDescent="0.25">
      <c r="A1984" s="108" t="s">
        <v>9308</v>
      </c>
      <c r="B1984" s="115" t="s">
        <v>8939</v>
      </c>
      <c r="C1984" s="115" t="s">
        <v>9338</v>
      </c>
      <c r="D1984" s="109" t="s">
        <v>10717</v>
      </c>
      <c r="E1984" s="106" t="s">
        <v>10718</v>
      </c>
      <c r="F1984" s="109" t="s">
        <v>9496</v>
      </c>
      <c r="G1984" s="115" t="s">
        <v>9324</v>
      </c>
      <c r="H1984" s="115" t="s">
        <v>9324</v>
      </c>
      <c r="I1984" s="109" t="s">
        <v>10577</v>
      </c>
      <c r="J1984" s="239" t="s">
        <v>10578</v>
      </c>
      <c r="K1984" s="109" t="s">
        <v>9440</v>
      </c>
      <c r="L1984" s="109" t="s">
        <v>9496</v>
      </c>
    </row>
    <row r="1985" spans="1:12" s="58" customFormat="1" ht="14.85" customHeight="1" x14ac:dyDescent="0.25">
      <c r="A1985" s="108" t="s">
        <v>9308</v>
      </c>
      <c r="B1985" s="115" t="s">
        <v>8939</v>
      </c>
      <c r="C1985" s="115" t="s">
        <v>9338</v>
      </c>
      <c r="D1985" s="109" t="s">
        <v>10717</v>
      </c>
      <c r="E1985" s="106" t="s">
        <v>10718</v>
      </c>
      <c r="F1985" s="109" t="s">
        <v>9496</v>
      </c>
      <c r="G1985" s="115" t="s">
        <v>9324</v>
      </c>
      <c r="H1985" s="115" t="s">
        <v>9324</v>
      </c>
      <c r="I1985" s="109" t="s">
        <v>10601</v>
      </c>
      <c r="J1985" s="239" t="s">
        <v>10602</v>
      </c>
      <c r="K1985" s="109" t="s">
        <v>9440</v>
      </c>
      <c r="L1985" s="109" t="s">
        <v>9496</v>
      </c>
    </row>
    <row r="1986" spans="1:12" s="58" customFormat="1" ht="14.85" customHeight="1" x14ac:dyDescent="0.25">
      <c r="A1986" s="108" t="s">
        <v>9308</v>
      </c>
      <c r="B1986" s="115" t="s">
        <v>8939</v>
      </c>
      <c r="C1986" s="115" t="s">
        <v>9338</v>
      </c>
      <c r="D1986" s="109" t="s">
        <v>10717</v>
      </c>
      <c r="E1986" s="106" t="s">
        <v>10718</v>
      </c>
      <c r="F1986" s="109" t="s">
        <v>9496</v>
      </c>
      <c r="G1986" s="115" t="s">
        <v>9324</v>
      </c>
      <c r="H1986" s="115" t="s">
        <v>9324</v>
      </c>
      <c r="I1986" s="109" t="s">
        <v>10591</v>
      </c>
      <c r="J1986" s="239" t="s">
        <v>10592</v>
      </c>
      <c r="K1986" s="109" t="s">
        <v>9440</v>
      </c>
      <c r="L1986" s="109" t="s">
        <v>9496</v>
      </c>
    </row>
    <row r="1987" spans="1:12" s="58" customFormat="1" ht="14.85" customHeight="1" x14ac:dyDescent="0.25">
      <c r="A1987" s="108" t="s">
        <v>9308</v>
      </c>
      <c r="B1987" s="115" t="s">
        <v>8939</v>
      </c>
      <c r="C1987" s="115" t="s">
        <v>9338</v>
      </c>
      <c r="D1987" s="109" t="s">
        <v>10719</v>
      </c>
      <c r="E1987" s="106" t="s">
        <v>10720</v>
      </c>
      <c r="F1987" s="109" t="s">
        <v>9496</v>
      </c>
      <c r="G1987" s="115" t="s">
        <v>9324</v>
      </c>
      <c r="H1987" s="115" t="s">
        <v>9323</v>
      </c>
      <c r="I1987" s="109" t="s">
        <v>10577</v>
      </c>
      <c r="J1987" s="239" t="s">
        <v>10578</v>
      </c>
      <c r="K1987" s="109" t="s">
        <v>9440</v>
      </c>
      <c r="L1987" s="109" t="s">
        <v>9496</v>
      </c>
    </row>
    <row r="1988" spans="1:12" s="58" customFormat="1" ht="14.85" customHeight="1" x14ac:dyDescent="0.25">
      <c r="A1988" s="108" t="s">
        <v>9308</v>
      </c>
      <c r="B1988" s="115" t="s">
        <v>8939</v>
      </c>
      <c r="C1988" s="115" t="s">
        <v>9338</v>
      </c>
      <c r="D1988" s="109" t="s">
        <v>10719</v>
      </c>
      <c r="E1988" s="106" t="s">
        <v>10720</v>
      </c>
      <c r="F1988" s="109" t="s">
        <v>9496</v>
      </c>
      <c r="G1988" s="115" t="s">
        <v>9324</v>
      </c>
      <c r="H1988" s="115" t="s">
        <v>9323</v>
      </c>
      <c r="I1988" s="109" t="s">
        <v>10601</v>
      </c>
      <c r="J1988" s="239" t="s">
        <v>10602</v>
      </c>
      <c r="K1988" s="109" t="s">
        <v>9440</v>
      </c>
      <c r="L1988" s="109" t="s">
        <v>9496</v>
      </c>
    </row>
    <row r="1989" spans="1:12" s="58" customFormat="1" ht="14.85" customHeight="1" x14ac:dyDescent="0.25">
      <c r="A1989" s="108" t="s">
        <v>9308</v>
      </c>
      <c r="B1989" s="115" t="s">
        <v>8939</v>
      </c>
      <c r="C1989" s="115" t="s">
        <v>9338</v>
      </c>
      <c r="D1989" s="109" t="s">
        <v>10719</v>
      </c>
      <c r="E1989" s="106" t="s">
        <v>10720</v>
      </c>
      <c r="F1989" s="109" t="s">
        <v>9496</v>
      </c>
      <c r="G1989" s="115" t="s">
        <v>9324</v>
      </c>
      <c r="H1989" s="115" t="s">
        <v>9323</v>
      </c>
      <c r="I1989" s="109" t="s">
        <v>10332</v>
      </c>
      <c r="J1989" s="239" t="s">
        <v>10333</v>
      </c>
      <c r="K1989" s="109" t="s">
        <v>9440</v>
      </c>
      <c r="L1989" s="109" t="s">
        <v>9496</v>
      </c>
    </row>
    <row r="1990" spans="1:12" s="58" customFormat="1" ht="14.85" customHeight="1" x14ac:dyDescent="0.25">
      <c r="A1990" s="108" t="s">
        <v>9308</v>
      </c>
      <c r="B1990" s="115" t="s">
        <v>8939</v>
      </c>
      <c r="C1990" s="115" t="s">
        <v>9338</v>
      </c>
      <c r="D1990" s="109" t="s">
        <v>10719</v>
      </c>
      <c r="E1990" s="106" t="s">
        <v>10720</v>
      </c>
      <c r="F1990" s="109" t="s">
        <v>9496</v>
      </c>
      <c r="G1990" s="115" t="s">
        <v>9324</v>
      </c>
      <c r="H1990" s="115" t="s">
        <v>9323</v>
      </c>
      <c r="I1990" s="109" t="s">
        <v>10591</v>
      </c>
      <c r="J1990" s="239" t="s">
        <v>10592</v>
      </c>
      <c r="K1990" s="109" t="s">
        <v>9440</v>
      </c>
      <c r="L1990" s="109" t="s">
        <v>9496</v>
      </c>
    </row>
    <row r="1991" spans="1:12" s="58" customFormat="1" ht="14.85" customHeight="1" x14ac:dyDescent="0.25">
      <c r="A1991" s="108" t="s">
        <v>9308</v>
      </c>
      <c r="B1991" s="115" t="s">
        <v>8939</v>
      </c>
      <c r="C1991" s="115" t="s">
        <v>9338</v>
      </c>
      <c r="D1991" s="109" t="s">
        <v>10721</v>
      </c>
      <c r="E1991" s="106" t="s">
        <v>10722</v>
      </c>
      <c r="F1991" s="109" t="s">
        <v>9496</v>
      </c>
      <c r="G1991" s="115" t="s">
        <v>9324</v>
      </c>
      <c r="H1991" s="115" t="s">
        <v>9324</v>
      </c>
      <c r="I1991" s="109" t="s">
        <v>10577</v>
      </c>
      <c r="J1991" s="239" t="s">
        <v>10578</v>
      </c>
      <c r="K1991" s="109" t="s">
        <v>9440</v>
      </c>
      <c r="L1991" s="109" t="s">
        <v>9496</v>
      </c>
    </row>
    <row r="1992" spans="1:12" s="58" customFormat="1" ht="14.85" customHeight="1" x14ac:dyDescent="0.25">
      <c r="A1992" s="108" t="s">
        <v>9308</v>
      </c>
      <c r="B1992" s="115" t="s">
        <v>8939</v>
      </c>
      <c r="C1992" s="115" t="s">
        <v>9338</v>
      </c>
      <c r="D1992" s="109" t="s">
        <v>10721</v>
      </c>
      <c r="E1992" s="106" t="s">
        <v>10722</v>
      </c>
      <c r="F1992" s="109" t="s">
        <v>9496</v>
      </c>
      <c r="G1992" s="115" t="s">
        <v>9324</v>
      </c>
      <c r="H1992" s="115" t="s">
        <v>9324</v>
      </c>
      <c r="I1992" s="109" t="s">
        <v>10332</v>
      </c>
      <c r="J1992" s="239" t="s">
        <v>10333</v>
      </c>
      <c r="K1992" s="109" t="s">
        <v>9440</v>
      </c>
      <c r="L1992" s="109" t="s">
        <v>9496</v>
      </c>
    </row>
    <row r="1993" spans="1:12" s="58" customFormat="1" ht="14.85" customHeight="1" x14ac:dyDescent="0.25">
      <c r="A1993" s="108" t="s">
        <v>9308</v>
      </c>
      <c r="B1993" s="115" t="s">
        <v>8939</v>
      </c>
      <c r="C1993" s="115" t="s">
        <v>9338</v>
      </c>
      <c r="D1993" s="109" t="s">
        <v>10721</v>
      </c>
      <c r="E1993" s="106" t="s">
        <v>10722</v>
      </c>
      <c r="F1993" s="109" t="s">
        <v>9496</v>
      </c>
      <c r="G1993" s="115" t="s">
        <v>9324</v>
      </c>
      <c r="H1993" s="115" t="s">
        <v>9324</v>
      </c>
      <c r="I1993" s="109" t="s">
        <v>10591</v>
      </c>
      <c r="J1993" s="239" t="s">
        <v>10592</v>
      </c>
      <c r="K1993" s="109" t="s">
        <v>9440</v>
      </c>
      <c r="L1993" s="109" t="s">
        <v>9496</v>
      </c>
    </row>
    <row r="1994" spans="1:12" s="58" customFormat="1" ht="14.85" customHeight="1" x14ac:dyDescent="0.25">
      <c r="A1994" s="108" t="s">
        <v>9308</v>
      </c>
      <c r="B1994" s="115" t="s">
        <v>8939</v>
      </c>
      <c r="C1994" s="115" t="s">
        <v>9338</v>
      </c>
      <c r="D1994" s="109" t="s">
        <v>10723</v>
      </c>
      <c r="E1994" s="106" t="s">
        <v>10724</v>
      </c>
      <c r="F1994" s="109" t="s">
        <v>9496</v>
      </c>
      <c r="G1994" s="115" t="s">
        <v>9324</v>
      </c>
      <c r="H1994" s="115" t="s">
        <v>9323</v>
      </c>
      <c r="I1994" s="109" t="s">
        <v>10577</v>
      </c>
      <c r="J1994" s="239" t="s">
        <v>10578</v>
      </c>
      <c r="K1994" s="109" t="s">
        <v>9440</v>
      </c>
      <c r="L1994" s="109" t="s">
        <v>9496</v>
      </c>
    </row>
    <row r="1995" spans="1:12" s="58" customFormat="1" ht="14.85" customHeight="1" x14ac:dyDescent="0.25">
      <c r="A1995" s="108" t="s">
        <v>9308</v>
      </c>
      <c r="B1995" s="115" t="s">
        <v>8939</v>
      </c>
      <c r="C1995" s="115" t="s">
        <v>9338</v>
      </c>
      <c r="D1995" s="109" t="s">
        <v>10723</v>
      </c>
      <c r="E1995" s="106" t="s">
        <v>10724</v>
      </c>
      <c r="F1995" s="109" t="s">
        <v>9496</v>
      </c>
      <c r="G1995" s="115" t="s">
        <v>9324</v>
      </c>
      <c r="H1995" s="115" t="s">
        <v>9323</v>
      </c>
      <c r="I1995" s="109" t="s">
        <v>10601</v>
      </c>
      <c r="J1995" s="239" t="s">
        <v>10602</v>
      </c>
      <c r="K1995" s="109" t="s">
        <v>9440</v>
      </c>
      <c r="L1995" s="109" t="s">
        <v>9496</v>
      </c>
    </row>
    <row r="1996" spans="1:12" s="58" customFormat="1" ht="14.85" customHeight="1" x14ac:dyDescent="0.25">
      <c r="A1996" s="108" t="s">
        <v>9308</v>
      </c>
      <c r="B1996" s="115" t="s">
        <v>8939</v>
      </c>
      <c r="C1996" s="115" t="s">
        <v>9338</v>
      </c>
      <c r="D1996" s="109" t="s">
        <v>10723</v>
      </c>
      <c r="E1996" s="106" t="s">
        <v>10724</v>
      </c>
      <c r="F1996" s="109" t="s">
        <v>9496</v>
      </c>
      <c r="G1996" s="115" t="s">
        <v>9324</v>
      </c>
      <c r="H1996" s="115" t="s">
        <v>9323</v>
      </c>
      <c r="I1996" s="109" t="s">
        <v>10703</v>
      </c>
      <c r="J1996" s="239" t="s">
        <v>10704</v>
      </c>
      <c r="K1996" s="109" t="s">
        <v>9440</v>
      </c>
      <c r="L1996" s="109" t="s">
        <v>9496</v>
      </c>
    </row>
    <row r="1997" spans="1:12" s="58" customFormat="1" ht="14.85" customHeight="1" x14ac:dyDescent="0.25">
      <c r="A1997" s="108" t="s">
        <v>9308</v>
      </c>
      <c r="B1997" s="115" t="s">
        <v>8939</v>
      </c>
      <c r="C1997" s="115" t="s">
        <v>9338</v>
      </c>
      <c r="D1997" s="109" t="s">
        <v>10723</v>
      </c>
      <c r="E1997" s="106" t="s">
        <v>10724</v>
      </c>
      <c r="F1997" s="109" t="s">
        <v>9496</v>
      </c>
      <c r="G1997" s="115" t="s">
        <v>9324</v>
      </c>
      <c r="H1997" s="115" t="s">
        <v>9323</v>
      </c>
      <c r="I1997" s="109" t="s">
        <v>10591</v>
      </c>
      <c r="J1997" s="239" t="s">
        <v>10592</v>
      </c>
      <c r="K1997" s="109" t="s">
        <v>9440</v>
      </c>
      <c r="L1997" s="109" t="s">
        <v>9496</v>
      </c>
    </row>
    <row r="1998" spans="1:12" s="58" customFormat="1" ht="14.85" customHeight="1" x14ac:dyDescent="0.25">
      <c r="A1998" s="108" t="s">
        <v>9308</v>
      </c>
      <c r="B1998" s="115" t="s">
        <v>8939</v>
      </c>
      <c r="C1998" s="115" t="s">
        <v>9338</v>
      </c>
      <c r="D1998" s="109" t="s">
        <v>10725</v>
      </c>
      <c r="E1998" s="106" t="s">
        <v>10726</v>
      </c>
      <c r="F1998" s="109" t="s">
        <v>9496</v>
      </c>
      <c r="G1998" s="115" t="s">
        <v>9324</v>
      </c>
      <c r="H1998" s="115" t="s">
        <v>9323</v>
      </c>
      <c r="I1998" s="109" t="s">
        <v>10577</v>
      </c>
      <c r="J1998" s="239" t="s">
        <v>10578</v>
      </c>
      <c r="K1998" s="109" t="s">
        <v>9440</v>
      </c>
      <c r="L1998" s="109" t="s">
        <v>9496</v>
      </c>
    </row>
    <row r="1999" spans="1:12" s="58" customFormat="1" ht="14.85" customHeight="1" x14ac:dyDescent="0.25">
      <c r="A1999" s="108" t="s">
        <v>9308</v>
      </c>
      <c r="B1999" s="115" t="s">
        <v>8939</v>
      </c>
      <c r="C1999" s="115" t="s">
        <v>9338</v>
      </c>
      <c r="D1999" s="109" t="s">
        <v>10725</v>
      </c>
      <c r="E1999" s="106" t="s">
        <v>10726</v>
      </c>
      <c r="F1999" s="109" t="s">
        <v>9496</v>
      </c>
      <c r="G1999" s="115" t="s">
        <v>9324</v>
      </c>
      <c r="H1999" s="115" t="s">
        <v>9323</v>
      </c>
      <c r="I1999" s="109" t="s">
        <v>10332</v>
      </c>
      <c r="J1999" s="239" t="s">
        <v>10333</v>
      </c>
      <c r="K1999" s="109" t="s">
        <v>9440</v>
      </c>
      <c r="L1999" s="109" t="s">
        <v>9496</v>
      </c>
    </row>
    <row r="2000" spans="1:12" s="58" customFormat="1" ht="14.85" customHeight="1" x14ac:dyDescent="0.25">
      <c r="A2000" s="108" t="s">
        <v>9308</v>
      </c>
      <c r="B2000" s="115" t="s">
        <v>8939</v>
      </c>
      <c r="C2000" s="115" t="s">
        <v>9338</v>
      </c>
      <c r="D2000" s="109" t="s">
        <v>10725</v>
      </c>
      <c r="E2000" s="106" t="s">
        <v>10726</v>
      </c>
      <c r="F2000" s="109" t="s">
        <v>9496</v>
      </c>
      <c r="G2000" s="115" t="s">
        <v>9324</v>
      </c>
      <c r="H2000" s="115" t="s">
        <v>9323</v>
      </c>
      <c r="I2000" s="109" t="s">
        <v>10591</v>
      </c>
      <c r="J2000" s="239" t="s">
        <v>10592</v>
      </c>
      <c r="K2000" s="109" t="s">
        <v>9440</v>
      </c>
      <c r="L2000" s="109" t="s">
        <v>9496</v>
      </c>
    </row>
    <row r="2001" spans="1:12" s="58" customFormat="1" ht="14.85" customHeight="1" x14ac:dyDescent="0.25">
      <c r="A2001" s="108" t="s">
        <v>9308</v>
      </c>
      <c r="B2001" s="115" t="s">
        <v>8939</v>
      </c>
      <c r="C2001" s="115" t="s">
        <v>9338</v>
      </c>
      <c r="D2001" s="109" t="s">
        <v>10727</v>
      </c>
      <c r="E2001" s="106" t="s">
        <v>10728</v>
      </c>
      <c r="F2001" s="109" t="s">
        <v>9496</v>
      </c>
      <c r="G2001" s="115" t="s">
        <v>9324</v>
      </c>
      <c r="H2001" s="115" t="s">
        <v>9323</v>
      </c>
      <c r="I2001" s="109" t="s">
        <v>10090</v>
      </c>
      <c r="J2001" s="239" t="s">
        <v>10091</v>
      </c>
      <c r="K2001" s="109" t="s">
        <v>9440</v>
      </c>
      <c r="L2001" s="109" t="s">
        <v>9496</v>
      </c>
    </row>
    <row r="2002" spans="1:12" s="58" customFormat="1" ht="14.85" customHeight="1" x14ac:dyDescent="0.25">
      <c r="A2002" s="108" t="s">
        <v>9308</v>
      </c>
      <c r="B2002" s="115" t="s">
        <v>8939</v>
      </c>
      <c r="C2002" s="115" t="s">
        <v>9338</v>
      </c>
      <c r="D2002" s="109" t="s">
        <v>10727</v>
      </c>
      <c r="E2002" s="106" t="s">
        <v>10728</v>
      </c>
      <c r="F2002" s="109" t="s">
        <v>9496</v>
      </c>
      <c r="G2002" s="115" t="s">
        <v>9324</v>
      </c>
      <c r="H2002" s="115" t="s">
        <v>9323</v>
      </c>
      <c r="I2002" s="109" t="s">
        <v>10577</v>
      </c>
      <c r="J2002" s="239" t="s">
        <v>10578</v>
      </c>
      <c r="K2002" s="109" t="s">
        <v>9440</v>
      </c>
      <c r="L2002" s="109" t="s">
        <v>9496</v>
      </c>
    </row>
    <row r="2003" spans="1:12" s="58" customFormat="1" ht="14.85" customHeight="1" x14ac:dyDescent="0.25">
      <c r="A2003" s="108" t="s">
        <v>9308</v>
      </c>
      <c r="B2003" s="115" t="s">
        <v>8939</v>
      </c>
      <c r="C2003" s="115" t="s">
        <v>9338</v>
      </c>
      <c r="D2003" s="109" t="s">
        <v>10727</v>
      </c>
      <c r="E2003" s="106" t="s">
        <v>10728</v>
      </c>
      <c r="F2003" s="109" t="s">
        <v>9496</v>
      </c>
      <c r="G2003" s="115" t="s">
        <v>9324</v>
      </c>
      <c r="H2003" s="115" t="s">
        <v>9323</v>
      </c>
      <c r="I2003" s="109" t="s">
        <v>10601</v>
      </c>
      <c r="J2003" s="239" t="s">
        <v>10602</v>
      </c>
      <c r="K2003" s="109" t="s">
        <v>9440</v>
      </c>
      <c r="L2003" s="109" t="s">
        <v>9496</v>
      </c>
    </row>
    <row r="2004" spans="1:12" s="58" customFormat="1" ht="14.85" customHeight="1" x14ac:dyDescent="0.25">
      <c r="A2004" s="108" t="s">
        <v>9308</v>
      </c>
      <c r="B2004" s="115" t="s">
        <v>8939</v>
      </c>
      <c r="C2004" s="115" t="s">
        <v>9338</v>
      </c>
      <c r="D2004" s="109" t="s">
        <v>10727</v>
      </c>
      <c r="E2004" s="106" t="s">
        <v>10728</v>
      </c>
      <c r="F2004" s="109" t="s">
        <v>9496</v>
      </c>
      <c r="G2004" s="115" t="s">
        <v>9324</v>
      </c>
      <c r="H2004" s="115" t="s">
        <v>9323</v>
      </c>
      <c r="I2004" s="109" t="s">
        <v>10092</v>
      </c>
      <c r="J2004" s="239" t="s">
        <v>10093</v>
      </c>
      <c r="K2004" s="109" t="s">
        <v>9440</v>
      </c>
      <c r="L2004" s="109" t="s">
        <v>9496</v>
      </c>
    </row>
    <row r="2005" spans="1:12" s="58" customFormat="1" ht="14.85" customHeight="1" x14ac:dyDescent="0.25">
      <c r="A2005" s="108" t="s">
        <v>9308</v>
      </c>
      <c r="B2005" s="115" t="s">
        <v>8939</v>
      </c>
      <c r="C2005" s="115" t="s">
        <v>9338</v>
      </c>
      <c r="D2005" s="109" t="s">
        <v>10727</v>
      </c>
      <c r="E2005" s="106" t="s">
        <v>10728</v>
      </c>
      <c r="F2005" s="109" t="s">
        <v>9496</v>
      </c>
      <c r="G2005" s="115" t="s">
        <v>9324</v>
      </c>
      <c r="H2005" s="115" t="s">
        <v>9323</v>
      </c>
      <c r="I2005" s="109" t="s">
        <v>10591</v>
      </c>
      <c r="J2005" s="239" t="s">
        <v>10592</v>
      </c>
      <c r="K2005" s="109" t="s">
        <v>9440</v>
      </c>
      <c r="L2005" s="109" t="s">
        <v>9496</v>
      </c>
    </row>
    <row r="2006" spans="1:12" s="58" customFormat="1" ht="14.85" customHeight="1" x14ac:dyDescent="0.25">
      <c r="A2006" s="108" t="s">
        <v>9308</v>
      </c>
      <c r="B2006" s="115" t="s">
        <v>8939</v>
      </c>
      <c r="C2006" s="115" t="s">
        <v>9338</v>
      </c>
      <c r="D2006" s="109" t="s">
        <v>10729</v>
      </c>
      <c r="E2006" s="106" t="s">
        <v>10730</v>
      </c>
      <c r="F2006" s="109" t="s">
        <v>9496</v>
      </c>
      <c r="G2006" s="115" t="s">
        <v>9324</v>
      </c>
      <c r="H2006" s="115" t="s">
        <v>9323</v>
      </c>
      <c r="I2006" s="109" t="s">
        <v>10090</v>
      </c>
      <c r="J2006" s="239" t="s">
        <v>10091</v>
      </c>
      <c r="K2006" s="109" t="s">
        <v>9440</v>
      </c>
      <c r="L2006" s="109" t="s">
        <v>9496</v>
      </c>
    </row>
    <row r="2007" spans="1:12" s="58" customFormat="1" ht="14.85" customHeight="1" x14ac:dyDescent="0.25">
      <c r="A2007" s="108" t="s">
        <v>9308</v>
      </c>
      <c r="B2007" s="115" t="s">
        <v>8939</v>
      </c>
      <c r="C2007" s="115" t="s">
        <v>9338</v>
      </c>
      <c r="D2007" s="109" t="s">
        <v>10729</v>
      </c>
      <c r="E2007" s="106" t="s">
        <v>10730</v>
      </c>
      <c r="F2007" s="109" t="s">
        <v>9496</v>
      </c>
      <c r="G2007" s="115" t="s">
        <v>9324</v>
      </c>
      <c r="H2007" s="115" t="s">
        <v>9323</v>
      </c>
      <c r="I2007" s="109" t="s">
        <v>10577</v>
      </c>
      <c r="J2007" s="239" t="s">
        <v>10578</v>
      </c>
      <c r="K2007" s="109" t="s">
        <v>9440</v>
      </c>
      <c r="L2007" s="109" t="s">
        <v>9496</v>
      </c>
    </row>
    <row r="2008" spans="1:12" s="58" customFormat="1" ht="14.85" customHeight="1" x14ac:dyDescent="0.25">
      <c r="A2008" s="108" t="s">
        <v>9308</v>
      </c>
      <c r="B2008" s="115" t="s">
        <v>8939</v>
      </c>
      <c r="C2008" s="115" t="s">
        <v>9338</v>
      </c>
      <c r="D2008" s="109" t="s">
        <v>10729</v>
      </c>
      <c r="E2008" s="106" t="s">
        <v>10730</v>
      </c>
      <c r="F2008" s="109" t="s">
        <v>9496</v>
      </c>
      <c r="G2008" s="115" t="s">
        <v>9324</v>
      </c>
      <c r="H2008" s="115" t="s">
        <v>9323</v>
      </c>
      <c r="I2008" s="109" t="s">
        <v>10703</v>
      </c>
      <c r="J2008" s="239" t="s">
        <v>10704</v>
      </c>
      <c r="K2008" s="109" t="s">
        <v>9440</v>
      </c>
      <c r="L2008" s="109" t="s">
        <v>9496</v>
      </c>
    </row>
    <row r="2009" spans="1:12" s="58" customFormat="1" ht="14.85" customHeight="1" x14ac:dyDescent="0.25">
      <c r="A2009" s="108" t="s">
        <v>9308</v>
      </c>
      <c r="B2009" s="115" t="s">
        <v>8939</v>
      </c>
      <c r="C2009" s="115" t="s">
        <v>9338</v>
      </c>
      <c r="D2009" s="109" t="s">
        <v>10729</v>
      </c>
      <c r="E2009" s="106" t="s">
        <v>10730</v>
      </c>
      <c r="F2009" s="109" t="s">
        <v>9496</v>
      </c>
      <c r="G2009" s="115" t="s">
        <v>9324</v>
      </c>
      <c r="H2009" s="115" t="s">
        <v>9323</v>
      </c>
      <c r="I2009" s="109" t="s">
        <v>10092</v>
      </c>
      <c r="J2009" s="239" t="s">
        <v>10093</v>
      </c>
      <c r="K2009" s="109" t="s">
        <v>9440</v>
      </c>
      <c r="L2009" s="109" t="s">
        <v>9496</v>
      </c>
    </row>
    <row r="2010" spans="1:12" s="58" customFormat="1" ht="14.85" customHeight="1" x14ac:dyDescent="0.25">
      <c r="A2010" s="108" t="s">
        <v>9308</v>
      </c>
      <c r="B2010" s="115" t="s">
        <v>8939</v>
      </c>
      <c r="C2010" s="115" t="s">
        <v>9338</v>
      </c>
      <c r="D2010" s="109" t="s">
        <v>10729</v>
      </c>
      <c r="E2010" s="106" t="s">
        <v>10730</v>
      </c>
      <c r="F2010" s="109" t="s">
        <v>9496</v>
      </c>
      <c r="G2010" s="115" t="s">
        <v>9324</v>
      </c>
      <c r="H2010" s="115" t="s">
        <v>9323</v>
      </c>
      <c r="I2010" s="109" t="s">
        <v>10591</v>
      </c>
      <c r="J2010" s="239" t="s">
        <v>10592</v>
      </c>
      <c r="K2010" s="109" t="s">
        <v>9440</v>
      </c>
      <c r="L2010" s="109" t="s">
        <v>9496</v>
      </c>
    </row>
    <row r="2011" spans="1:12" s="58" customFormat="1" ht="14.85" customHeight="1" x14ac:dyDescent="0.25">
      <c r="A2011" s="108" t="s">
        <v>9308</v>
      </c>
      <c r="B2011" s="115" t="s">
        <v>8939</v>
      </c>
      <c r="C2011" s="115" t="s">
        <v>9338</v>
      </c>
      <c r="D2011" s="109" t="s">
        <v>10731</v>
      </c>
      <c r="E2011" s="106" t="s">
        <v>10732</v>
      </c>
      <c r="F2011" s="109" t="s">
        <v>9496</v>
      </c>
      <c r="G2011" s="115" t="s">
        <v>9324</v>
      </c>
      <c r="H2011" s="115" t="s">
        <v>9323</v>
      </c>
      <c r="I2011" s="109" t="s">
        <v>10090</v>
      </c>
      <c r="J2011" s="239" t="s">
        <v>10091</v>
      </c>
      <c r="K2011" s="109" t="s">
        <v>9440</v>
      </c>
      <c r="L2011" s="109" t="s">
        <v>9496</v>
      </c>
    </row>
    <row r="2012" spans="1:12" s="58" customFormat="1" ht="14.85" customHeight="1" x14ac:dyDescent="0.25">
      <c r="A2012" s="108" t="s">
        <v>9308</v>
      </c>
      <c r="B2012" s="115" t="s">
        <v>8939</v>
      </c>
      <c r="C2012" s="115" t="s">
        <v>9338</v>
      </c>
      <c r="D2012" s="109" t="s">
        <v>10731</v>
      </c>
      <c r="E2012" s="106" t="s">
        <v>10732</v>
      </c>
      <c r="F2012" s="109" t="s">
        <v>9496</v>
      </c>
      <c r="G2012" s="115" t="s">
        <v>9324</v>
      </c>
      <c r="H2012" s="115" t="s">
        <v>9323</v>
      </c>
      <c r="I2012" s="109" t="s">
        <v>10577</v>
      </c>
      <c r="J2012" s="239" t="s">
        <v>10578</v>
      </c>
      <c r="K2012" s="109" t="s">
        <v>9440</v>
      </c>
      <c r="L2012" s="109" t="s">
        <v>9496</v>
      </c>
    </row>
    <row r="2013" spans="1:12" s="58" customFormat="1" ht="14.85" customHeight="1" x14ac:dyDescent="0.25">
      <c r="A2013" s="108" t="s">
        <v>9308</v>
      </c>
      <c r="B2013" s="115" t="s">
        <v>8939</v>
      </c>
      <c r="C2013" s="115" t="s">
        <v>9338</v>
      </c>
      <c r="D2013" s="109" t="s">
        <v>10731</v>
      </c>
      <c r="E2013" s="106" t="s">
        <v>10732</v>
      </c>
      <c r="F2013" s="109" t="s">
        <v>9496</v>
      </c>
      <c r="G2013" s="115" t="s">
        <v>9324</v>
      </c>
      <c r="H2013" s="115" t="s">
        <v>9323</v>
      </c>
      <c r="I2013" s="109" t="s">
        <v>10332</v>
      </c>
      <c r="J2013" s="239" t="s">
        <v>10333</v>
      </c>
      <c r="K2013" s="109" t="s">
        <v>9440</v>
      </c>
      <c r="L2013" s="109" t="s">
        <v>9496</v>
      </c>
    </row>
    <row r="2014" spans="1:12" s="58" customFormat="1" ht="14.85" customHeight="1" x14ac:dyDescent="0.25">
      <c r="A2014" s="108" t="s">
        <v>9308</v>
      </c>
      <c r="B2014" s="115" t="s">
        <v>8939</v>
      </c>
      <c r="C2014" s="115" t="s">
        <v>9338</v>
      </c>
      <c r="D2014" s="109" t="s">
        <v>10731</v>
      </c>
      <c r="E2014" s="106" t="s">
        <v>10732</v>
      </c>
      <c r="F2014" s="109" t="s">
        <v>9496</v>
      </c>
      <c r="G2014" s="115" t="s">
        <v>9324</v>
      </c>
      <c r="H2014" s="115" t="s">
        <v>9323</v>
      </c>
      <c r="I2014" s="109" t="s">
        <v>10092</v>
      </c>
      <c r="J2014" s="239" t="s">
        <v>10093</v>
      </c>
      <c r="K2014" s="109" t="s">
        <v>9440</v>
      </c>
      <c r="L2014" s="109" t="s">
        <v>9496</v>
      </c>
    </row>
    <row r="2015" spans="1:12" s="58" customFormat="1" ht="14.85" customHeight="1" x14ac:dyDescent="0.25">
      <c r="A2015" s="108" t="s">
        <v>9308</v>
      </c>
      <c r="B2015" s="115" t="s">
        <v>8939</v>
      </c>
      <c r="C2015" s="115" t="s">
        <v>9338</v>
      </c>
      <c r="D2015" s="109" t="s">
        <v>10731</v>
      </c>
      <c r="E2015" s="106" t="s">
        <v>10732</v>
      </c>
      <c r="F2015" s="109" t="s">
        <v>9496</v>
      </c>
      <c r="G2015" s="115" t="s">
        <v>9324</v>
      </c>
      <c r="H2015" s="115" t="s">
        <v>9323</v>
      </c>
      <c r="I2015" s="109" t="s">
        <v>10591</v>
      </c>
      <c r="J2015" s="239" t="s">
        <v>10592</v>
      </c>
      <c r="K2015" s="109" t="s">
        <v>9440</v>
      </c>
      <c r="L2015" s="109" t="s">
        <v>9496</v>
      </c>
    </row>
    <row r="2016" spans="1:12" s="58" customFormat="1" ht="14.85" customHeight="1" x14ac:dyDescent="0.25">
      <c r="A2016" s="108" t="s">
        <v>9308</v>
      </c>
      <c r="B2016" s="115" t="s">
        <v>8939</v>
      </c>
      <c r="C2016" s="115" t="s">
        <v>9338</v>
      </c>
      <c r="D2016" s="109" t="s">
        <v>10733</v>
      </c>
      <c r="E2016" s="106" t="s">
        <v>10734</v>
      </c>
      <c r="F2016" s="109" t="s">
        <v>9496</v>
      </c>
      <c r="G2016" s="115" t="s">
        <v>9324</v>
      </c>
      <c r="H2016" s="115" t="s">
        <v>9323</v>
      </c>
      <c r="I2016" s="109" t="s">
        <v>10571</v>
      </c>
      <c r="J2016" s="239" t="s">
        <v>10572</v>
      </c>
      <c r="K2016" s="109" t="s">
        <v>9440</v>
      </c>
      <c r="L2016" s="109" t="s">
        <v>9496</v>
      </c>
    </row>
    <row r="2017" spans="1:12" s="58" customFormat="1" ht="14.85" customHeight="1" x14ac:dyDescent="0.25">
      <c r="A2017" s="108" t="s">
        <v>9308</v>
      </c>
      <c r="B2017" s="115" t="s">
        <v>8939</v>
      </c>
      <c r="C2017" s="115" t="s">
        <v>9338</v>
      </c>
      <c r="D2017" s="109" t="s">
        <v>10733</v>
      </c>
      <c r="E2017" s="106" t="s">
        <v>10734</v>
      </c>
      <c r="F2017" s="109" t="s">
        <v>9496</v>
      </c>
      <c r="G2017" s="115" t="s">
        <v>9324</v>
      </c>
      <c r="H2017" s="115" t="s">
        <v>9323</v>
      </c>
      <c r="I2017" s="109" t="s">
        <v>10579</v>
      </c>
      <c r="J2017" s="239" t="s">
        <v>10580</v>
      </c>
      <c r="K2017" s="109" t="s">
        <v>9440</v>
      </c>
      <c r="L2017" s="109" t="s">
        <v>9496</v>
      </c>
    </row>
    <row r="2018" spans="1:12" s="58" customFormat="1" ht="14.85" customHeight="1" x14ac:dyDescent="0.25">
      <c r="A2018" s="108" t="s">
        <v>9308</v>
      </c>
      <c r="B2018" s="115" t="s">
        <v>8939</v>
      </c>
      <c r="C2018" s="115" t="s">
        <v>9338</v>
      </c>
      <c r="D2018" s="109" t="s">
        <v>10733</v>
      </c>
      <c r="E2018" s="106" t="s">
        <v>10734</v>
      </c>
      <c r="F2018" s="109" t="s">
        <v>9496</v>
      </c>
      <c r="G2018" s="115" t="s">
        <v>9324</v>
      </c>
      <c r="H2018" s="115" t="s">
        <v>9323</v>
      </c>
      <c r="I2018" s="109" t="s">
        <v>10585</v>
      </c>
      <c r="J2018" s="239" t="s">
        <v>10586</v>
      </c>
      <c r="K2018" s="109" t="s">
        <v>9440</v>
      </c>
      <c r="L2018" s="109" t="s">
        <v>9496</v>
      </c>
    </row>
    <row r="2019" spans="1:12" s="58" customFormat="1" ht="14.85" customHeight="1" x14ac:dyDescent="0.25">
      <c r="A2019" s="108" t="s">
        <v>9308</v>
      </c>
      <c r="B2019" s="115" t="s">
        <v>8939</v>
      </c>
      <c r="C2019" s="115" t="s">
        <v>9338</v>
      </c>
      <c r="D2019" s="109" t="s">
        <v>10733</v>
      </c>
      <c r="E2019" s="106" t="s">
        <v>10734</v>
      </c>
      <c r="F2019" s="109" t="s">
        <v>9496</v>
      </c>
      <c r="G2019" s="115" t="s">
        <v>9324</v>
      </c>
      <c r="H2019" s="115" t="s">
        <v>9323</v>
      </c>
      <c r="I2019" s="109" t="s">
        <v>10587</v>
      </c>
      <c r="J2019" s="239" t="s">
        <v>10588</v>
      </c>
      <c r="K2019" s="109" t="s">
        <v>9440</v>
      </c>
      <c r="L2019" s="109" t="s">
        <v>9496</v>
      </c>
    </row>
    <row r="2020" spans="1:12" s="58" customFormat="1" ht="14.85" customHeight="1" x14ac:dyDescent="0.25">
      <c r="A2020" s="108" t="s">
        <v>9308</v>
      </c>
      <c r="B2020" s="115" t="s">
        <v>8939</v>
      </c>
      <c r="C2020" s="115" t="s">
        <v>9338</v>
      </c>
      <c r="D2020" s="109" t="s">
        <v>10733</v>
      </c>
      <c r="E2020" s="106" t="s">
        <v>10734</v>
      </c>
      <c r="F2020" s="109" t="s">
        <v>9496</v>
      </c>
      <c r="G2020" s="115" t="s">
        <v>9324</v>
      </c>
      <c r="H2020" s="115" t="s">
        <v>9323</v>
      </c>
      <c r="I2020" s="109" t="s">
        <v>10589</v>
      </c>
      <c r="J2020" s="239" t="s">
        <v>10590</v>
      </c>
      <c r="K2020" s="109" t="s">
        <v>9440</v>
      </c>
      <c r="L2020" s="109" t="s">
        <v>9496</v>
      </c>
    </row>
    <row r="2021" spans="1:12" s="58" customFormat="1" ht="14.85" customHeight="1" x14ac:dyDescent="0.25">
      <c r="A2021" s="108" t="s">
        <v>9308</v>
      </c>
      <c r="B2021" s="115" t="s">
        <v>8939</v>
      </c>
      <c r="C2021" s="115" t="s">
        <v>9338</v>
      </c>
      <c r="D2021" s="109" t="s">
        <v>10733</v>
      </c>
      <c r="E2021" s="106" t="s">
        <v>10734</v>
      </c>
      <c r="F2021" s="109" t="s">
        <v>9496</v>
      </c>
      <c r="G2021" s="115" t="s">
        <v>9324</v>
      </c>
      <c r="H2021" s="115" t="s">
        <v>9323</v>
      </c>
      <c r="I2021" s="109" t="s">
        <v>10591</v>
      </c>
      <c r="J2021" s="239" t="s">
        <v>10592</v>
      </c>
      <c r="K2021" s="109" t="s">
        <v>9440</v>
      </c>
      <c r="L2021" s="109" t="s">
        <v>9496</v>
      </c>
    </row>
    <row r="2022" spans="1:12" s="58" customFormat="1" ht="14.85" customHeight="1" x14ac:dyDescent="0.25">
      <c r="A2022" s="108" t="s">
        <v>9308</v>
      </c>
      <c r="B2022" s="115" t="s">
        <v>8939</v>
      </c>
      <c r="C2022" s="115" t="s">
        <v>9338</v>
      </c>
      <c r="D2022" s="109" t="s">
        <v>10735</v>
      </c>
      <c r="E2022" s="106" t="s">
        <v>10736</v>
      </c>
      <c r="F2022" s="109" t="s">
        <v>9496</v>
      </c>
      <c r="G2022" s="115" t="s">
        <v>9324</v>
      </c>
      <c r="H2022" s="115" t="s">
        <v>9324</v>
      </c>
      <c r="I2022" s="109" t="s">
        <v>10567</v>
      </c>
      <c r="J2022" s="239" t="s">
        <v>10568</v>
      </c>
      <c r="K2022" s="109" t="s">
        <v>9440</v>
      </c>
      <c r="L2022" s="109" t="s">
        <v>9496</v>
      </c>
    </row>
    <row r="2023" spans="1:12" s="58" customFormat="1" ht="14.85" customHeight="1" x14ac:dyDescent="0.25">
      <c r="A2023" s="108" t="s">
        <v>9308</v>
      </c>
      <c r="B2023" s="115" t="s">
        <v>8939</v>
      </c>
      <c r="C2023" s="115" t="s">
        <v>9338</v>
      </c>
      <c r="D2023" s="109" t="s">
        <v>10735</v>
      </c>
      <c r="E2023" s="106" t="s">
        <v>10736</v>
      </c>
      <c r="F2023" s="109" t="s">
        <v>9496</v>
      </c>
      <c r="G2023" s="115" t="s">
        <v>9324</v>
      </c>
      <c r="H2023" s="115" t="s">
        <v>9324</v>
      </c>
      <c r="I2023" s="109" t="s">
        <v>10583</v>
      </c>
      <c r="J2023" s="239" t="s">
        <v>10584</v>
      </c>
      <c r="K2023" s="109" t="s">
        <v>9440</v>
      </c>
      <c r="L2023" s="109" t="s">
        <v>9496</v>
      </c>
    </row>
    <row r="2024" spans="1:12" s="58" customFormat="1" ht="14.85" customHeight="1" x14ac:dyDescent="0.25">
      <c r="A2024" s="108" t="s">
        <v>9308</v>
      </c>
      <c r="B2024" s="115" t="s">
        <v>8939</v>
      </c>
      <c r="C2024" s="115" t="s">
        <v>9338</v>
      </c>
      <c r="D2024" s="109" t="s">
        <v>10735</v>
      </c>
      <c r="E2024" s="106" t="s">
        <v>10736</v>
      </c>
      <c r="F2024" s="109" t="s">
        <v>9496</v>
      </c>
      <c r="G2024" s="115" t="s">
        <v>9324</v>
      </c>
      <c r="H2024" s="115" t="s">
        <v>9324</v>
      </c>
      <c r="I2024" s="109" t="s">
        <v>10585</v>
      </c>
      <c r="J2024" s="239" t="s">
        <v>10586</v>
      </c>
      <c r="K2024" s="109" t="s">
        <v>9440</v>
      </c>
      <c r="L2024" s="109" t="s">
        <v>9496</v>
      </c>
    </row>
    <row r="2025" spans="1:12" s="58" customFormat="1" ht="14.85" customHeight="1" x14ac:dyDescent="0.25">
      <c r="A2025" s="108" t="s">
        <v>9308</v>
      </c>
      <c r="B2025" s="115" t="s">
        <v>8939</v>
      </c>
      <c r="C2025" s="115" t="s">
        <v>9338</v>
      </c>
      <c r="D2025" s="109" t="s">
        <v>10735</v>
      </c>
      <c r="E2025" s="106" t="s">
        <v>10736</v>
      </c>
      <c r="F2025" s="109" t="s">
        <v>9496</v>
      </c>
      <c r="G2025" s="115" t="s">
        <v>9324</v>
      </c>
      <c r="H2025" s="115" t="s">
        <v>9324</v>
      </c>
      <c r="I2025" s="109" t="s">
        <v>10587</v>
      </c>
      <c r="J2025" s="239" t="s">
        <v>10588</v>
      </c>
      <c r="K2025" s="109" t="s">
        <v>9440</v>
      </c>
      <c r="L2025" s="109" t="s">
        <v>9496</v>
      </c>
    </row>
    <row r="2026" spans="1:12" s="58" customFormat="1" ht="14.85" customHeight="1" x14ac:dyDescent="0.25">
      <c r="A2026" s="108" t="s">
        <v>9308</v>
      </c>
      <c r="B2026" s="115" t="s">
        <v>8939</v>
      </c>
      <c r="C2026" s="115" t="s">
        <v>9338</v>
      </c>
      <c r="D2026" s="109" t="s">
        <v>10735</v>
      </c>
      <c r="E2026" s="106" t="s">
        <v>10736</v>
      </c>
      <c r="F2026" s="109" t="s">
        <v>9496</v>
      </c>
      <c r="G2026" s="115" t="s">
        <v>9324</v>
      </c>
      <c r="H2026" s="115" t="s">
        <v>9324</v>
      </c>
      <c r="I2026" s="109" t="s">
        <v>10589</v>
      </c>
      <c r="J2026" s="239" t="s">
        <v>10590</v>
      </c>
      <c r="K2026" s="109" t="s">
        <v>9440</v>
      </c>
      <c r="L2026" s="109" t="s">
        <v>9496</v>
      </c>
    </row>
    <row r="2027" spans="1:12" s="58" customFormat="1" ht="14.85" customHeight="1" x14ac:dyDescent="0.25">
      <c r="A2027" s="108" t="s">
        <v>9308</v>
      </c>
      <c r="B2027" s="115" t="s">
        <v>8939</v>
      </c>
      <c r="C2027" s="115" t="s">
        <v>9338</v>
      </c>
      <c r="D2027" s="109" t="s">
        <v>10735</v>
      </c>
      <c r="E2027" s="106" t="s">
        <v>10736</v>
      </c>
      <c r="F2027" s="109" t="s">
        <v>9496</v>
      </c>
      <c r="G2027" s="115" t="s">
        <v>9324</v>
      </c>
      <c r="H2027" s="115" t="s">
        <v>9324</v>
      </c>
      <c r="I2027" s="109" t="s">
        <v>10591</v>
      </c>
      <c r="J2027" s="239" t="s">
        <v>10592</v>
      </c>
      <c r="K2027" s="109" t="s">
        <v>9440</v>
      </c>
      <c r="L2027" s="109" t="s">
        <v>9496</v>
      </c>
    </row>
    <row r="2028" spans="1:12" s="58" customFormat="1" ht="14.85" customHeight="1" x14ac:dyDescent="0.25">
      <c r="A2028" s="108" t="s">
        <v>9308</v>
      </c>
      <c r="B2028" s="115" t="s">
        <v>8939</v>
      </c>
      <c r="C2028" s="115" t="s">
        <v>9338</v>
      </c>
      <c r="D2028" s="109" t="s">
        <v>10737</v>
      </c>
      <c r="E2028" s="106" t="s">
        <v>10738</v>
      </c>
      <c r="F2028" s="109" t="s">
        <v>9496</v>
      </c>
      <c r="G2028" s="115" t="s">
        <v>9324</v>
      </c>
      <c r="H2028" s="115" t="s">
        <v>9323</v>
      </c>
      <c r="I2028" s="109" t="s">
        <v>10567</v>
      </c>
      <c r="J2028" s="239" t="s">
        <v>10568</v>
      </c>
      <c r="K2028" s="109" t="s">
        <v>9440</v>
      </c>
      <c r="L2028" s="109" t="s">
        <v>9496</v>
      </c>
    </row>
    <row r="2029" spans="1:12" s="58" customFormat="1" ht="14.85" customHeight="1" x14ac:dyDescent="0.25">
      <c r="A2029" s="108" t="s">
        <v>9308</v>
      </c>
      <c r="B2029" s="115" t="s">
        <v>8939</v>
      </c>
      <c r="C2029" s="115" t="s">
        <v>9338</v>
      </c>
      <c r="D2029" s="109" t="s">
        <v>10737</v>
      </c>
      <c r="E2029" s="106" t="s">
        <v>10738</v>
      </c>
      <c r="F2029" s="109" t="s">
        <v>9496</v>
      </c>
      <c r="G2029" s="115" t="s">
        <v>9324</v>
      </c>
      <c r="H2029" s="115" t="s">
        <v>9323</v>
      </c>
      <c r="I2029" s="109" t="s">
        <v>10583</v>
      </c>
      <c r="J2029" s="239" t="s">
        <v>10584</v>
      </c>
      <c r="K2029" s="109" t="s">
        <v>9440</v>
      </c>
      <c r="L2029" s="109" t="s">
        <v>9496</v>
      </c>
    </row>
    <row r="2030" spans="1:12" s="58" customFormat="1" ht="14.85" customHeight="1" x14ac:dyDescent="0.25">
      <c r="A2030" s="108" t="s">
        <v>9308</v>
      </c>
      <c r="B2030" s="115" t="s">
        <v>8939</v>
      </c>
      <c r="C2030" s="115" t="s">
        <v>9338</v>
      </c>
      <c r="D2030" s="109" t="s">
        <v>10737</v>
      </c>
      <c r="E2030" s="106" t="s">
        <v>10738</v>
      </c>
      <c r="F2030" s="109" t="s">
        <v>9496</v>
      </c>
      <c r="G2030" s="115" t="s">
        <v>9324</v>
      </c>
      <c r="H2030" s="115" t="s">
        <v>9323</v>
      </c>
      <c r="I2030" s="109" t="s">
        <v>10585</v>
      </c>
      <c r="J2030" s="239" t="s">
        <v>10586</v>
      </c>
      <c r="K2030" s="109" t="s">
        <v>9440</v>
      </c>
      <c r="L2030" s="109" t="s">
        <v>9496</v>
      </c>
    </row>
    <row r="2031" spans="1:12" s="58" customFormat="1" ht="14.85" customHeight="1" x14ac:dyDescent="0.25">
      <c r="A2031" s="108" t="s">
        <v>9308</v>
      </c>
      <c r="B2031" s="115" t="s">
        <v>8939</v>
      </c>
      <c r="C2031" s="115" t="s">
        <v>9338</v>
      </c>
      <c r="D2031" s="109" t="s">
        <v>10737</v>
      </c>
      <c r="E2031" s="106" t="s">
        <v>10738</v>
      </c>
      <c r="F2031" s="109" t="s">
        <v>9496</v>
      </c>
      <c r="G2031" s="115" t="s">
        <v>9324</v>
      </c>
      <c r="H2031" s="115" t="s">
        <v>9323</v>
      </c>
      <c r="I2031" s="109" t="s">
        <v>10587</v>
      </c>
      <c r="J2031" s="239" t="s">
        <v>10588</v>
      </c>
      <c r="K2031" s="109" t="s">
        <v>9440</v>
      </c>
      <c r="L2031" s="109" t="s">
        <v>9496</v>
      </c>
    </row>
    <row r="2032" spans="1:12" s="58" customFormat="1" ht="14.85" customHeight="1" x14ac:dyDescent="0.25">
      <c r="A2032" s="108" t="s">
        <v>9308</v>
      </c>
      <c r="B2032" s="115" t="s">
        <v>8939</v>
      </c>
      <c r="C2032" s="115" t="s">
        <v>9338</v>
      </c>
      <c r="D2032" s="109" t="s">
        <v>10737</v>
      </c>
      <c r="E2032" s="106" t="s">
        <v>10738</v>
      </c>
      <c r="F2032" s="109" t="s">
        <v>9496</v>
      </c>
      <c r="G2032" s="115" t="s">
        <v>9324</v>
      </c>
      <c r="H2032" s="115" t="s">
        <v>9323</v>
      </c>
      <c r="I2032" s="109" t="s">
        <v>10589</v>
      </c>
      <c r="J2032" s="239" t="s">
        <v>10590</v>
      </c>
      <c r="K2032" s="109" t="s">
        <v>9440</v>
      </c>
      <c r="L2032" s="109" t="s">
        <v>9496</v>
      </c>
    </row>
    <row r="2033" spans="1:12" s="58" customFormat="1" ht="14.85" customHeight="1" x14ac:dyDescent="0.25">
      <c r="A2033" s="108" t="s">
        <v>9308</v>
      </c>
      <c r="B2033" s="115" t="s">
        <v>8939</v>
      </c>
      <c r="C2033" s="115" t="s">
        <v>9338</v>
      </c>
      <c r="D2033" s="109" t="s">
        <v>10737</v>
      </c>
      <c r="E2033" s="106" t="s">
        <v>10738</v>
      </c>
      <c r="F2033" s="109" t="s">
        <v>9496</v>
      </c>
      <c r="G2033" s="115" t="s">
        <v>9324</v>
      </c>
      <c r="H2033" s="115" t="s">
        <v>9323</v>
      </c>
      <c r="I2033" s="109" t="s">
        <v>10591</v>
      </c>
      <c r="J2033" s="239" t="s">
        <v>10592</v>
      </c>
      <c r="K2033" s="109" t="s">
        <v>9440</v>
      </c>
      <c r="L2033" s="109" t="s">
        <v>9496</v>
      </c>
    </row>
    <row r="2034" spans="1:12" s="58" customFormat="1" ht="14.85" customHeight="1" x14ac:dyDescent="0.25">
      <c r="A2034" s="108" t="s">
        <v>9308</v>
      </c>
      <c r="B2034" s="115" t="s">
        <v>8939</v>
      </c>
      <c r="C2034" s="115" t="s">
        <v>9338</v>
      </c>
      <c r="D2034" s="109" t="s">
        <v>10739</v>
      </c>
      <c r="E2034" s="106" t="s">
        <v>10740</v>
      </c>
      <c r="F2034" s="109" t="s">
        <v>9496</v>
      </c>
      <c r="G2034" s="115" t="s">
        <v>9324</v>
      </c>
      <c r="H2034" s="115" t="s">
        <v>9323</v>
      </c>
      <c r="I2034" s="109" t="s">
        <v>10567</v>
      </c>
      <c r="J2034" s="239" t="s">
        <v>10568</v>
      </c>
      <c r="K2034" s="109" t="s">
        <v>9440</v>
      </c>
      <c r="L2034" s="109" t="s">
        <v>9496</v>
      </c>
    </row>
    <row r="2035" spans="1:12" s="58" customFormat="1" ht="14.85" customHeight="1" x14ac:dyDescent="0.25">
      <c r="A2035" s="108" t="s">
        <v>9308</v>
      </c>
      <c r="B2035" s="115" t="s">
        <v>8939</v>
      </c>
      <c r="C2035" s="115" t="s">
        <v>9338</v>
      </c>
      <c r="D2035" s="109" t="s">
        <v>10739</v>
      </c>
      <c r="E2035" s="106" t="s">
        <v>10740</v>
      </c>
      <c r="F2035" s="109" t="s">
        <v>9496</v>
      </c>
      <c r="G2035" s="115" t="s">
        <v>9324</v>
      </c>
      <c r="H2035" s="115" t="s">
        <v>9323</v>
      </c>
      <c r="I2035" s="109" t="s">
        <v>10571</v>
      </c>
      <c r="J2035" s="239" t="s">
        <v>10572</v>
      </c>
      <c r="K2035" s="109" t="s">
        <v>9440</v>
      </c>
      <c r="L2035" s="109" t="s">
        <v>9496</v>
      </c>
    </row>
    <row r="2036" spans="1:12" s="58" customFormat="1" ht="14.85" customHeight="1" x14ac:dyDescent="0.25">
      <c r="A2036" s="108" t="s">
        <v>9308</v>
      </c>
      <c r="B2036" s="115" t="s">
        <v>8939</v>
      </c>
      <c r="C2036" s="115" t="s">
        <v>9338</v>
      </c>
      <c r="D2036" s="109" t="s">
        <v>10739</v>
      </c>
      <c r="E2036" s="106" t="s">
        <v>10740</v>
      </c>
      <c r="F2036" s="109" t="s">
        <v>9496</v>
      </c>
      <c r="G2036" s="115" t="s">
        <v>9324</v>
      </c>
      <c r="H2036" s="115" t="s">
        <v>9323</v>
      </c>
      <c r="I2036" s="109" t="s">
        <v>10583</v>
      </c>
      <c r="J2036" s="239" t="s">
        <v>10584</v>
      </c>
      <c r="K2036" s="109" t="s">
        <v>9440</v>
      </c>
      <c r="L2036" s="109" t="s">
        <v>9496</v>
      </c>
    </row>
    <row r="2037" spans="1:12" s="58" customFormat="1" ht="14.85" customHeight="1" x14ac:dyDescent="0.25">
      <c r="A2037" s="108" t="s">
        <v>9308</v>
      </c>
      <c r="B2037" s="115" t="s">
        <v>8939</v>
      </c>
      <c r="C2037" s="115" t="s">
        <v>9338</v>
      </c>
      <c r="D2037" s="109" t="s">
        <v>10739</v>
      </c>
      <c r="E2037" s="106" t="s">
        <v>10740</v>
      </c>
      <c r="F2037" s="109" t="s">
        <v>9496</v>
      </c>
      <c r="G2037" s="115" t="s">
        <v>9324</v>
      </c>
      <c r="H2037" s="115" t="s">
        <v>9323</v>
      </c>
      <c r="I2037" s="109" t="s">
        <v>10585</v>
      </c>
      <c r="J2037" s="239" t="s">
        <v>10586</v>
      </c>
      <c r="K2037" s="109" t="s">
        <v>9440</v>
      </c>
      <c r="L2037" s="109" t="s">
        <v>9496</v>
      </c>
    </row>
    <row r="2038" spans="1:12" s="58" customFormat="1" ht="14.85" customHeight="1" x14ac:dyDescent="0.25">
      <c r="A2038" s="108" t="s">
        <v>9308</v>
      </c>
      <c r="B2038" s="115" t="s">
        <v>8939</v>
      </c>
      <c r="C2038" s="115" t="s">
        <v>9338</v>
      </c>
      <c r="D2038" s="109" t="s">
        <v>10739</v>
      </c>
      <c r="E2038" s="106" t="s">
        <v>10740</v>
      </c>
      <c r="F2038" s="109" t="s">
        <v>9496</v>
      </c>
      <c r="G2038" s="115" t="s">
        <v>9324</v>
      </c>
      <c r="H2038" s="115" t="s">
        <v>9323</v>
      </c>
      <c r="I2038" s="109" t="s">
        <v>10587</v>
      </c>
      <c r="J2038" s="239" t="s">
        <v>10588</v>
      </c>
      <c r="K2038" s="109" t="s">
        <v>9440</v>
      </c>
      <c r="L2038" s="109" t="s">
        <v>9496</v>
      </c>
    </row>
    <row r="2039" spans="1:12" s="58" customFormat="1" ht="14.85" customHeight="1" x14ac:dyDescent="0.25">
      <c r="A2039" s="108" t="s">
        <v>9308</v>
      </c>
      <c r="B2039" s="115" t="s">
        <v>8939</v>
      </c>
      <c r="C2039" s="115" t="s">
        <v>9338</v>
      </c>
      <c r="D2039" s="109" t="s">
        <v>10739</v>
      </c>
      <c r="E2039" s="106" t="s">
        <v>10740</v>
      </c>
      <c r="F2039" s="109" t="s">
        <v>9496</v>
      </c>
      <c r="G2039" s="115" t="s">
        <v>9324</v>
      </c>
      <c r="H2039" s="115" t="s">
        <v>9323</v>
      </c>
      <c r="I2039" s="109" t="s">
        <v>10589</v>
      </c>
      <c r="J2039" s="239" t="s">
        <v>10590</v>
      </c>
      <c r="K2039" s="109" t="s">
        <v>9440</v>
      </c>
      <c r="L2039" s="109" t="s">
        <v>9496</v>
      </c>
    </row>
    <row r="2040" spans="1:12" s="58" customFormat="1" ht="14.85" customHeight="1" x14ac:dyDescent="0.25">
      <c r="A2040" s="108" t="s">
        <v>9308</v>
      </c>
      <c r="B2040" s="115" t="s">
        <v>8939</v>
      </c>
      <c r="C2040" s="115" t="s">
        <v>9338</v>
      </c>
      <c r="D2040" s="109" t="s">
        <v>10739</v>
      </c>
      <c r="E2040" s="106" t="s">
        <v>10740</v>
      </c>
      <c r="F2040" s="109" t="s">
        <v>9496</v>
      </c>
      <c r="G2040" s="115" t="s">
        <v>9324</v>
      </c>
      <c r="H2040" s="115" t="s">
        <v>9323</v>
      </c>
      <c r="I2040" s="109" t="s">
        <v>10591</v>
      </c>
      <c r="J2040" s="239" t="s">
        <v>10592</v>
      </c>
      <c r="K2040" s="109" t="s">
        <v>9440</v>
      </c>
      <c r="L2040" s="109" t="s">
        <v>9496</v>
      </c>
    </row>
    <row r="2041" spans="1:12" s="58" customFormat="1" ht="14.85" customHeight="1" x14ac:dyDescent="0.25">
      <c r="A2041" s="108" t="s">
        <v>9308</v>
      </c>
      <c r="B2041" s="115" t="s">
        <v>8939</v>
      </c>
      <c r="C2041" s="115" t="s">
        <v>9338</v>
      </c>
      <c r="D2041" s="109" t="s">
        <v>10741</v>
      </c>
      <c r="E2041" s="106" t="s">
        <v>10742</v>
      </c>
      <c r="F2041" s="109" t="s">
        <v>9496</v>
      </c>
      <c r="G2041" s="115" t="s">
        <v>9324</v>
      </c>
      <c r="H2041" s="115" t="s">
        <v>9323</v>
      </c>
      <c r="I2041" s="109" t="s">
        <v>10571</v>
      </c>
      <c r="J2041" s="239" t="s">
        <v>10572</v>
      </c>
      <c r="K2041" s="109" t="s">
        <v>9440</v>
      </c>
      <c r="L2041" s="109" t="s">
        <v>9496</v>
      </c>
    </row>
    <row r="2042" spans="1:12" s="58" customFormat="1" ht="14.85" customHeight="1" x14ac:dyDescent="0.25">
      <c r="A2042" s="108" t="s">
        <v>9308</v>
      </c>
      <c r="B2042" s="115" t="s">
        <v>8939</v>
      </c>
      <c r="C2042" s="115" t="s">
        <v>9338</v>
      </c>
      <c r="D2042" s="109" t="s">
        <v>10741</v>
      </c>
      <c r="E2042" s="106" t="s">
        <v>10742</v>
      </c>
      <c r="F2042" s="109" t="s">
        <v>9496</v>
      </c>
      <c r="G2042" s="115" t="s">
        <v>9324</v>
      </c>
      <c r="H2042" s="115" t="s">
        <v>9323</v>
      </c>
      <c r="I2042" s="109" t="s">
        <v>10579</v>
      </c>
      <c r="J2042" s="239" t="s">
        <v>10580</v>
      </c>
      <c r="K2042" s="109" t="s">
        <v>9440</v>
      </c>
      <c r="L2042" s="109" t="s">
        <v>9496</v>
      </c>
    </row>
    <row r="2043" spans="1:12" s="58" customFormat="1" ht="14.85" customHeight="1" x14ac:dyDescent="0.25">
      <c r="A2043" s="108" t="s">
        <v>9308</v>
      </c>
      <c r="B2043" s="115" t="s">
        <v>8939</v>
      </c>
      <c r="C2043" s="115" t="s">
        <v>9338</v>
      </c>
      <c r="D2043" s="109" t="s">
        <v>10741</v>
      </c>
      <c r="E2043" s="106" t="s">
        <v>10742</v>
      </c>
      <c r="F2043" s="109" t="s">
        <v>9496</v>
      </c>
      <c r="G2043" s="115" t="s">
        <v>9324</v>
      </c>
      <c r="H2043" s="115" t="s">
        <v>9323</v>
      </c>
      <c r="I2043" s="109" t="s">
        <v>10585</v>
      </c>
      <c r="J2043" s="239" t="s">
        <v>10586</v>
      </c>
      <c r="K2043" s="109" t="s">
        <v>9440</v>
      </c>
      <c r="L2043" s="109" t="s">
        <v>9496</v>
      </c>
    </row>
    <row r="2044" spans="1:12" s="58" customFormat="1" ht="14.85" customHeight="1" x14ac:dyDescent="0.25">
      <c r="A2044" s="108" t="s">
        <v>9308</v>
      </c>
      <c r="B2044" s="115" t="s">
        <v>8939</v>
      </c>
      <c r="C2044" s="115" t="s">
        <v>9338</v>
      </c>
      <c r="D2044" s="109" t="s">
        <v>10741</v>
      </c>
      <c r="E2044" s="106" t="s">
        <v>10742</v>
      </c>
      <c r="F2044" s="109" t="s">
        <v>9496</v>
      </c>
      <c r="G2044" s="115" t="s">
        <v>9324</v>
      </c>
      <c r="H2044" s="115" t="s">
        <v>9323</v>
      </c>
      <c r="I2044" s="109" t="s">
        <v>10587</v>
      </c>
      <c r="J2044" s="239" t="s">
        <v>10588</v>
      </c>
      <c r="K2044" s="109" t="s">
        <v>9440</v>
      </c>
      <c r="L2044" s="109" t="s">
        <v>9496</v>
      </c>
    </row>
    <row r="2045" spans="1:12" s="58" customFormat="1" ht="14.85" customHeight="1" x14ac:dyDescent="0.25">
      <c r="A2045" s="108" t="s">
        <v>9308</v>
      </c>
      <c r="B2045" s="115" t="s">
        <v>8939</v>
      </c>
      <c r="C2045" s="115" t="s">
        <v>9338</v>
      </c>
      <c r="D2045" s="109" t="s">
        <v>10741</v>
      </c>
      <c r="E2045" s="106" t="s">
        <v>10742</v>
      </c>
      <c r="F2045" s="109" t="s">
        <v>9496</v>
      </c>
      <c r="G2045" s="115" t="s">
        <v>9324</v>
      </c>
      <c r="H2045" s="115" t="s">
        <v>9323</v>
      </c>
      <c r="I2045" s="109" t="s">
        <v>10589</v>
      </c>
      <c r="J2045" s="239" t="s">
        <v>10590</v>
      </c>
      <c r="K2045" s="109" t="s">
        <v>9440</v>
      </c>
      <c r="L2045" s="109" t="s">
        <v>9496</v>
      </c>
    </row>
    <row r="2046" spans="1:12" s="58" customFormat="1" ht="14.85" customHeight="1" x14ac:dyDescent="0.25">
      <c r="A2046" s="108" t="s">
        <v>9308</v>
      </c>
      <c r="B2046" s="115" t="s">
        <v>8939</v>
      </c>
      <c r="C2046" s="115" t="s">
        <v>9338</v>
      </c>
      <c r="D2046" s="109" t="s">
        <v>10741</v>
      </c>
      <c r="E2046" s="106" t="s">
        <v>10742</v>
      </c>
      <c r="F2046" s="109" t="s">
        <v>9496</v>
      </c>
      <c r="G2046" s="115" t="s">
        <v>9324</v>
      </c>
      <c r="H2046" s="115" t="s">
        <v>9323</v>
      </c>
      <c r="I2046" s="109" t="s">
        <v>10591</v>
      </c>
      <c r="J2046" s="239" t="s">
        <v>10592</v>
      </c>
      <c r="K2046" s="109" t="s">
        <v>9440</v>
      </c>
      <c r="L2046" s="109" t="s">
        <v>9496</v>
      </c>
    </row>
    <row r="2047" spans="1:12" s="58" customFormat="1" ht="14.85" customHeight="1" x14ac:dyDescent="0.25">
      <c r="A2047" s="108" t="s">
        <v>9308</v>
      </c>
      <c r="B2047" s="115" t="s">
        <v>8939</v>
      </c>
      <c r="C2047" s="115" t="s">
        <v>9338</v>
      </c>
      <c r="D2047" s="109" t="s">
        <v>10743</v>
      </c>
      <c r="E2047" s="106" t="s">
        <v>10744</v>
      </c>
      <c r="F2047" s="109" t="s">
        <v>9496</v>
      </c>
      <c r="G2047" s="115" t="s">
        <v>9324</v>
      </c>
      <c r="H2047" s="115" t="s">
        <v>9323</v>
      </c>
      <c r="I2047" s="109" t="s">
        <v>10571</v>
      </c>
      <c r="J2047" s="239" t="s">
        <v>10572</v>
      </c>
      <c r="K2047" s="109" t="s">
        <v>9440</v>
      </c>
      <c r="L2047" s="109" t="s">
        <v>9496</v>
      </c>
    </row>
    <row r="2048" spans="1:12" s="58" customFormat="1" ht="14.85" customHeight="1" x14ac:dyDescent="0.25">
      <c r="A2048" s="108" t="s">
        <v>9308</v>
      </c>
      <c r="B2048" s="115" t="s">
        <v>8939</v>
      </c>
      <c r="C2048" s="115" t="s">
        <v>9338</v>
      </c>
      <c r="D2048" s="109" t="s">
        <v>10743</v>
      </c>
      <c r="E2048" s="106" t="s">
        <v>10744</v>
      </c>
      <c r="F2048" s="109" t="s">
        <v>9496</v>
      </c>
      <c r="G2048" s="115" t="s">
        <v>9324</v>
      </c>
      <c r="H2048" s="115" t="s">
        <v>9323</v>
      </c>
      <c r="I2048" s="109" t="s">
        <v>10579</v>
      </c>
      <c r="J2048" s="239" t="s">
        <v>10580</v>
      </c>
      <c r="K2048" s="109" t="s">
        <v>9440</v>
      </c>
      <c r="L2048" s="109" t="s">
        <v>9496</v>
      </c>
    </row>
    <row r="2049" spans="1:12" s="58" customFormat="1" ht="14.85" customHeight="1" x14ac:dyDescent="0.25">
      <c r="A2049" s="108" t="s">
        <v>9308</v>
      </c>
      <c r="B2049" s="115" t="s">
        <v>8939</v>
      </c>
      <c r="C2049" s="115" t="s">
        <v>9338</v>
      </c>
      <c r="D2049" s="109" t="s">
        <v>10743</v>
      </c>
      <c r="E2049" s="106" t="s">
        <v>10744</v>
      </c>
      <c r="F2049" s="109" t="s">
        <v>9496</v>
      </c>
      <c r="G2049" s="115" t="s">
        <v>9324</v>
      </c>
      <c r="H2049" s="115" t="s">
        <v>9323</v>
      </c>
      <c r="I2049" s="109" t="s">
        <v>10585</v>
      </c>
      <c r="J2049" s="239" t="s">
        <v>10586</v>
      </c>
      <c r="K2049" s="109" t="s">
        <v>9440</v>
      </c>
      <c r="L2049" s="109" t="s">
        <v>9496</v>
      </c>
    </row>
    <row r="2050" spans="1:12" s="58" customFormat="1" ht="14.85" customHeight="1" x14ac:dyDescent="0.25">
      <c r="A2050" s="108" t="s">
        <v>9308</v>
      </c>
      <c r="B2050" s="115" t="s">
        <v>8939</v>
      </c>
      <c r="C2050" s="115" t="s">
        <v>9338</v>
      </c>
      <c r="D2050" s="109" t="s">
        <v>10743</v>
      </c>
      <c r="E2050" s="106" t="s">
        <v>10744</v>
      </c>
      <c r="F2050" s="109" t="s">
        <v>9496</v>
      </c>
      <c r="G2050" s="115" t="s">
        <v>9324</v>
      </c>
      <c r="H2050" s="115" t="s">
        <v>9323</v>
      </c>
      <c r="I2050" s="109" t="s">
        <v>10587</v>
      </c>
      <c r="J2050" s="239" t="s">
        <v>10588</v>
      </c>
      <c r="K2050" s="109" t="s">
        <v>9440</v>
      </c>
      <c r="L2050" s="109" t="s">
        <v>9496</v>
      </c>
    </row>
    <row r="2051" spans="1:12" s="58" customFormat="1" ht="14.85" customHeight="1" x14ac:dyDescent="0.25">
      <c r="A2051" s="108" t="s">
        <v>9308</v>
      </c>
      <c r="B2051" s="115" t="s">
        <v>8939</v>
      </c>
      <c r="C2051" s="115" t="s">
        <v>9338</v>
      </c>
      <c r="D2051" s="109" t="s">
        <v>10743</v>
      </c>
      <c r="E2051" s="106" t="s">
        <v>10744</v>
      </c>
      <c r="F2051" s="109" t="s">
        <v>9496</v>
      </c>
      <c r="G2051" s="115" t="s">
        <v>9324</v>
      </c>
      <c r="H2051" s="115" t="s">
        <v>9323</v>
      </c>
      <c r="I2051" s="109" t="s">
        <v>10589</v>
      </c>
      <c r="J2051" s="239" t="s">
        <v>10590</v>
      </c>
      <c r="K2051" s="109" t="s">
        <v>9440</v>
      </c>
      <c r="L2051" s="109" t="s">
        <v>9496</v>
      </c>
    </row>
    <row r="2052" spans="1:12" s="58" customFormat="1" ht="14.85" customHeight="1" x14ac:dyDescent="0.25">
      <c r="A2052" s="108" t="s">
        <v>9308</v>
      </c>
      <c r="B2052" s="115" t="s">
        <v>8939</v>
      </c>
      <c r="C2052" s="115" t="s">
        <v>9338</v>
      </c>
      <c r="D2052" s="109" t="s">
        <v>10743</v>
      </c>
      <c r="E2052" s="106" t="s">
        <v>10744</v>
      </c>
      <c r="F2052" s="109" t="s">
        <v>9496</v>
      </c>
      <c r="G2052" s="115" t="s">
        <v>9324</v>
      </c>
      <c r="H2052" s="115" t="s">
        <v>9323</v>
      </c>
      <c r="I2052" s="109" t="s">
        <v>10591</v>
      </c>
      <c r="J2052" s="239" t="s">
        <v>10592</v>
      </c>
      <c r="K2052" s="109" t="s">
        <v>9440</v>
      </c>
      <c r="L2052" s="109" t="s">
        <v>9496</v>
      </c>
    </row>
    <row r="2053" spans="1:12" s="58" customFormat="1" ht="14.85" customHeight="1" x14ac:dyDescent="0.25">
      <c r="A2053" s="108" t="s">
        <v>9308</v>
      </c>
      <c r="B2053" s="115" t="s">
        <v>8939</v>
      </c>
      <c r="C2053" s="115" t="s">
        <v>9338</v>
      </c>
      <c r="D2053" s="109" t="s">
        <v>10745</v>
      </c>
      <c r="E2053" s="106" t="s">
        <v>10746</v>
      </c>
      <c r="F2053" s="109" t="s">
        <v>9496</v>
      </c>
      <c r="G2053" s="115" t="s">
        <v>9324</v>
      </c>
      <c r="H2053" s="115" t="s">
        <v>9323</v>
      </c>
      <c r="I2053" s="109" t="s">
        <v>10090</v>
      </c>
      <c r="J2053" s="239" t="s">
        <v>10091</v>
      </c>
      <c r="K2053" s="109" t="s">
        <v>9440</v>
      </c>
      <c r="L2053" s="109" t="s">
        <v>9496</v>
      </c>
    </row>
    <row r="2054" spans="1:12" s="58" customFormat="1" ht="14.85" customHeight="1" x14ac:dyDescent="0.25">
      <c r="A2054" s="108" t="s">
        <v>9308</v>
      </c>
      <c r="B2054" s="115" t="s">
        <v>8939</v>
      </c>
      <c r="C2054" s="115" t="s">
        <v>9338</v>
      </c>
      <c r="D2054" s="109" t="s">
        <v>10745</v>
      </c>
      <c r="E2054" s="106" t="s">
        <v>10746</v>
      </c>
      <c r="F2054" s="109" t="s">
        <v>9496</v>
      </c>
      <c r="G2054" s="115" t="s">
        <v>9324</v>
      </c>
      <c r="H2054" s="115" t="s">
        <v>9323</v>
      </c>
      <c r="I2054" s="109" t="s">
        <v>10583</v>
      </c>
      <c r="J2054" s="239" t="s">
        <v>10584</v>
      </c>
      <c r="K2054" s="109" t="s">
        <v>9440</v>
      </c>
      <c r="L2054" s="109" t="s">
        <v>9496</v>
      </c>
    </row>
    <row r="2055" spans="1:12" s="58" customFormat="1" ht="14.85" customHeight="1" x14ac:dyDescent="0.25">
      <c r="A2055" s="108" t="s">
        <v>9308</v>
      </c>
      <c r="B2055" s="115" t="s">
        <v>8939</v>
      </c>
      <c r="C2055" s="115" t="s">
        <v>9338</v>
      </c>
      <c r="D2055" s="109" t="s">
        <v>10745</v>
      </c>
      <c r="E2055" s="106" t="s">
        <v>10746</v>
      </c>
      <c r="F2055" s="109" t="s">
        <v>9496</v>
      </c>
      <c r="G2055" s="115" t="s">
        <v>9324</v>
      </c>
      <c r="H2055" s="115" t="s">
        <v>9323</v>
      </c>
      <c r="I2055" s="109" t="s">
        <v>10585</v>
      </c>
      <c r="J2055" s="239" t="s">
        <v>10586</v>
      </c>
      <c r="K2055" s="109" t="s">
        <v>9440</v>
      </c>
      <c r="L2055" s="109" t="s">
        <v>9496</v>
      </c>
    </row>
    <row r="2056" spans="1:12" s="58" customFormat="1" ht="14.85" customHeight="1" x14ac:dyDescent="0.25">
      <c r="A2056" s="108" t="s">
        <v>9308</v>
      </c>
      <c r="B2056" s="115" t="s">
        <v>8939</v>
      </c>
      <c r="C2056" s="115" t="s">
        <v>9338</v>
      </c>
      <c r="D2056" s="109" t="s">
        <v>10745</v>
      </c>
      <c r="E2056" s="106" t="s">
        <v>10746</v>
      </c>
      <c r="F2056" s="109" t="s">
        <v>9496</v>
      </c>
      <c r="G2056" s="115" t="s">
        <v>9324</v>
      </c>
      <c r="H2056" s="115" t="s">
        <v>9323</v>
      </c>
      <c r="I2056" s="109" t="s">
        <v>10587</v>
      </c>
      <c r="J2056" s="239" t="s">
        <v>10588</v>
      </c>
      <c r="K2056" s="109" t="s">
        <v>9440</v>
      </c>
      <c r="L2056" s="109" t="s">
        <v>9496</v>
      </c>
    </row>
    <row r="2057" spans="1:12" s="58" customFormat="1" ht="14.85" customHeight="1" x14ac:dyDescent="0.25">
      <c r="A2057" s="108" t="s">
        <v>9308</v>
      </c>
      <c r="B2057" s="115" t="s">
        <v>8939</v>
      </c>
      <c r="C2057" s="115" t="s">
        <v>9338</v>
      </c>
      <c r="D2057" s="109" t="s">
        <v>10745</v>
      </c>
      <c r="E2057" s="106" t="s">
        <v>10746</v>
      </c>
      <c r="F2057" s="109" t="s">
        <v>9496</v>
      </c>
      <c r="G2057" s="115" t="s">
        <v>9324</v>
      </c>
      <c r="H2057" s="115" t="s">
        <v>9323</v>
      </c>
      <c r="I2057" s="109" t="s">
        <v>10589</v>
      </c>
      <c r="J2057" s="239" t="s">
        <v>10590</v>
      </c>
      <c r="K2057" s="109" t="s">
        <v>9440</v>
      </c>
      <c r="L2057" s="109" t="s">
        <v>9496</v>
      </c>
    </row>
    <row r="2058" spans="1:12" s="58" customFormat="1" ht="14.85" customHeight="1" x14ac:dyDescent="0.25">
      <c r="A2058" s="108" t="s">
        <v>9308</v>
      </c>
      <c r="B2058" s="115" t="s">
        <v>8939</v>
      </c>
      <c r="C2058" s="115" t="s">
        <v>9338</v>
      </c>
      <c r="D2058" s="109" t="s">
        <v>10745</v>
      </c>
      <c r="E2058" s="106" t="s">
        <v>10746</v>
      </c>
      <c r="F2058" s="109" t="s">
        <v>9496</v>
      </c>
      <c r="G2058" s="115" t="s">
        <v>9324</v>
      </c>
      <c r="H2058" s="115" t="s">
        <v>9323</v>
      </c>
      <c r="I2058" s="109" t="s">
        <v>10092</v>
      </c>
      <c r="J2058" s="239" t="s">
        <v>10093</v>
      </c>
      <c r="K2058" s="109" t="s">
        <v>9440</v>
      </c>
      <c r="L2058" s="109" t="s">
        <v>9496</v>
      </c>
    </row>
    <row r="2059" spans="1:12" s="58" customFormat="1" ht="14.85" customHeight="1" x14ac:dyDescent="0.25">
      <c r="A2059" s="108" t="s">
        <v>9308</v>
      </c>
      <c r="B2059" s="115" t="s">
        <v>8939</v>
      </c>
      <c r="C2059" s="115" t="s">
        <v>9338</v>
      </c>
      <c r="D2059" s="109" t="s">
        <v>10745</v>
      </c>
      <c r="E2059" s="106" t="s">
        <v>10746</v>
      </c>
      <c r="F2059" s="109" t="s">
        <v>9496</v>
      </c>
      <c r="G2059" s="115" t="s">
        <v>9324</v>
      </c>
      <c r="H2059" s="115" t="s">
        <v>9323</v>
      </c>
      <c r="I2059" s="109" t="s">
        <v>10591</v>
      </c>
      <c r="J2059" s="239" t="s">
        <v>10592</v>
      </c>
      <c r="K2059" s="109" t="s">
        <v>9440</v>
      </c>
      <c r="L2059" s="109" t="s">
        <v>9496</v>
      </c>
    </row>
    <row r="2060" spans="1:12" s="58" customFormat="1" ht="14.85" customHeight="1" x14ac:dyDescent="0.25">
      <c r="A2060" s="108" t="s">
        <v>9308</v>
      </c>
      <c r="B2060" s="115" t="s">
        <v>8939</v>
      </c>
      <c r="C2060" s="115" t="s">
        <v>9338</v>
      </c>
      <c r="D2060" s="109" t="s">
        <v>10747</v>
      </c>
      <c r="E2060" s="106" t="s">
        <v>10748</v>
      </c>
      <c r="F2060" s="109" t="s">
        <v>9496</v>
      </c>
      <c r="G2060" s="115" t="s">
        <v>9324</v>
      </c>
      <c r="H2060" s="115" t="s">
        <v>9323</v>
      </c>
      <c r="I2060" s="109" t="s">
        <v>10457</v>
      </c>
      <c r="J2060" s="239" t="s">
        <v>10458</v>
      </c>
      <c r="K2060" s="109" t="s">
        <v>9440</v>
      </c>
      <c r="L2060" s="109" t="s">
        <v>9496</v>
      </c>
    </row>
    <row r="2061" spans="1:12" s="58" customFormat="1" ht="14.85" customHeight="1" x14ac:dyDescent="0.25">
      <c r="A2061" s="108" t="s">
        <v>9308</v>
      </c>
      <c r="B2061" s="115" t="s">
        <v>8939</v>
      </c>
      <c r="C2061" s="115" t="s">
        <v>9338</v>
      </c>
      <c r="D2061" s="109" t="s">
        <v>10749</v>
      </c>
      <c r="E2061" s="106" t="s">
        <v>10750</v>
      </c>
      <c r="F2061" s="109" t="s">
        <v>9496</v>
      </c>
      <c r="G2061" s="115" t="s">
        <v>9324</v>
      </c>
      <c r="H2061" s="115" t="s">
        <v>9323</v>
      </c>
      <c r="I2061" s="109" t="s">
        <v>10457</v>
      </c>
      <c r="J2061" s="239" t="s">
        <v>10458</v>
      </c>
      <c r="K2061" s="109" t="s">
        <v>9440</v>
      </c>
      <c r="L2061" s="109" t="s">
        <v>9496</v>
      </c>
    </row>
    <row r="2062" spans="1:12" s="58" customFormat="1" ht="14.85" customHeight="1" x14ac:dyDescent="0.25">
      <c r="A2062" s="108" t="s">
        <v>9308</v>
      </c>
      <c r="B2062" s="115" t="s">
        <v>8939</v>
      </c>
      <c r="C2062" s="115" t="s">
        <v>9338</v>
      </c>
      <c r="D2062" s="109" t="s">
        <v>10751</v>
      </c>
      <c r="E2062" s="106" t="s">
        <v>10752</v>
      </c>
      <c r="F2062" s="109" t="s">
        <v>9496</v>
      </c>
      <c r="G2062" s="115" t="s">
        <v>9324</v>
      </c>
      <c r="H2062" s="115" t="s">
        <v>9323</v>
      </c>
      <c r="I2062" s="109" t="s">
        <v>10457</v>
      </c>
      <c r="J2062" s="239" t="s">
        <v>10458</v>
      </c>
      <c r="K2062" s="109" t="s">
        <v>9440</v>
      </c>
      <c r="L2062" s="109" t="s">
        <v>9496</v>
      </c>
    </row>
    <row r="2063" spans="1:12" s="58" customFormat="1" ht="14.85" customHeight="1" x14ac:dyDescent="0.25">
      <c r="A2063" s="108" t="s">
        <v>9308</v>
      </c>
      <c r="B2063" s="115" t="s">
        <v>8939</v>
      </c>
      <c r="C2063" s="115" t="s">
        <v>9338</v>
      </c>
      <c r="D2063" s="109" t="s">
        <v>10753</v>
      </c>
      <c r="E2063" s="106" t="s">
        <v>10754</v>
      </c>
      <c r="F2063" s="109" t="s">
        <v>9496</v>
      </c>
      <c r="G2063" s="115" t="s">
        <v>9324</v>
      </c>
      <c r="H2063" s="115" t="s">
        <v>9323</v>
      </c>
      <c r="I2063" s="109" t="s">
        <v>10755</v>
      </c>
      <c r="J2063" s="239" t="s">
        <v>10756</v>
      </c>
      <c r="K2063" s="109" t="s">
        <v>9440</v>
      </c>
      <c r="L2063" s="109" t="s">
        <v>9496</v>
      </c>
    </row>
    <row r="2064" spans="1:12" s="58" customFormat="1" ht="14.85" customHeight="1" x14ac:dyDescent="0.25">
      <c r="A2064" s="108" t="s">
        <v>9308</v>
      </c>
      <c r="B2064" s="115" t="s">
        <v>8939</v>
      </c>
      <c r="C2064" s="115" t="s">
        <v>9338</v>
      </c>
      <c r="D2064" s="109" t="s">
        <v>10757</v>
      </c>
      <c r="E2064" s="106" t="s">
        <v>10758</v>
      </c>
      <c r="F2064" s="109" t="s">
        <v>9496</v>
      </c>
      <c r="G2064" s="115" t="s">
        <v>9324</v>
      </c>
      <c r="H2064" s="115" t="s">
        <v>9323</v>
      </c>
      <c r="I2064" s="109" t="s">
        <v>10755</v>
      </c>
      <c r="J2064" s="239" t="s">
        <v>10756</v>
      </c>
      <c r="K2064" s="109" t="s">
        <v>9440</v>
      </c>
      <c r="L2064" s="109" t="s">
        <v>9496</v>
      </c>
    </row>
    <row r="2065" spans="1:12" s="58" customFormat="1" ht="14.85" customHeight="1" x14ac:dyDescent="0.25">
      <c r="A2065" s="108" t="s">
        <v>9308</v>
      </c>
      <c r="B2065" s="115" t="s">
        <v>8939</v>
      </c>
      <c r="C2065" s="115" t="s">
        <v>9338</v>
      </c>
      <c r="D2065" s="109" t="s">
        <v>10759</v>
      </c>
      <c r="E2065" s="106" t="s">
        <v>10760</v>
      </c>
      <c r="F2065" s="109" t="s">
        <v>9496</v>
      </c>
      <c r="G2065" s="115" t="s">
        <v>9324</v>
      </c>
      <c r="H2065" s="115" t="s">
        <v>9324</v>
      </c>
      <c r="I2065" s="109" t="s">
        <v>10755</v>
      </c>
      <c r="J2065" s="239" t="s">
        <v>10756</v>
      </c>
      <c r="K2065" s="109" t="s">
        <v>9440</v>
      </c>
      <c r="L2065" s="109" t="s">
        <v>9496</v>
      </c>
    </row>
    <row r="2066" spans="1:12" s="58" customFormat="1" ht="14.85" customHeight="1" x14ac:dyDescent="0.25">
      <c r="A2066" s="108" t="s">
        <v>9308</v>
      </c>
      <c r="B2066" s="115" t="s">
        <v>8939</v>
      </c>
      <c r="C2066" s="115" t="s">
        <v>9338</v>
      </c>
      <c r="D2066" s="109" t="s">
        <v>10761</v>
      </c>
      <c r="E2066" s="106" t="s">
        <v>10762</v>
      </c>
      <c r="F2066" s="109" t="s">
        <v>9496</v>
      </c>
      <c r="G2066" s="115" t="s">
        <v>9324</v>
      </c>
      <c r="H2066" s="115" t="s">
        <v>9323</v>
      </c>
      <c r="I2066" s="109" t="s">
        <v>10090</v>
      </c>
      <c r="J2066" s="239" t="s">
        <v>10091</v>
      </c>
      <c r="K2066" s="109" t="s">
        <v>9440</v>
      </c>
      <c r="L2066" s="109" t="s">
        <v>9496</v>
      </c>
    </row>
    <row r="2067" spans="1:12" s="58" customFormat="1" ht="14.85" customHeight="1" x14ac:dyDescent="0.25">
      <c r="A2067" s="108" t="s">
        <v>9308</v>
      </c>
      <c r="B2067" s="115" t="s">
        <v>8939</v>
      </c>
      <c r="C2067" s="115" t="s">
        <v>9338</v>
      </c>
      <c r="D2067" s="109" t="s">
        <v>10761</v>
      </c>
      <c r="E2067" s="106" t="s">
        <v>10762</v>
      </c>
      <c r="F2067" s="109" t="s">
        <v>9496</v>
      </c>
      <c r="G2067" s="115" t="s">
        <v>9324</v>
      </c>
      <c r="H2067" s="115" t="s">
        <v>9323</v>
      </c>
      <c r="I2067" s="109" t="s">
        <v>10755</v>
      </c>
      <c r="J2067" s="239" t="s">
        <v>10756</v>
      </c>
      <c r="K2067" s="109" t="s">
        <v>9440</v>
      </c>
      <c r="L2067" s="109" t="s">
        <v>9496</v>
      </c>
    </row>
    <row r="2068" spans="1:12" s="58" customFormat="1" ht="14.85" customHeight="1" x14ac:dyDescent="0.25">
      <c r="A2068" s="108" t="s">
        <v>9308</v>
      </c>
      <c r="B2068" s="115" t="s">
        <v>8939</v>
      </c>
      <c r="C2068" s="115" t="s">
        <v>9338</v>
      </c>
      <c r="D2068" s="109" t="s">
        <v>10761</v>
      </c>
      <c r="E2068" s="106" t="s">
        <v>10762</v>
      </c>
      <c r="F2068" s="109" t="s">
        <v>9496</v>
      </c>
      <c r="G2068" s="115" t="s">
        <v>9324</v>
      </c>
      <c r="H2068" s="115" t="s">
        <v>9323</v>
      </c>
      <c r="I2068" s="109" t="s">
        <v>10092</v>
      </c>
      <c r="J2068" s="239" t="s">
        <v>10093</v>
      </c>
      <c r="K2068" s="109" t="s">
        <v>9440</v>
      </c>
      <c r="L2068" s="109" t="s">
        <v>9496</v>
      </c>
    </row>
    <row r="2069" spans="1:12" s="58" customFormat="1" ht="14.85" customHeight="1" x14ac:dyDescent="0.25">
      <c r="A2069" s="108" t="s">
        <v>9308</v>
      </c>
      <c r="B2069" s="115" t="s">
        <v>8939</v>
      </c>
      <c r="C2069" s="115" t="s">
        <v>9338</v>
      </c>
      <c r="D2069" s="109" t="s">
        <v>10763</v>
      </c>
      <c r="E2069" s="106" t="s">
        <v>10764</v>
      </c>
      <c r="F2069" s="109" t="s">
        <v>9496</v>
      </c>
      <c r="G2069" s="115" t="s">
        <v>9324</v>
      </c>
      <c r="H2069" s="115" t="s">
        <v>9323</v>
      </c>
      <c r="I2069" s="109" t="s">
        <v>10457</v>
      </c>
      <c r="J2069" s="239" t="s">
        <v>10458</v>
      </c>
      <c r="K2069" s="109" t="s">
        <v>9440</v>
      </c>
      <c r="L2069" s="109" t="s">
        <v>9496</v>
      </c>
    </row>
    <row r="2070" spans="1:12" s="58" customFormat="1" ht="14.85" customHeight="1" x14ac:dyDescent="0.25">
      <c r="A2070" s="108" t="s">
        <v>9308</v>
      </c>
      <c r="B2070" s="115" t="s">
        <v>8939</v>
      </c>
      <c r="C2070" s="115" t="s">
        <v>9338</v>
      </c>
      <c r="D2070" s="109" t="s">
        <v>10765</v>
      </c>
      <c r="E2070" s="106" t="s">
        <v>10766</v>
      </c>
      <c r="F2070" s="109" t="s">
        <v>9496</v>
      </c>
      <c r="G2070" s="115" t="s">
        <v>9324</v>
      </c>
      <c r="H2070" s="115" t="s">
        <v>9324</v>
      </c>
      <c r="I2070" s="109" t="s">
        <v>10457</v>
      </c>
      <c r="J2070" s="239" t="s">
        <v>10458</v>
      </c>
      <c r="K2070" s="109" t="s">
        <v>9440</v>
      </c>
      <c r="L2070" s="109" t="s">
        <v>9496</v>
      </c>
    </row>
    <row r="2071" spans="1:12" s="58" customFormat="1" ht="14.85" customHeight="1" x14ac:dyDescent="0.25">
      <c r="A2071" s="108" t="s">
        <v>9308</v>
      </c>
      <c r="B2071" s="115" t="s">
        <v>8939</v>
      </c>
      <c r="C2071" s="115" t="s">
        <v>9338</v>
      </c>
      <c r="D2071" s="109" t="s">
        <v>10767</v>
      </c>
      <c r="E2071" s="106" t="s">
        <v>10768</v>
      </c>
      <c r="F2071" s="109" t="s">
        <v>9496</v>
      </c>
      <c r="G2071" s="115" t="s">
        <v>9324</v>
      </c>
      <c r="H2071" s="115" t="s">
        <v>9323</v>
      </c>
      <c r="I2071" s="109" t="s">
        <v>10769</v>
      </c>
      <c r="J2071" s="239" t="s">
        <v>10770</v>
      </c>
      <c r="K2071" s="109" t="s">
        <v>9440</v>
      </c>
      <c r="L2071" s="109" t="s">
        <v>9496</v>
      </c>
    </row>
    <row r="2072" spans="1:12" s="58" customFormat="1" ht="14.85" customHeight="1" x14ac:dyDescent="0.25">
      <c r="A2072" s="108" t="s">
        <v>9308</v>
      </c>
      <c r="B2072" s="115" t="s">
        <v>8939</v>
      </c>
      <c r="C2072" s="115" t="s">
        <v>9338</v>
      </c>
      <c r="D2072" s="109" t="s">
        <v>10767</v>
      </c>
      <c r="E2072" s="106" t="s">
        <v>10768</v>
      </c>
      <c r="F2072" s="109" t="s">
        <v>9496</v>
      </c>
      <c r="G2072" s="115" t="s">
        <v>9324</v>
      </c>
      <c r="H2072" s="115" t="s">
        <v>9323</v>
      </c>
      <c r="I2072" s="109" t="s">
        <v>10771</v>
      </c>
      <c r="J2072" s="239" t="s">
        <v>10772</v>
      </c>
      <c r="K2072" s="109" t="s">
        <v>9440</v>
      </c>
      <c r="L2072" s="109" t="s">
        <v>9496</v>
      </c>
    </row>
    <row r="2073" spans="1:12" s="58" customFormat="1" ht="14.85" customHeight="1" x14ac:dyDescent="0.25">
      <c r="A2073" s="108" t="s">
        <v>9308</v>
      </c>
      <c r="B2073" s="115" t="s">
        <v>8939</v>
      </c>
      <c r="C2073" s="115" t="s">
        <v>9338</v>
      </c>
      <c r="D2073" s="109" t="s">
        <v>10767</v>
      </c>
      <c r="E2073" s="106" t="s">
        <v>10768</v>
      </c>
      <c r="F2073" s="109" t="s">
        <v>9496</v>
      </c>
      <c r="G2073" s="115" t="s">
        <v>9324</v>
      </c>
      <c r="H2073" s="115" t="s">
        <v>9323</v>
      </c>
      <c r="I2073" s="109" t="s">
        <v>10457</v>
      </c>
      <c r="J2073" s="239" t="s">
        <v>10458</v>
      </c>
      <c r="K2073" s="109" t="s">
        <v>9440</v>
      </c>
      <c r="L2073" s="109" t="s">
        <v>9496</v>
      </c>
    </row>
    <row r="2074" spans="1:12" s="58" customFormat="1" ht="14.85" customHeight="1" x14ac:dyDescent="0.25">
      <c r="A2074" s="108" t="s">
        <v>9308</v>
      </c>
      <c r="B2074" s="115" t="s">
        <v>8939</v>
      </c>
      <c r="C2074" s="115" t="s">
        <v>9338</v>
      </c>
      <c r="D2074" s="109" t="s">
        <v>10773</v>
      </c>
      <c r="E2074" s="106" t="s">
        <v>10774</v>
      </c>
      <c r="F2074" s="109" t="s">
        <v>9496</v>
      </c>
      <c r="G2074" s="115" t="s">
        <v>9324</v>
      </c>
      <c r="H2074" s="115" t="s">
        <v>9324</v>
      </c>
      <c r="I2074" s="109" t="s">
        <v>10769</v>
      </c>
      <c r="J2074" s="239" t="s">
        <v>10770</v>
      </c>
      <c r="K2074" s="109" t="s">
        <v>9440</v>
      </c>
      <c r="L2074" s="109" t="s">
        <v>9496</v>
      </c>
    </row>
    <row r="2075" spans="1:12" s="58" customFormat="1" ht="14.85" customHeight="1" x14ac:dyDescent="0.25">
      <c r="A2075" s="108" t="s">
        <v>9308</v>
      </c>
      <c r="B2075" s="115" t="s">
        <v>8939</v>
      </c>
      <c r="C2075" s="115" t="s">
        <v>9338</v>
      </c>
      <c r="D2075" s="109" t="s">
        <v>10773</v>
      </c>
      <c r="E2075" s="106" t="s">
        <v>10774</v>
      </c>
      <c r="F2075" s="109" t="s">
        <v>9496</v>
      </c>
      <c r="G2075" s="115" t="s">
        <v>9324</v>
      </c>
      <c r="H2075" s="115" t="s">
        <v>9324</v>
      </c>
      <c r="I2075" s="109" t="s">
        <v>10771</v>
      </c>
      <c r="J2075" s="239" t="s">
        <v>10772</v>
      </c>
      <c r="K2075" s="109" t="s">
        <v>9440</v>
      </c>
      <c r="L2075" s="109" t="s">
        <v>9496</v>
      </c>
    </row>
    <row r="2076" spans="1:12" s="58" customFormat="1" ht="14.85" customHeight="1" x14ac:dyDescent="0.25">
      <c r="A2076" s="108" t="s">
        <v>9308</v>
      </c>
      <c r="B2076" s="115" t="s">
        <v>8939</v>
      </c>
      <c r="C2076" s="115" t="s">
        <v>9338</v>
      </c>
      <c r="D2076" s="109" t="s">
        <v>10773</v>
      </c>
      <c r="E2076" s="106" t="s">
        <v>10774</v>
      </c>
      <c r="F2076" s="109" t="s">
        <v>9496</v>
      </c>
      <c r="G2076" s="115" t="s">
        <v>9324</v>
      </c>
      <c r="H2076" s="115" t="s">
        <v>9324</v>
      </c>
      <c r="I2076" s="109" t="s">
        <v>10457</v>
      </c>
      <c r="J2076" s="239" t="s">
        <v>10458</v>
      </c>
      <c r="K2076" s="109" t="s">
        <v>9440</v>
      </c>
      <c r="L2076" s="109" t="s">
        <v>9496</v>
      </c>
    </row>
    <row r="2077" spans="1:12" s="58" customFormat="1" ht="14.85" customHeight="1" x14ac:dyDescent="0.25">
      <c r="A2077" s="108" t="s">
        <v>9308</v>
      </c>
      <c r="B2077" s="115" t="s">
        <v>8939</v>
      </c>
      <c r="C2077" s="115" t="s">
        <v>9338</v>
      </c>
      <c r="D2077" s="109" t="s">
        <v>10775</v>
      </c>
      <c r="E2077" s="106" t="s">
        <v>10776</v>
      </c>
      <c r="F2077" s="109" t="s">
        <v>9496</v>
      </c>
      <c r="G2077" s="115" t="s">
        <v>9324</v>
      </c>
      <c r="H2077" s="115" t="s">
        <v>9323</v>
      </c>
      <c r="I2077" s="109" t="s">
        <v>10769</v>
      </c>
      <c r="J2077" s="239" t="s">
        <v>10770</v>
      </c>
      <c r="K2077" s="109" t="s">
        <v>9440</v>
      </c>
      <c r="L2077" s="109" t="s">
        <v>9496</v>
      </c>
    </row>
    <row r="2078" spans="1:12" s="58" customFormat="1" ht="14.85" customHeight="1" x14ac:dyDescent="0.25">
      <c r="A2078" s="108" t="s">
        <v>9308</v>
      </c>
      <c r="B2078" s="115" t="s">
        <v>8939</v>
      </c>
      <c r="C2078" s="115" t="s">
        <v>9338</v>
      </c>
      <c r="D2078" s="109" t="s">
        <v>10775</v>
      </c>
      <c r="E2078" s="106" t="s">
        <v>10776</v>
      </c>
      <c r="F2078" s="109" t="s">
        <v>9496</v>
      </c>
      <c r="G2078" s="115" t="s">
        <v>9324</v>
      </c>
      <c r="H2078" s="115" t="s">
        <v>9323</v>
      </c>
      <c r="I2078" s="109" t="s">
        <v>10771</v>
      </c>
      <c r="J2078" s="239" t="s">
        <v>10772</v>
      </c>
      <c r="K2078" s="109" t="s">
        <v>9440</v>
      </c>
      <c r="L2078" s="109" t="s">
        <v>9496</v>
      </c>
    </row>
    <row r="2079" spans="1:12" s="58" customFormat="1" ht="14.85" customHeight="1" x14ac:dyDescent="0.25">
      <c r="A2079" s="108" t="s">
        <v>9308</v>
      </c>
      <c r="B2079" s="115" t="s">
        <v>8939</v>
      </c>
      <c r="C2079" s="115" t="s">
        <v>9338</v>
      </c>
      <c r="D2079" s="109" t="s">
        <v>10775</v>
      </c>
      <c r="E2079" s="106" t="s">
        <v>10776</v>
      </c>
      <c r="F2079" s="109" t="s">
        <v>9496</v>
      </c>
      <c r="G2079" s="115" t="s">
        <v>9324</v>
      </c>
      <c r="H2079" s="115" t="s">
        <v>9323</v>
      </c>
      <c r="I2079" s="109" t="s">
        <v>10457</v>
      </c>
      <c r="J2079" s="239" t="s">
        <v>10458</v>
      </c>
      <c r="K2079" s="109" t="s">
        <v>9440</v>
      </c>
      <c r="L2079" s="109" t="s">
        <v>9496</v>
      </c>
    </row>
    <row r="2080" spans="1:12" s="58" customFormat="1" ht="14.85" customHeight="1" x14ac:dyDescent="0.25">
      <c r="A2080" s="108" t="s">
        <v>9308</v>
      </c>
      <c r="B2080" s="115" t="s">
        <v>8939</v>
      </c>
      <c r="C2080" s="115" t="s">
        <v>9338</v>
      </c>
      <c r="D2080" s="109" t="s">
        <v>10777</v>
      </c>
      <c r="E2080" s="106" t="s">
        <v>10778</v>
      </c>
      <c r="F2080" s="109" t="s">
        <v>9496</v>
      </c>
      <c r="G2080" s="115" t="s">
        <v>9324</v>
      </c>
      <c r="H2080" s="115" t="s">
        <v>9323</v>
      </c>
      <c r="I2080" s="109" t="s">
        <v>10090</v>
      </c>
      <c r="J2080" s="239" t="s">
        <v>10091</v>
      </c>
      <c r="K2080" s="109" t="s">
        <v>9440</v>
      </c>
      <c r="L2080" s="109" t="s">
        <v>9496</v>
      </c>
    </row>
    <row r="2081" spans="1:12" s="165" customFormat="1" ht="14.85" customHeight="1" x14ac:dyDescent="0.25">
      <c r="A2081" s="108" t="s">
        <v>9308</v>
      </c>
      <c r="B2081" s="115" t="s">
        <v>8939</v>
      </c>
      <c r="C2081" s="115" t="s">
        <v>9338</v>
      </c>
      <c r="D2081" s="109" t="s">
        <v>10777</v>
      </c>
      <c r="E2081" s="106" t="s">
        <v>10778</v>
      </c>
      <c r="F2081" s="109" t="s">
        <v>9496</v>
      </c>
      <c r="G2081" s="115" t="s">
        <v>9324</v>
      </c>
      <c r="H2081" s="115" t="s">
        <v>9323</v>
      </c>
      <c r="I2081" s="109" t="s">
        <v>10769</v>
      </c>
      <c r="J2081" s="239" t="s">
        <v>10770</v>
      </c>
      <c r="K2081" s="109" t="s">
        <v>9440</v>
      </c>
      <c r="L2081" s="109" t="s">
        <v>9496</v>
      </c>
    </row>
    <row r="2082" spans="1:12" s="165" customFormat="1" ht="14.85" customHeight="1" x14ac:dyDescent="0.25">
      <c r="A2082" s="108" t="s">
        <v>9308</v>
      </c>
      <c r="B2082" s="115" t="s">
        <v>8939</v>
      </c>
      <c r="C2082" s="115" t="s">
        <v>9338</v>
      </c>
      <c r="D2082" s="109" t="s">
        <v>10777</v>
      </c>
      <c r="E2082" s="106" t="s">
        <v>10778</v>
      </c>
      <c r="F2082" s="109" t="s">
        <v>9496</v>
      </c>
      <c r="G2082" s="115" t="s">
        <v>9324</v>
      </c>
      <c r="H2082" s="115" t="s">
        <v>9323</v>
      </c>
      <c r="I2082" s="109" t="s">
        <v>10771</v>
      </c>
      <c r="J2082" s="239" t="s">
        <v>10772</v>
      </c>
      <c r="K2082" s="109" t="s">
        <v>9440</v>
      </c>
      <c r="L2082" s="109" t="s">
        <v>9496</v>
      </c>
    </row>
    <row r="2083" spans="1:12" s="165" customFormat="1" ht="14.85" customHeight="1" x14ac:dyDescent="0.25">
      <c r="A2083" s="108" t="s">
        <v>9308</v>
      </c>
      <c r="B2083" s="115" t="s">
        <v>8939</v>
      </c>
      <c r="C2083" s="115" t="s">
        <v>9338</v>
      </c>
      <c r="D2083" s="109" t="s">
        <v>10777</v>
      </c>
      <c r="E2083" s="106" t="s">
        <v>10778</v>
      </c>
      <c r="F2083" s="109" t="s">
        <v>9496</v>
      </c>
      <c r="G2083" s="115" t="s">
        <v>9324</v>
      </c>
      <c r="H2083" s="115" t="s">
        <v>9323</v>
      </c>
      <c r="I2083" s="109" t="s">
        <v>10092</v>
      </c>
      <c r="J2083" s="239" t="s">
        <v>10093</v>
      </c>
      <c r="K2083" s="109" t="s">
        <v>9440</v>
      </c>
      <c r="L2083" s="109" t="s">
        <v>9496</v>
      </c>
    </row>
    <row r="2084" spans="1:12" s="58" customFormat="1" ht="14.85" customHeight="1" x14ac:dyDescent="0.25">
      <c r="A2084" s="108" t="s">
        <v>9308</v>
      </c>
      <c r="B2084" s="115" t="s">
        <v>8939</v>
      </c>
      <c r="C2084" s="115" t="s">
        <v>9338</v>
      </c>
      <c r="D2084" s="109" t="s">
        <v>10777</v>
      </c>
      <c r="E2084" s="106" t="s">
        <v>10778</v>
      </c>
      <c r="F2084" s="109" t="s">
        <v>9496</v>
      </c>
      <c r="G2084" s="115" t="s">
        <v>9324</v>
      </c>
      <c r="H2084" s="115" t="s">
        <v>9323</v>
      </c>
      <c r="I2084" s="109" t="s">
        <v>10457</v>
      </c>
      <c r="J2084" s="239" t="s">
        <v>10458</v>
      </c>
      <c r="K2084" s="109" t="s">
        <v>9440</v>
      </c>
      <c r="L2084" s="109" t="s">
        <v>9496</v>
      </c>
    </row>
    <row r="2085" spans="1:12" s="58" customFormat="1" ht="14.85" customHeight="1" x14ac:dyDescent="0.25">
      <c r="A2085" s="108" t="s">
        <v>9308</v>
      </c>
      <c r="B2085" s="115" t="s">
        <v>8939</v>
      </c>
      <c r="C2085" s="115" t="s">
        <v>9338</v>
      </c>
      <c r="D2085" s="109" t="s">
        <v>10779</v>
      </c>
      <c r="E2085" s="106" t="s">
        <v>10780</v>
      </c>
      <c r="F2085" s="109" t="s">
        <v>9496</v>
      </c>
      <c r="G2085" s="115" t="s">
        <v>9324</v>
      </c>
      <c r="H2085" s="115" t="s">
        <v>9323</v>
      </c>
      <c r="I2085" s="109" t="s">
        <v>10090</v>
      </c>
      <c r="J2085" s="239" t="s">
        <v>10091</v>
      </c>
      <c r="K2085" s="109" t="s">
        <v>9440</v>
      </c>
      <c r="L2085" s="109" t="s">
        <v>9496</v>
      </c>
    </row>
    <row r="2086" spans="1:12" s="58" customFormat="1" ht="14.85" customHeight="1" x14ac:dyDescent="0.25">
      <c r="A2086" s="108" t="s">
        <v>9308</v>
      </c>
      <c r="B2086" s="115" t="s">
        <v>8939</v>
      </c>
      <c r="C2086" s="115" t="s">
        <v>9338</v>
      </c>
      <c r="D2086" s="109" t="s">
        <v>10779</v>
      </c>
      <c r="E2086" s="106" t="s">
        <v>10780</v>
      </c>
      <c r="F2086" s="109" t="s">
        <v>9496</v>
      </c>
      <c r="G2086" s="115" t="s">
        <v>9324</v>
      </c>
      <c r="H2086" s="115" t="s">
        <v>9323</v>
      </c>
      <c r="I2086" s="109" t="s">
        <v>10092</v>
      </c>
      <c r="J2086" s="239" t="s">
        <v>10093</v>
      </c>
      <c r="K2086" s="109" t="s">
        <v>9440</v>
      </c>
      <c r="L2086" s="109" t="s">
        <v>9496</v>
      </c>
    </row>
    <row r="2087" spans="1:12" s="58" customFormat="1" ht="14.85" customHeight="1" x14ac:dyDescent="0.25">
      <c r="A2087" s="108" t="s">
        <v>9308</v>
      </c>
      <c r="B2087" s="115" t="s">
        <v>8939</v>
      </c>
      <c r="C2087" s="115" t="s">
        <v>9338</v>
      </c>
      <c r="D2087" s="109" t="s">
        <v>10779</v>
      </c>
      <c r="E2087" s="106" t="s">
        <v>10780</v>
      </c>
      <c r="F2087" s="109" t="s">
        <v>9496</v>
      </c>
      <c r="G2087" s="115" t="s">
        <v>9324</v>
      </c>
      <c r="H2087" s="115" t="s">
        <v>9323</v>
      </c>
      <c r="I2087" s="109" t="s">
        <v>10457</v>
      </c>
      <c r="J2087" s="239" t="s">
        <v>10458</v>
      </c>
      <c r="K2087" s="109" t="s">
        <v>9440</v>
      </c>
      <c r="L2087" s="109" t="s">
        <v>9496</v>
      </c>
    </row>
    <row r="2088" spans="1:12" s="58" customFormat="1" ht="14.85" customHeight="1" x14ac:dyDescent="0.25">
      <c r="A2088" s="108" t="s">
        <v>9308</v>
      </c>
      <c r="B2088" s="115" t="s">
        <v>8939</v>
      </c>
      <c r="C2088" s="115" t="s">
        <v>9338</v>
      </c>
      <c r="D2088" s="109" t="s">
        <v>10781</v>
      </c>
      <c r="E2088" s="106" t="s">
        <v>10782</v>
      </c>
      <c r="F2088" s="109" t="s">
        <v>9496</v>
      </c>
      <c r="G2088" s="115" t="s">
        <v>9324</v>
      </c>
      <c r="H2088" s="115" t="s">
        <v>9324</v>
      </c>
      <c r="I2088" s="109" t="s">
        <v>10783</v>
      </c>
      <c r="J2088" s="239" t="s">
        <v>10784</v>
      </c>
      <c r="K2088" s="109" t="s">
        <v>9440</v>
      </c>
      <c r="L2088" s="109" t="s">
        <v>9496</v>
      </c>
    </row>
    <row r="2089" spans="1:12" s="58" customFormat="1" ht="14.85" customHeight="1" x14ac:dyDescent="0.25">
      <c r="A2089" s="108" t="s">
        <v>9308</v>
      </c>
      <c r="B2089" s="115" t="s">
        <v>8939</v>
      </c>
      <c r="C2089" s="115" t="s">
        <v>9338</v>
      </c>
      <c r="D2089" s="109" t="s">
        <v>10781</v>
      </c>
      <c r="E2089" s="106" t="s">
        <v>10782</v>
      </c>
      <c r="F2089" s="109" t="s">
        <v>9496</v>
      </c>
      <c r="G2089" s="115" t="s">
        <v>9324</v>
      </c>
      <c r="H2089" s="115" t="s">
        <v>9324</v>
      </c>
      <c r="I2089" s="109" t="s">
        <v>10785</v>
      </c>
      <c r="J2089" s="239" t="s">
        <v>10786</v>
      </c>
      <c r="K2089" s="109" t="s">
        <v>9440</v>
      </c>
      <c r="L2089" s="109" t="s">
        <v>9496</v>
      </c>
    </row>
    <row r="2090" spans="1:12" s="58" customFormat="1" ht="14.85" customHeight="1" x14ac:dyDescent="0.25">
      <c r="A2090" s="108" t="s">
        <v>9308</v>
      </c>
      <c r="B2090" s="115" t="s">
        <v>8939</v>
      </c>
      <c r="C2090" s="115" t="s">
        <v>9338</v>
      </c>
      <c r="D2090" s="109" t="s">
        <v>10781</v>
      </c>
      <c r="E2090" s="106" t="s">
        <v>10782</v>
      </c>
      <c r="F2090" s="109" t="s">
        <v>9496</v>
      </c>
      <c r="G2090" s="115" t="s">
        <v>9324</v>
      </c>
      <c r="H2090" s="115" t="s">
        <v>9324</v>
      </c>
      <c r="I2090" s="109" t="s">
        <v>10457</v>
      </c>
      <c r="J2090" s="239" t="s">
        <v>10458</v>
      </c>
      <c r="K2090" s="109" t="s">
        <v>9440</v>
      </c>
      <c r="L2090" s="109" t="s">
        <v>9496</v>
      </c>
    </row>
    <row r="2091" spans="1:12" s="58" customFormat="1" ht="14.85" customHeight="1" x14ac:dyDescent="0.25">
      <c r="A2091" s="108" t="s">
        <v>9308</v>
      </c>
      <c r="B2091" s="115" t="s">
        <v>8939</v>
      </c>
      <c r="C2091" s="115" t="s">
        <v>9338</v>
      </c>
      <c r="D2091" s="109" t="s">
        <v>10787</v>
      </c>
      <c r="E2091" s="106" t="s">
        <v>10788</v>
      </c>
      <c r="F2091" s="109" t="s">
        <v>9496</v>
      </c>
      <c r="G2091" s="115" t="s">
        <v>9324</v>
      </c>
      <c r="H2091" s="115" t="s">
        <v>9323</v>
      </c>
      <c r="I2091" s="109" t="s">
        <v>10783</v>
      </c>
      <c r="J2091" s="239" t="s">
        <v>10784</v>
      </c>
      <c r="K2091" s="109" t="s">
        <v>9440</v>
      </c>
      <c r="L2091" s="109" t="s">
        <v>9496</v>
      </c>
    </row>
    <row r="2092" spans="1:12" s="58" customFormat="1" ht="14.85" customHeight="1" x14ac:dyDescent="0.25">
      <c r="A2092" s="108" t="s">
        <v>9308</v>
      </c>
      <c r="B2092" s="115" t="s">
        <v>8939</v>
      </c>
      <c r="C2092" s="115" t="s">
        <v>9338</v>
      </c>
      <c r="D2092" s="109" t="s">
        <v>10787</v>
      </c>
      <c r="E2092" s="106" t="s">
        <v>10788</v>
      </c>
      <c r="F2092" s="109" t="s">
        <v>9496</v>
      </c>
      <c r="G2092" s="115" t="s">
        <v>9324</v>
      </c>
      <c r="H2092" s="115" t="s">
        <v>9323</v>
      </c>
      <c r="I2092" s="109" t="s">
        <v>10785</v>
      </c>
      <c r="J2092" s="239" t="s">
        <v>10786</v>
      </c>
      <c r="K2092" s="109" t="s">
        <v>9440</v>
      </c>
      <c r="L2092" s="109" t="s">
        <v>9496</v>
      </c>
    </row>
    <row r="2093" spans="1:12" s="58" customFormat="1" ht="14.85" customHeight="1" x14ac:dyDescent="0.25">
      <c r="A2093" s="108" t="s">
        <v>9308</v>
      </c>
      <c r="B2093" s="115" t="s">
        <v>8939</v>
      </c>
      <c r="C2093" s="115" t="s">
        <v>9338</v>
      </c>
      <c r="D2093" s="109" t="s">
        <v>10787</v>
      </c>
      <c r="E2093" s="106" t="s">
        <v>10788</v>
      </c>
      <c r="F2093" s="109" t="s">
        <v>9496</v>
      </c>
      <c r="G2093" s="115" t="s">
        <v>9324</v>
      </c>
      <c r="H2093" s="115" t="s">
        <v>9323</v>
      </c>
      <c r="I2093" s="109" t="s">
        <v>10457</v>
      </c>
      <c r="J2093" s="239" t="s">
        <v>10458</v>
      </c>
      <c r="K2093" s="109" t="s">
        <v>9440</v>
      </c>
      <c r="L2093" s="109" t="s">
        <v>9496</v>
      </c>
    </row>
    <row r="2094" spans="1:12" s="58" customFormat="1" ht="14.85" customHeight="1" x14ac:dyDescent="0.25">
      <c r="A2094" s="108" t="s">
        <v>9308</v>
      </c>
      <c r="B2094" s="115" t="s">
        <v>8939</v>
      </c>
      <c r="C2094" s="115" t="s">
        <v>9338</v>
      </c>
      <c r="D2094" s="109" t="s">
        <v>10789</v>
      </c>
      <c r="E2094" s="106" t="s">
        <v>10790</v>
      </c>
      <c r="F2094" s="109" t="s">
        <v>9496</v>
      </c>
      <c r="G2094" s="115" t="s">
        <v>9324</v>
      </c>
      <c r="H2094" s="115" t="s">
        <v>9323</v>
      </c>
      <c r="I2094" s="109" t="s">
        <v>10783</v>
      </c>
      <c r="J2094" s="239" t="s">
        <v>10784</v>
      </c>
      <c r="K2094" s="109" t="s">
        <v>9440</v>
      </c>
      <c r="L2094" s="109" t="s">
        <v>9496</v>
      </c>
    </row>
    <row r="2095" spans="1:12" s="58" customFormat="1" ht="14.85" customHeight="1" x14ac:dyDescent="0.25">
      <c r="A2095" s="108" t="s">
        <v>9308</v>
      </c>
      <c r="B2095" s="115" t="s">
        <v>8939</v>
      </c>
      <c r="C2095" s="115" t="s">
        <v>9338</v>
      </c>
      <c r="D2095" s="109" t="s">
        <v>10789</v>
      </c>
      <c r="E2095" s="106" t="s">
        <v>10790</v>
      </c>
      <c r="F2095" s="109" t="s">
        <v>9496</v>
      </c>
      <c r="G2095" s="115" t="s">
        <v>9324</v>
      </c>
      <c r="H2095" s="115" t="s">
        <v>9323</v>
      </c>
      <c r="I2095" s="109" t="s">
        <v>10785</v>
      </c>
      <c r="J2095" s="239" t="s">
        <v>10786</v>
      </c>
      <c r="K2095" s="109" t="s">
        <v>9440</v>
      </c>
      <c r="L2095" s="109" t="s">
        <v>9496</v>
      </c>
    </row>
    <row r="2096" spans="1:12" s="58" customFormat="1" ht="14.85" customHeight="1" x14ac:dyDescent="0.25">
      <c r="A2096" s="108" t="s">
        <v>9308</v>
      </c>
      <c r="B2096" s="115" t="s">
        <v>8939</v>
      </c>
      <c r="C2096" s="115" t="s">
        <v>9338</v>
      </c>
      <c r="D2096" s="109" t="s">
        <v>10789</v>
      </c>
      <c r="E2096" s="106" t="s">
        <v>10790</v>
      </c>
      <c r="F2096" s="109" t="s">
        <v>9496</v>
      </c>
      <c r="G2096" s="115" t="s">
        <v>9324</v>
      </c>
      <c r="H2096" s="115" t="s">
        <v>9323</v>
      </c>
      <c r="I2096" s="109" t="s">
        <v>10457</v>
      </c>
      <c r="J2096" s="239" t="s">
        <v>10458</v>
      </c>
      <c r="K2096" s="109" t="s">
        <v>9440</v>
      </c>
      <c r="L2096" s="109" t="s">
        <v>9496</v>
      </c>
    </row>
    <row r="2097" spans="1:12" s="58" customFormat="1" ht="14.85" customHeight="1" x14ac:dyDescent="0.25">
      <c r="A2097" s="108" t="s">
        <v>9308</v>
      </c>
      <c r="B2097" s="115" t="s">
        <v>8939</v>
      </c>
      <c r="C2097" s="115" t="s">
        <v>9338</v>
      </c>
      <c r="D2097" s="109" t="s">
        <v>10791</v>
      </c>
      <c r="E2097" s="106" t="s">
        <v>10792</v>
      </c>
      <c r="F2097" s="109" t="s">
        <v>9496</v>
      </c>
      <c r="G2097" s="115" t="s">
        <v>9324</v>
      </c>
      <c r="H2097" s="115" t="s">
        <v>9323</v>
      </c>
      <c r="I2097" s="109" t="s">
        <v>10783</v>
      </c>
      <c r="J2097" s="239" t="s">
        <v>10784</v>
      </c>
      <c r="K2097" s="109" t="s">
        <v>9440</v>
      </c>
      <c r="L2097" s="109" t="s">
        <v>9496</v>
      </c>
    </row>
    <row r="2098" spans="1:12" s="58" customFormat="1" ht="14.85" customHeight="1" x14ac:dyDescent="0.25">
      <c r="A2098" s="108" t="s">
        <v>9308</v>
      </c>
      <c r="B2098" s="115" t="s">
        <v>8939</v>
      </c>
      <c r="C2098" s="115" t="s">
        <v>9338</v>
      </c>
      <c r="D2098" s="109" t="s">
        <v>10791</v>
      </c>
      <c r="E2098" s="106" t="s">
        <v>10792</v>
      </c>
      <c r="F2098" s="109" t="s">
        <v>9496</v>
      </c>
      <c r="G2098" s="115" t="s">
        <v>9324</v>
      </c>
      <c r="H2098" s="115" t="s">
        <v>9323</v>
      </c>
      <c r="I2098" s="109" t="s">
        <v>10785</v>
      </c>
      <c r="J2098" s="239" t="s">
        <v>10786</v>
      </c>
      <c r="K2098" s="109" t="s">
        <v>9440</v>
      </c>
      <c r="L2098" s="109" t="s">
        <v>9496</v>
      </c>
    </row>
    <row r="2099" spans="1:12" s="58" customFormat="1" ht="14.85" customHeight="1" x14ac:dyDescent="0.25">
      <c r="A2099" s="108" t="s">
        <v>9308</v>
      </c>
      <c r="B2099" s="115" t="s">
        <v>8939</v>
      </c>
      <c r="C2099" s="115" t="s">
        <v>9338</v>
      </c>
      <c r="D2099" s="109" t="s">
        <v>10791</v>
      </c>
      <c r="E2099" s="106" t="s">
        <v>10792</v>
      </c>
      <c r="F2099" s="109" t="s">
        <v>9496</v>
      </c>
      <c r="G2099" s="115" t="s">
        <v>9324</v>
      </c>
      <c r="H2099" s="115" t="s">
        <v>9323</v>
      </c>
      <c r="I2099" s="109" t="s">
        <v>10457</v>
      </c>
      <c r="J2099" s="239" t="s">
        <v>10458</v>
      </c>
      <c r="K2099" s="109" t="s">
        <v>9440</v>
      </c>
      <c r="L2099" s="109" t="s">
        <v>9496</v>
      </c>
    </row>
    <row r="2100" spans="1:12" s="58" customFormat="1" ht="14.85" customHeight="1" x14ac:dyDescent="0.25">
      <c r="A2100" s="108" t="s">
        <v>9308</v>
      </c>
      <c r="B2100" s="115" t="s">
        <v>8939</v>
      </c>
      <c r="C2100" s="115" t="s">
        <v>9338</v>
      </c>
      <c r="D2100" s="109" t="s">
        <v>10793</v>
      </c>
      <c r="E2100" s="106" t="s">
        <v>10794</v>
      </c>
      <c r="F2100" s="109" t="s">
        <v>9496</v>
      </c>
      <c r="G2100" s="115" t="s">
        <v>9324</v>
      </c>
      <c r="H2100" s="115" t="s">
        <v>9323</v>
      </c>
      <c r="I2100" s="109">
        <v>3030</v>
      </c>
      <c r="J2100" s="239" t="s">
        <v>10784</v>
      </c>
      <c r="K2100" s="109" t="s">
        <v>9440</v>
      </c>
      <c r="L2100" s="109" t="s">
        <v>9496</v>
      </c>
    </row>
    <row r="2101" spans="1:12" s="58" customFormat="1" ht="14.85" customHeight="1" x14ac:dyDescent="0.25">
      <c r="A2101" s="108" t="s">
        <v>9308</v>
      </c>
      <c r="B2101" s="115" t="s">
        <v>8939</v>
      </c>
      <c r="C2101" s="115" t="s">
        <v>9338</v>
      </c>
      <c r="D2101" s="109" t="s">
        <v>10793</v>
      </c>
      <c r="E2101" s="106" t="s">
        <v>10794</v>
      </c>
      <c r="F2101" s="109" t="s">
        <v>9496</v>
      </c>
      <c r="G2101" s="115" t="s">
        <v>9324</v>
      </c>
      <c r="H2101" s="115" t="s">
        <v>9323</v>
      </c>
      <c r="I2101" s="109" t="s">
        <v>10785</v>
      </c>
      <c r="J2101" s="239" t="s">
        <v>10786</v>
      </c>
      <c r="K2101" s="109" t="s">
        <v>9440</v>
      </c>
      <c r="L2101" s="109" t="s">
        <v>9496</v>
      </c>
    </row>
    <row r="2102" spans="1:12" s="58" customFormat="1" ht="14.85" customHeight="1" x14ac:dyDescent="0.25">
      <c r="A2102" s="108" t="s">
        <v>9308</v>
      </c>
      <c r="B2102" s="115" t="s">
        <v>8939</v>
      </c>
      <c r="C2102" s="115" t="s">
        <v>9338</v>
      </c>
      <c r="D2102" s="109" t="s">
        <v>10793</v>
      </c>
      <c r="E2102" s="106" t="s">
        <v>10794</v>
      </c>
      <c r="F2102" s="109" t="s">
        <v>9496</v>
      </c>
      <c r="G2102" s="115" t="s">
        <v>9324</v>
      </c>
      <c r="H2102" s="115" t="s">
        <v>9323</v>
      </c>
      <c r="I2102" s="109" t="s">
        <v>10457</v>
      </c>
      <c r="J2102" s="239" t="s">
        <v>10458</v>
      </c>
      <c r="K2102" s="109" t="s">
        <v>9440</v>
      </c>
      <c r="L2102" s="109" t="s">
        <v>9496</v>
      </c>
    </row>
    <row r="2103" spans="1:12" s="58" customFormat="1" ht="14.85" customHeight="1" x14ac:dyDescent="0.25">
      <c r="A2103" s="108" t="s">
        <v>9308</v>
      </c>
      <c r="B2103" s="115" t="s">
        <v>8939</v>
      </c>
      <c r="C2103" s="115" t="s">
        <v>9338</v>
      </c>
      <c r="D2103" s="109" t="s">
        <v>10795</v>
      </c>
      <c r="E2103" s="106" t="s">
        <v>10796</v>
      </c>
      <c r="F2103" s="109" t="s">
        <v>9496</v>
      </c>
      <c r="G2103" s="115" t="s">
        <v>9324</v>
      </c>
      <c r="H2103" s="115" t="s">
        <v>9323</v>
      </c>
      <c r="I2103" s="109" t="s">
        <v>10783</v>
      </c>
      <c r="J2103" s="239" t="s">
        <v>10784</v>
      </c>
      <c r="K2103" s="109" t="s">
        <v>9440</v>
      </c>
      <c r="L2103" s="109" t="s">
        <v>9496</v>
      </c>
    </row>
    <row r="2104" spans="1:12" s="58" customFormat="1" ht="14.85" customHeight="1" x14ac:dyDescent="0.25">
      <c r="A2104" s="108" t="s">
        <v>9308</v>
      </c>
      <c r="B2104" s="115" t="s">
        <v>8939</v>
      </c>
      <c r="C2104" s="115" t="s">
        <v>9338</v>
      </c>
      <c r="D2104" s="109" t="s">
        <v>10795</v>
      </c>
      <c r="E2104" s="106" t="s">
        <v>10796</v>
      </c>
      <c r="F2104" s="109" t="s">
        <v>9496</v>
      </c>
      <c r="G2104" s="115" t="s">
        <v>9324</v>
      </c>
      <c r="H2104" s="115" t="s">
        <v>9323</v>
      </c>
      <c r="I2104" s="109" t="s">
        <v>10785</v>
      </c>
      <c r="J2104" s="239" t="s">
        <v>10786</v>
      </c>
      <c r="K2104" s="109" t="s">
        <v>9440</v>
      </c>
      <c r="L2104" s="109" t="s">
        <v>9496</v>
      </c>
    </row>
    <row r="2105" spans="1:12" s="58" customFormat="1" ht="14.85" customHeight="1" x14ac:dyDescent="0.25">
      <c r="A2105" s="108" t="s">
        <v>9308</v>
      </c>
      <c r="B2105" s="115" t="s">
        <v>8939</v>
      </c>
      <c r="C2105" s="115" t="s">
        <v>9338</v>
      </c>
      <c r="D2105" s="109" t="s">
        <v>10795</v>
      </c>
      <c r="E2105" s="106" t="s">
        <v>10796</v>
      </c>
      <c r="F2105" s="109" t="s">
        <v>9496</v>
      </c>
      <c r="G2105" s="115" t="s">
        <v>9324</v>
      </c>
      <c r="H2105" s="115" t="s">
        <v>9323</v>
      </c>
      <c r="I2105" s="109" t="s">
        <v>10457</v>
      </c>
      <c r="J2105" s="239" t="s">
        <v>10458</v>
      </c>
      <c r="K2105" s="109" t="s">
        <v>9440</v>
      </c>
      <c r="L2105" s="109" t="s">
        <v>9496</v>
      </c>
    </row>
    <row r="2106" spans="1:12" s="58" customFormat="1" ht="14.85" customHeight="1" x14ac:dyDescent="0.25">
      <c r="A2106" s="108" t="s">
        <v>9308</v>
      </c>
      <c r="B2106" s="115" t="s">
        <v>8939</v>
      </c>
      <c r="C2106" s="115" t="s">
        <v>9338</v>
      </c>
      <c r="D2106" s="109" t="s">
        <v>10797</v>
      </c>
      <c r="E2106" s="106" t="s">
        <v>10798</v>
      </c>
      <c r="F2106" s="109" t="s">
        <v>9496</v>
      </c>
      <c r="G2106" s="115" t="s">
        <v>9324</v>
      </c>
      <c r="H2106" s="115" t="s">
        <v>9323</v>
      </c>
      <c r="I2106" s="109" t="s">
        <v>10457</v>
      </c>
      <c r="J2106" s="239" t="s">
        <v>10458</v>
      </c>
      <c r="K2106" s="109" t="s">
        <v>9440</v>
      </c>
      <c r="L2106" s="109" t="s">
        <v>9496</v>
      </c>
    </row>
    <row r="2107" spans="1:12" s="58" customFormat="1" ht="14.85" customHeight="1" x14ac:dyDescent="0.25">
      <c r="A2107" s="108" t="s">
        <v>9308</v>
      </c>
      <c r="B2107" s="115" t="s">
        <v>8939</v>
      </c>
      <c r="C2107" s="115" t="s">
        <v>9338</v>
      </c>
      <c r="D2107" s="109" t="s">
        <v>10799</v>
      </c>
      <c r="E2107" s="106" t="s">
        <v>10800</v>
      </c>
      <c r="F2107" s="109" t="s">
        <v>9496</v>
      </c>
      <c r="G2107" s="115" t="s">
        <v>9324</v>
      </c>
      <c r="H2107" s="115" t="s">
        <v>9323</v>
      </c>
      <c r="I2107" s="109" t="s">
        <v>10090</v>
      </c>
      <c r="J2107" s="239" t="s">
        <v>10091</v>
      </c>
      <c r="K2107" s="109" t="s">
        <v>9440</v>
      </c>
      <c r="L2107" s="109" t="s">
        <v>9496</v>
      </c>
    </row>
    <row r="2108" spans="1:12" s="58" customFormat="1" ht="14.85" customHeight="1" x14ac:dyDescent="0.25">
      <c r="A2108" s="108" t="s">
        <v>9308</v>
      </c>
      <c r="B2108" s="115" t="s">
        <v>8939</v>
      </c>
      <c r="C2108" s="115" t="s">
        <v>9338</v>
      </c>
      <c r="D2108" s="109" t="s">
        <v>10799</v>
      </c>
      <c r="E2108" s="106" t="s">
        <v>10800</v>
      </c>
      <c r="F2108" s="109" t="s">
        <v>9496</v>
      </c>
      <c r="G2108" s="115" t="s">
        <v>9324</v>
      </c>
      <c r="H2108" s="115" t="s">
        <v>9323</v>
      </c>
      <c r="I2108" s="109" t="s">
        <v>10783</v>
      </c>
      <c r="J2108" s="239" t="s">
        <v>10784</v>
      </c>
      <c r="K2108" s="109" t="s">
        <v>9440</v>
      </c>
      <c r="L2108" s="109" t="s">
        <v>9496</v>
      </c>
    </row>
    <row r="2109" spans="1:12" s="58" customFormat="1" ht="14.85" customHeight="1" x14ac:dyDescent="0.25">
      <c r="A2109" s="108" t="s">
        <v>9308</v>
      </c>
      <c r="B2109" s="115" t="s">
        <v>8939</v>
      </c>
      <c r="C2109" s="115" t="s">
        <v>9338</v>
      </c>
      <c r="D2109" s="109" t="s">
        <v>10799</v>
      </c>
      <c r="E2109" s="106" t="s">
        <v>10800</v>
      </c>
      <c r="F2109" s="109" t="s">
        <v>9496</v>
      </c>
      <c r="G2109" s="115" t="s">
        <v>9324</v>
      </c>
      <c r="H2109" s="115" t="s">
        <v>9323</v>
      </c>
      <c r="I2109" s="109" t="s">
        <v>10785</v>
      </c>
      <c r="J2109" s="239" t="s">
        <v>10786</v>
      </c>
      <c r="K2109" s="109" t="s">
        <v>9440</v>
      </c>
      <c r="L2109" s="109" t="s">
        <v>9496</v>
      </c>
    </row>
    <row r="2110" spans="1:12" s="58" customFormat="1" ht="14.85" customHeight="1" x14ac:dyDescent="0.25">
      <c r="A2110" s="108" t="s">
        <v>9308</v>
      </c>
      <c r="B2110" s="115" t="s">
        <v>8939</v>
      </c>
      <c r="C2110" s="115" t="s">
        <v>9338</v>
      </c>
      <c r="D2110" s="109" t="s">
        <v>10799</v>
      </c>
      <c r="E2110" s="106" t="s">
        <v>10800</v>
      </c>
      <c r="F2110" s="109" t="s">
        <v>9496</v>
      </c>
      <c r="G2110" s="115" t="s">
        <v>9324</v>
      </c>
      <c r="H2110" s="115" t="s">
        <v>9323</v>
      </c>
      <c r="I2110" s="109" t="s">
        <v>10092</v>
      </c>
      <c r="J2110" s="239" t="s">
        <v>10093</v>
      </c>
      <c r="K2110" s="109" t="s">
        <v>9440</v>
      </c>
      <c r="L2110" s="109" t="s">
        <v>9496</v>
      </c>
    </row>
    <row r="2111" spans="1:12" s="58" customFormat="1" ht="14.85" customHeight="1" x14ac:dyDescent="0.25">
      <c r="A2111" s="108" t="s">
        <v>9308</v>
      </c>
      <c r="B2111" s="115" t="s">
        <v>8939</v>
      </c>
      <c r="C2111" s="115" t="s">
        <v>9338</v>
      </c>
      <c r="D2111" s="109" t="s">
        <v>10799</v>
      </c>
      <c r="E2111" s="106" t="s">
        <v>10800</v>
      </c>
      <c r="F2111" s="109" t="s">
        <v>9496</v>
      </c>
      <c r="G2111" s="115" t="s">
        <v>9324</v>
      </c>
      <c r="H2111" s="115" t="s">
        <v>9323</v>
      </c>
      <c r="I2111" s="109" t="s">
        <v>10457</v>
      </c>
      <c r="J2111" s="239" t="s">
        <v>10458</v>
      </c>
      <c r="K2111" s="109" t="s">
        <v>9440</v>
      </c>
      <c r="L2111" s="109" t="s">
        <v>9496</v>
      </c>
    </row>
    <row r="2112" spans="1:12" s="58" customFormat="1" ht="14.85" customHeight="1" x14ac:dyDescent="0.25">
      <c r="A2112" s="108" t="s">
        <v>9308</v>
      </c>
      <c r="B2112" s="115" t="s">
        <v>8939</v>
      </c>
      <c r="C2112" s="115" t="s">
        <v>9338</v>
      </c>
      <c r="D2112" s="109" t="s">
        <v>10801</v>
      </c>
      <c r="E2112" s="299" t="s">
        <v>10802</v>
      </c>
      <c r="F2112" s="109" t="s">
        <v>9496</v>
      </c>
      <c r="G2112" s="115" t="s">
        <v>9324</v>
      </c>
      <c r="H2112" s="115" t="s">
        <v>9323</v>
      </c>
      <c r="I2112" s="109" t="s">
        <v>10803</v>
      </c>
      <c r="J2112" s="239" t="s">
        <v>10804</v>
      </c>
      <c r="K2112" s="109" t="s">
        <v>9440</v>
      </c>
      <c r="L2112" s="109" t="s">
        <v>9496</v>
      </c>
    </row>
    <row r="2113" spans="1:12" s="165" customFormat="1" ht="14.4" customHeight="1" x14ac:dyDescent="0.25">
      <c r="A2113" s="108" t="s">
        <v>13515</v>
      </c>
      <c r="B2113" s="164" t="s">
        <v>8939</v>
      </c>
      <c r="C2113" s="115" t="s">
        <v>9338</v>
      </c>
      <c r="D2113" s="109" t="s">
        <v>10801</v>
      </c>
      <c r="E2113" s="299" t="s">
        <v>10802</v>
      </c>
      <c r="F2113" s="109" t="s">
        <v>9496</v>
      </c>
      <c r="G2113" s="115" t="s">
        <v>9324</v>
      </c>
      <c r="H2113" s="115" t="s">
        <v>9323</v>
      </c>
      <c r="I2113" s="167" t="s">
        <v>13422</v>
      </c>
      <c r="J2113" s="243" t="s">
        <v>13426</v>
      </c>
      <c r="K2113" s="167" t="s">
        <v>9440</v>
      </c>
      <c r="L2113" s="167" t="s">
        <v>9496</v>
      </c>
    </row>
    <row r="2114" spans="1:12" s="165" customFormat="1" ht="14.4" customHeight="1" x14ac:dyDescent="0.25">
      <c r="A2114" s="108" t="s">
        <v>13514</v>
      </c>
      <c r="B2114" s="164" t="s">
        <v>8939</v>
      </c>
      <c r="C2114" s="166" t="s">
        <v>9338</v>
      </c>
      <c r="D2114" s="167" t="s">
        <v>13419</v>
      </c>
      <c r="E2114" s="318" t="s">
        <v>13420</v>
      </c>
      <c r="F2114" s="167" t="s">
        <v>9496</v>
      </c>
      <c r="G2114" s="166" t="s">
        <v>9324</v>
      </c>
      <c r="H2114" s="166" t="s">
        <v>9323</v>
      </c>
      <c r="I2114" s="167" t="s">
        <v>13422</v>
      </c>
      <c r="J2114" s="243" t="s">
        <v>13426</v>
      </c>
      <c r="K2114" s="167" t="s">
        <v>9440</v>
      </c>
      <c r="L2114" s="167" t="s">
        <v>9496</v>
      </c>
    </row>
    <row r="2115" spans="1:12" s="165" customFormat="1" ht="14.4" customHeight="1" x14ac:dyDescent="0.25">
      <c r="A2115" s="108" t="s">
        <v>13514</v>
      </c>
      <c r="B2115" s="164" t="s">
        <v>8939</v>
      </c>
      <c r="C2115" s="166" t="s">
        <v>9338</v>
      </c>
      <c r="D2115" s="167" t="s">
        <v>13421</v>
      </c>
      <c r="E2115" s="318" t="s">
        <v>13424</v>
      </c>
      <c r="F2115" s="167" t="s">
        <v>9496</v>
      </c>
      <c r="G2115" s="166" t="s">
        <v>9324</v>
      </c>
      <c r="H2115" s="166" t="s">
        <v>9323</v>
      </c>
      <c r="I2115" s="167" t="s">
        <v>13422</v>
      </c>
      <c r="J2115" s="243" t="s">
        <v>13426</v>
      </c>
      <c r="K2115" s="167" t="s">
        <v>9440</v>
      </c>
      <c r="L2115" s="167" t="s">
        <v>9496</v>
      </c>
    </row>
    <row r="2116" spans="1:12" s="165" customFormat="1" ht="14.4" customHeight="1" x14ac:dyDescent="0.25">
      <c r="A2116" s="108" t="s">
        <v>13514</v>
      </c>
      <c r="B2116" s="164" t="s">
        <v>8939</v>
      </c>
      <c r="C2116" s="166" t="s">
        <v>9338</v>
      </c>
      <c r="D2116" s="167" t="s">
        <v>13423</v>
      </c>
      <c r="E2116" s="318" t="s">
        <v>13425</v>
      </c>
      <c r="F2116" s="167" t="s">
        <v>9496</v>
      </c>
      <c r="G2116" s="166" t="s">
        <v>9324</v>
      </c>
      <c r="H2116" s="166" t="s">
        <v>9324</v>
      </c>
      <c r="I2116" s="167" t="s">
        <v>13422</v>
      </c>
      <c r="J2116" s="243" t="s">
        <v>13426</v>
      </c>
      <c r="K2116" s="167" t="s">
        <v>9440</v>
      </c>
      <c r="L2116" s="167" t="s">
        <v>9496</v>
      </c>
    </row>
    <row r="2117" spans="1:12" s="165" customFormat="1" ht="14.85" customHeight="1" x14ac:dyDescent="0.25">
      <c r="A2117" s="108" t="s">
        <v>9308</v>
      </c>
      <c r="B2117" s="115" t="s">
        <v>8939</v>
      </c>
      <c r="C2117" s="115" t="s">
        <v>9338</v>
      </c>
      <c r="D2117" s="109" t="s">
        <v>10808</v>
      </c>
      <c r="E2117" s="106" t="s">
        <v>10809</v>
      </c>
      <c r="F2117" s="109" t="s">
        <v>9496</v>
      </c>
      <c r="G2117" s="115" t="s">
        <v>9324</v>
      </c>
      <c r="H2117" s="115" t="s">
        <v>9323</v>
      </c>
      <c r="I2117" s="109" t="s">
        <v>10162</v>
      </c>
      <c r="J2117" s="239" t="s">
        <v>10163</v>
      </c>
      <c r="K2117" s="109" t="s">
        <v>9440</v>
      </c>
      <c r="L2117" s="109" t="s">
        <v>9496</v>
      </c>
    </row>
    <row r="2118" spans="1:12" s="165" customFormat="1" ht="14.85" customHeight="1" x14ac:dyDescent="0.25">
      <c r="A2118" s="108" t="s">
        <v>9308</v>
      </c>
      <c r="B2118" s="115" t="s">
        <v>8939</v>
      </c>
      <c r="C2118" s="115" t="s">
        <v>9338</v>
      </c>
      <c r="D2118" s="109" t="s">
        <v>10810</v>
      </c>
      <c r="E2118" s="106" t="s">
        <v>10811</v>
      </c>
      <c r="F2118" s="109" t="s">
        <v>9496</v>
      </c>
      <c r="G2118" s="115" t="s">
        <v>9324</v>
      </c>
      <c r="H2118" s="115" t="s">
        <v>9323</v>
      </c>
      <c r="I2118" s="109" t="s">
        <v>10162</v>
      </c>
      <c r="J2118" s="239" t="s">
        <v>10163</v>
      </c>
      <c r="K2118" s="109" t="s">
        <v>9440</v>
      </c>
      <c r="L2118" s="109" t="s">
        <v>9496</v>
      </c>
    </row>
    <row r="2119" spans="1:12" s="165" customFormat="1" ht="14.85" customHeight="1" x14ac:dyDescent="0.25">
      <c r="A2119" s="108" t="s">
        <v>9308</v>
      </c>
      <c r="B2119" s="115" t="s">
        <v>8939</v>
      </c>
      <c r="C2119" s="115" t="s">
        <v>9338</v>
      </c>
      <c r="D2119" s="109" t="s">
        <v>10812</v>
      </c>
      <c r="E2119" s="106" t="s">
        <v>10813</v>
      </c>
      <c r="F2119" s="109" t="s">
        <v>9496</v>
      </c>
      <c r="G2119" s="115" t="s">
        <v>9324</v>
      </c>
      <c r="H2119" s="115" t="s">
        <v>9323</v>
      </c>
      <c r="I2119" s="109" t="s">
        <v>10814</v>
      </c>
      <c r="J2119" s="239" t="s">
        <v>10815</v>
      </c>
      <c r="K2119" s="109" t="s">
        <v>9440</v>
      </c>
      <c r="L2119" s="109" t="s">
        <v>9496</v>
      </c>
    </row>
    <row r="2120" spans="1:12" s="58" customFormat="1" ht="14.85" customHeight="1" x14ac:dyDescent="0.25">
      <c r="A2120" s="108" t="s">
        <v>9308</v>
      </c>
      <c r="B2120" s="115" t="s">
        <v>8939</v>
      </c>
      <c r="C2120" s="115" t="s">
        <v>9338</v>
      </c>
      <c r="D2120" s="109" t="s">
        <v>10816</v>
      </c>
      <c r="E2120" s="106" t="s">
        <v>10817</v>
      </c>
      <c r="F2120" s="109" t="s">
        <v>9496</v>
      </c>
      <c r="G2120" s="115" t="s">
        <v>9324</v>
      </c>
      <c r="H2120" s="115" t="s">
        <v>9323</v>
      </c>
      <c r="I2120" s="109" t="s">
        <v>10814</v>
      </c>
      <c r="J2120" s="239" t="s">
        <v>10815</v>
      </c>
      <c r="K2120" s="109" t="s">
        <v>9440</v>
      </c>
      <c r="L2120" s="109" t="s">
        <v>9496</v>
      </c>
    </row>
    <row r="2121" spans="1:12" s="58" customFormat="1" ht="14.85" customHeight="1" x14ac:dyDescent="0.25">
      <c r="A2121" s="108" t="s">
        <v>9308</v>
      </c>
      <c r="B2121" s="115" t="s">
        <v>8939</v>
      </c>
      <c r="C2121" s="115" t="s">
        <v>9338</v>
      </c>
      <c r="D2121" s="109" t="s">
        <v>10818</v>
      </c>
      <c r="E2121" s="106" t="s">
        <v>10819</v>
      </c>
      <c r="F2121" s="109" t="s">
        <v>9496</v>
      </c>
      <c r="G2121" s="115" t="s">
        <v>9324</v>
      </c>
      <c r="H2121" s="115" t="s">
        <v>9324</v>
      </c>
      <c r="I2121" s="109" t="s">
        <v>10814</v>
      </c>
      <c r="J2121" s="239" t="s">
        <v>10815</v>
      </c>
      <c r="K2121" s="109" t="s">
        <v>9440</v>
      </c>
      <c r="L2121" s="109" t="s">
        <v>9496</v>
      </c>
    </row>
    <row r="2122" spans="1:12" s="58" customFormat="1" ht="14.85" customHeight="1" x14ac:dyDescent="0.25">
      <c r="A2122" s="108" t="s">
        <v>9308</v>
      </c>
      <c r="B2122" s="115" t="s">
        <v>8939</v>
      </c>
      <c r="C2122" s="115" t="s">
        <v>9338</v>
      </c>
      <c r="D2122" s="109" t="s">
        <v>10820</v>
      </c>
      <c r="E2122" s="106" t="s">
        <v>10821</v>
      </c>
      <c r="F2122" s="109" t="s">
        <v>9496</v>
      </c>
      <c r="G2122" s="115" t="s">
        <v>9324</v>
      </c>
      <c r="H2122" s="115" t="s">
        <v>9323</v>
      </c>
      <c r="I2122" s="109" t="s">
        <v>10822</v>
      </c>
      <c r="J2122" s="239" t="s">
        <v>10823</v>
      </c>
      <c r="K2122" s="109" t="s">
        <v>9440</v>
      </c>
      <c r="L2122" s="109" t="s">
        <v>9496</v>
      </c>
    </row>
    <row r="2123" spans="1:12" s="58" customFormat="1" ht="14.85" customHeight="1" x14ac:dyDescent="0.25">
      <c r="A2123" s="108" t="s">
        <v>9308</v>
      </c>
      <c r="B2123" s="115" t="s">
        <v>8939</v>
      </c>
      <c r="C2123" s="115" t="s">
        <v>9338</v>
      </c>
      <c r="D2123" s="109" t="s">
        <v>10820</v>
      </c>
      <c r="E2123" s="106" t="s">
        <v>10821</v>
      </c>
      <c r="F2123" s="109" t="s">
        <v>9496</v>
      </c>
      <c r="G2123" s="115" t="s">
        <v>9324</v>
      </c>
      <c r="H2123" s="115" t="s">
        <v>9323</v>
      </c>
      <c r="I2123" s="109" t="s">
        <v>10814</v>
      </c>
      <c r="J2123" s="239" t="s">
        <v>10815</v>
      </c>
      <c r="K2123" s="109" t="s">
        <v>9440</v>
      </c>
      <c r="L2123" s="109" t="s">
        <v>9496</v>
      </c>
    </row>
    <row r="2124" spans="1:12" s="58" customFormat="1" ht="14.85" customHeight="1" x14ac:dyDescent="0.25">
      <c r="A2124" s="108" t="s">
        <v>9308</v>
      </c>
      <c r="B2124" s="115" t="s">
        <v>8939</v>
      </c>
      <c r="C2124" s="115" t="s">
        <v>9338</v>
      </c>
      <c r="D2124" s="109" t="s">
        <v>10820</v>
      </c>
      <c r="E2124" s="106" t="s">
        <v>10821</v>
      </c>
      <c r="F2124" s="109" t="s">
        <v>9496</v>
      </c>
      <c r="G2124" s="115" t="s">
        <v>9324</v>
      </c>
      <c r="H2124" s="115" t="s">
        <v>9323</v>
      </c>
      <c r="I2124" s="109" t="s">
        <v>10824</v>
      </c>
      <c r="J2124" s="239" t="s">
        <v>10825</v>
      </c>
      <c r="K2124" s="109" t="s">
        <v>9440</v>
      </c>
      <c r="L2124" s="109" t="s">
        <v>9496</v>
      </c>
    </row>
    <row r="2125" spans="1:12" s="58" customFormat="1" ht="14.85" customHeight="1" x14ac:dyDescent="0.25">
      <c r="A2125" s="108" t="s">
        <v>9308</v>
      </c>
      <c r="B2125" s="115" t="s">
        <v>8939</v>
      </c>
      <c r="C2125" s="115" t="s">
        <v>9338</v>
      </c>
      <c r="D2125" s="109" t="s">
        <v>10820</v>
      </c>
      <c r="E2125" s="106" t="s">
        <v>10821</v>
      </c>
      <c r="F2125" s="109" t="s">
        <v>9496</v>
      </c>
      <c r="G2125" s="115" t="s">
        <v>9324</v>
      </c>
      <c r="H2125" s="115" t="s">
        <v>9323</v>
      </c>
      <c r="I2125" s="109" t="s">
        <v>10826</v>
      </c>
      <c r="J2125" s="239" t="s">
        <v>13352</v>
      </c>
      <c r="K2125" s="109" t="s">
        <v>9440</v>
      </c>
      <c r="L2125" s="109" t="s">
        <v>9496</v>
      </c>
    </row>
    <row r="2126" spans="1:12" s="58" customFormat="1" ht="14.85" customHeight="1" x14ac:dyDescent="0.25">
      <c r="A2126" s="108" t="s">
        <v>9308</v>
      </c>
      <c r="B2126" s="115" t="s">
        <v>8939</v>
      </c>
      <c r="C2126" s="115" t="s">
        <v>9338</v>
      </c>
      <c r="D2126" s="109" t="s">
        <v>10827</v>
      </c>
      <c r="E2126" s="106" t="s">
        <v>10828</v>
      </c>
      <c r="F2126" s="109" t="s">
        <v>9496</v>
      </c>
      <c r="G2126" s="115" t="s">
        <v>9324</v>
      </c>
      <c r="H2126" s="115" t="s">
        <v>9323</v>
      </c>
      <c r="I2126" s="109" t="s">
        <v>10824</v>
      </c>
      <c r="J2126" s="239" t="s">
        <v>10825</v>
      </c>
      <c r="K2126" s="109" t="s">
        <v>9440</v>
      </c>
      <c r="L2126" s="109" t="s">
        <v>9496</v>
      </c>
    </row>
    <row r="2127" spans="1:12" s="58" customFormat="1" ht="14.85" customHeight="1" x14ac:dyDescent="0.25">
      <c r="A2127" s="108" t="s">
        <v>9308</v>
      </c>
      <c r="B2127" s="115" t="s">
        <v>8939</v>
      </c>
      <c r="C2127" s="115" t="s">
        <v>9338</v>
      </c>
      <c r="D2127" s="109" t="s">
        <v>10829</v>
      </c>
      <c r="E2127" s="106" t="s">
        <v>10830</v>
      </c>
      <c r="F2127" s="109" t="s">
        <v>9496</v>
      </c>
      <c r="G2127" s="115" t="s">
        <v>9324</v>
      </c>
      <c r="H2127" s="115" t="s">
        <v>9323</v>
      </c>
      <c r="I2127" s="109" t="s">
        <v>10824</v>
      </c>
      <c r="J2127" s="239" t="s">
        <v>10825</v>
      </c>
      <c r="K2127" s="109" t="s">
        <v>9440</v>
      </c>
      <c r="L2127" s="109" t="s">
        <v>9496</v>
      </c>
    </row>
    <row r="2128" spans="1:12" s="58" customFormat="1" ht="14.85" customHeight="1" x14ac:dyDescent="0.25">
      <c r="A2128" s="108" t="s">
        <v>9308</v>
      </c>
      <c r="B2128" s="115" t="s">
        <v>8939</v>
      </c>
      <c r="C2128" s="115" t="s">
        <v>9338</v>
      </c>
      <c r="D2128" s="109" t="s">
        <v>10831</v>
      </c>
      <c r="E2128" s="106" t="s">
        <v>10832</v>
      </c>
      <c r="F2128" s="109" t="s">
        <v>9496</v>
      </c>
      <c r="G2128" s="115" t="s">
        <v>9324</v>
      </c>
      <c r="H2128" s="115" t="s">
        <v>9324</v>
      </c>
      <c r="I2128" s="109" t="s">
        <v>10824</v>
      </c>
      <c r="J2128" s="239" t="s">
        <v>10825</v>
      </c>
      <c r="K2128" s="109" t="s">
        <v>9440</v>
      </c>
      <c r="L2128" s="109" t="s">
        <v>9496</v>
      </c>
    </row>
    <row r="2129" spans="1:12" s="58" customFormat="1" ht="14.85" customHeight="1" x14ac:dyDescent="0.25">
      <c r="A2129" s="108" t="s">
        <v>9308</v>
      </c>
      <c r="B2129" s="115" t="s">
        <v>8939</v>
      </c>
      <c r="C2129" s="115" t="s">
        <v>9338</v>
      </c>
      <c r="D2129" s="109" t="s">
        <v>10833</v>
      </c>
      <c r="E2129" s="106" t="s">
        <v>10834</v>
      </c>
      <c r="F2129" s="109" t="s">
        <v>9496</v>
      </c>
      <c r="G2129" s="115" t="s">
        <v>9324</v>
      </c>
      <c r="H2129" s="115" t="s">
        <v>9323</v>
      </c>
      <c r="I2129" s="109" t="s">
        <v>10826</v>
      </c>
      <c r="J2129" s="239" t="s">
        <v>13352</v>
      </c>
      <c r="K2129" s="109" t="s">
        <v>9440</v>
      </c>
      <c r="L2129" s="109" t="s">
        <v>9496</v>
      </c>
    </row>
    <row r="2130" spans="1:12" s="58" customFormat="1" ht="14.85" customHeight="1" x14ac:dyDescent="0.25">
      <c r="A2130" s="108" t="s">
        <v>9308</v>
      </c>
      <c r="B2130" s="115" t="s">
        <v>8939</v>
      </c>
      <c r="C2130" s="115" t="s">
        <v>9338</v>
      </c>
      <c r="D2130" s="109" t="s">
        <v>10835</v>
      </c>
      <c r="E2130" s="106" t="s">
        <v>10836</v>
      </c>
      <c r="F2130" s="109" t="s">
        <v>9496</v>
      </c>
      <c r="G2130" s="115" t="s">
        <v>9324</v>
      </c>
      <c r="H2130" s="115" t="s">
        <v>9323</v>
      </c>
      <c r="I2130" s="109" t="s">
        <v>10826</v>
      </c>
      <c r="J2130" s="239" t="s">
        <v>13352</v>
      </c>
      <c r="K2130" s="109" t="s">
        <v>9440</v>
      </c>
      <c r="L2130" s="109" t="s">
        <v>9496</v>
      </c>
    </row>
    <row r="2131" spans="1:12" s="58" customFormat="1" ht="14.85" customHeight="1" x14ac:dyDescent="0.25">
      <c r="A2131" s="108" t="s">
        <v>9308</v>
      </c>
      <c r="B2131" s="115" t="s">
        <v>8939</v>
      </c>
      <c r="C2131" s="115" t="s">
        <v>9338</v>
      </c>
      <c r="D2131" s="109" t="s">
        <v>10837</v>
      </c>
      <c r="E2131" s="106" t="s">
        <v>10838</v>
      </c>
      <c r="F2131" s="109" t="s">
        <v>9496</v>
      </c>
      <c r="G2131" s="115" t="s">
        <v>9324</v>
      </c>
      <c r="H2131" s="115" t="s">
        <v>9324</v>
      </c>
      <c r="I2131" s="109" t="s">
        <v>10826</v>
      </c>
      <c r="J2131" s="239" t="s">
        <v>13352</v>
      </c>
      <c r="K2131" s="109" t="s">
        <v>9440</v>
      </c>
      <c r="L2131" s="109" t="s">
        <v>9496</v>
      </c>
    </row>
    <row r="2132" spans="1:12" s="58" customFormat="1" ht="14.85" customHeight="1" x14ac:dyDescent="0.25">
      <c r="A2132" s="108" t="s">
        <v>9308</v>
      </c>
      <c r="B2132" s="115" t="s">
        <v>8939</v>
      </c>
      <c r="C2132" s="115" t="s">
        <v>9338</v>
      </c>
      <c r="D2132" s="109" t="s">
        <v>13390</v>
      </c>
      <c r="E2132" s="299" t="s">
        <v>10805</v>
      </c>
      <c r="F2132" s="109" t="s">
        <v>9496</v>
      </c>
      <c r="G2132" s="115" t="s">
        <v>9324</v>
      </c>
      <c r="H2132" s="115" t="s">
        <v>9323</v>
      </c>
      <c r="I2132" s="109" t="s">
        <v>10803</v>
      </c>
      <c r="J2132" s="239" t="s">
        <v>10804</v>
      </c>
      <c r="K2132" s="109" t="s">
        <v>9440</v>
      </c>
      <c r="L2132" s="109" t="s">
        <v>9496</v>
      </c>
    </row>
    <row r="2133" spans="1:12" s="58" customFormat="1" ht="14.85" customHeight="1" x14ac:dyDescent="0.25">
      <c r="A2133" s="108" t="s">
        <v>9308</v>
      </c>
      <c r="B2133" s="115" t="s">
        <v>8939</v>
      </c>
      <c r="C2133" s="115" t="s">
        <v>9338</v>
      </c>
      <c r="D2133" s="109" t="s">
        <v>13391</v>
      </c>
      <c r="E2133" s="299" t="s">
        <v>10806</v>
      </c>
      <c r="F2133" s="109" t="s">
        <v>9496</v>
      </c>
      <c r="G2133" s="115" t="s">
        <v>9324</v>
      </c>
      <c r="H2133" s="115" t="s">
        <v>9323</v>
      </c>
      <c r="I2133" s="109" t="s">
        <v>10803</v>
      </c>
      <c r="J2133" s="239" t="s">
        <v>10804</v>
      </c>
      <c r="K2133" s="109" t="s">
        <v>9440</v>
      </c>
      <c r="L2133" s="109" t="s">
        <v>9496</v>
      </c>
    </row>
    <row r="2134" spans="1:12" s="58" customFormat="1" ht="14.85" customHeight="1" x14ac:dyDescent="0.25">
      <c r="A2134" s="108" t="s">
        <v>9308</v>
      </c>
      <c r="B2134" s="115" t="s">
        <v>8939</v>
      </c>
      <c r="C2134" s="115" t="s">
        <v>9338</v>
      </c>
      <c r="D2134" s="109" t="s">
        <v>13392</v>
      </c>
      <c r="E2134" s="299" t="s">
        <v>10807</v>
      </c>
      <c r="F2134" s="109" t="s">
        <v>9496</v>
      </c>
      <c r="G2134" s="115" t="s">
        <v>9324</v>
      </c>
      <c r="H2134" s="115" t="s">
        <v>9324</v>
      </c>
      <c r="I2134" s="109" t="s">
        <v>10803</v>
      </c>
      <c r="J2134" s="239" t="s">
        <v>10804</v>
      </c>
      <c r="K2134" s="109" t="s">
        <v>9440</v>
      </c>
      <c r="L2134" s="109" t="s">
        <v>9496</v>
      </c>
    </row>
    <row r="2135" spans="1:12" s="58" customFormat="1" ht="14.85" customHeight="1" x14ac:dyDescent="0.25">
      <c r="A2135" s="108" t="s">
        <v>9308</v>
      </c>
      <c r="B2135" s="115" t="s">
        <v>8939</v>
      </c>
      <c r="C2135" s="115" t="s">
        <v>9338</v>
      </c>
      <c r="D2135" s="109" t="s">
        <v>10839</v>
      </c>
      <c r="E2135" s="106" t="s">
        <v>10840</v>
      </c>
      <c r="F2135" s="109" t="s">
        <v>9496</v>
      </c>
      <c r="G2135" s="115" t="s">
        <v>9324</v>
      </c>
      <c r="H2135" s="115" t="s">
        <v>9323</v>
      </c>
      <c r="I2135" s="109" t="s">
        <v>10822</v>
      </c>
      <c r="J2135" s="239" t="s">
        <v>10823</v>
      </c>
      <c r="K2135" s="109" t="s">
        <v>9440</v>
      </c>
      <c r="L2135" s="109" t="s">
        <v>9496</v>
      </c>
    </row>
    <row r="2136" spans="1:12" s="58" customFormat="1" ht="14.85" customHeight="1" x14ac:dyDescent="0.25">
      <c r="A2136" s="108" t="s">
        <v>9308</v>
      </c>
      <c r="B2136" s="115" t="s">
        <v>8939</v>
      </c>
      <c r="C2136" s="115" t="s">
        <v>9338</v>
      </c>
      <c r="D2136" s="109" t="s">
        <v>10841</v>
      </c>
      <c r="E2136" s="106" t="s">
        <v>10842</v>
      </c>
      <c r="F2136" s="109" t="s">
        <v>9496</v>
      </c>
      <c r="G2136" s="115" t="s">
        <v>9324</v>
      </c>
      <c r="H2136" s="115" t="s">
        <v>9323</v>
      </c>
      <c r="I2136" s="109" t="s">
        <v>10822</v>
      </c>
      <c r="J2136" s="239" t="s">
        <v>10823</v>
      </c>
      <c r="K2136" s="109" t="s">
        <v>9440</v>
      </c>
      <c r="L2136" s="109" t="s">
        <v>9496</v>
      </c>
    </row>
    <row r="2137" spans="1:12" s="58" customFormat="1" ht="14.85" customHeight="1" x14ac:dyDescent="0.25">
      <c r="A2137" s="108" t="s">
        <v>9308</v>
      </c>
      <c r="B2137" s="115" t="s">
        <v>8939</v>
      </c>
      <c r="C2137" s="115" t="s">
        <v>9338</v>
      </c>
      <c r="D2137" s="109" t="s">
        <v>10843</v>
      </c>
      <c r="E2137" s="106" t="s">
        <v>10844</v>
      </c>
      <c r="F2137" s="109" t="s">
        <v>9496</v>
      </c>
      <c r="G2137" s="115" t="s">
        <v>9324</v>
      </c>
      <c r="H2137" s="115" t="s">
        <v>9324</v>
      </c>
      <c r="I2137" s="109" t="s">
        <v>10822</v>
      </c>
      <c r="J2137" s="239" t="s">
        <v>10823</v>
      </c>
      <c r="K2137" s="109" t="s">
        <v>9440</v>
      </c>
      <c r="L2137" s="109" t="s">
        <v>9496</v>
      </c>
    </row>
    <row r="2138" spans="1:12" s="58" customFormat="1" ht="14.85" customHeight="1" x14ac:dyDescent="0.25">
      <c r="A2138" s="108" t="s">
        <v>9308</v>
      </c>
      <c r="B2138" s="115" t="s">
        <v>8939</v>
      </c>
      <c r="C2138" s="115" t="s">
        <v>9338</v>
      </c>
      <c r="D2138" s="109" t="s">
        <v>10845</v>
      </c>
      <c r="E2138" s="106" t="s">
        <v>10846</v>
      </c>
      <c r="F2138" s="109" t="s">
        <v>9496</v>
      </c>
      <c r="G2138" s="115" t="s">
        <v>9324</v>
      </c>
      <c r="H2138" s="115" t="s">
        <v>9323</v>
      </c>
      <c r="I2138" s="109" t="s">
        <v>10090</v>
      </c>
      <c r="J2138" s="239" t="s">
        <v>10091</v>
      </c>
      <c r="K2138" s="109" t="s">
        <v>9440</v>
      </c>
      <c r="L2138" s="109" t="s">
        <v>9496</v>
      </c>
    </row>
    <row r="2139" spans="1:12" s="58" customFormat="1" ht="14.85" customHeight="1" x14ac:dyDescent="0.25">
      <c r="A2139" s="108" t="s">
        <v>9308</v>
      </c>
      <c r="B2139" s="115" t="s">
        <v>8939</v>
      </c>
      <c r="C2139" s="115" t="s">
        <v>9338</v>
      </c>
      <c r="D2139" s="109" t="s">
        <v>10845</v>
      </c>
      <c r="E2139" s="106" t="s">
        <v>10846</v>
      </c>
      <c r="F2139" s="109" t="s">
        <v>9496</v>
      </c>
      <c r="G2139" s="115" t="s">
        <v>9324</v>
      </c>
      <c r="H2139" s="115" t="s">
        <v>9323</v>
      </c>
      <c r="I2139" s="109" t="s">
        <v>10826</v>
      </c>
      <c r="J2139" s="239" t="s">
        <v>13352</v>
      </c>
      <c r="K2139" s="109" t="s">
        <v>9440</v>
      </c>
      <c r="L2139" s="109" t="s">
        <v>9496</v>
      </c>
    </row>
    <row r="2140" spans="1:12" s="58" customFormat="1" ht="14.85" customHeight="1" x14ac:dyDescent="0.25">
      <c r="A2140" s="108" t="s">
        <v>9308</v>
      </c>
      <c r="B2140" s="115" t="s">
        <v>8939</v>
      </c>
      <c r="C2140" s="115" t="s">
        <v>9338</v>
      </c>
      <c r="D2140" s="109" t="s">
        <v>10845</v>
      </c>
      <c r="E2140" s="106" t="s">
        <v>10846</v>
      </c>
      <c r="F2140" s="109" t="s">
        <v>9496</v>
      </c>
      <c r="G2140" s="115" t="s">
        <v>9324</v>
      </c>
      <c r="H2140" s="115" t="s">
        <v>9323</v>
      </c>
      <c r="I2140" s="109" t="s">
        <v>10092</v>
      </c>
      <c r="J2140" s="239" t="s">
        <v>10093</v>
      </c>
      <c r="K2140" s="109" t="s">
        <v>9440</v>
      </c>
      <c r="L2140" s="109" t="s">
        <v>9496</v>
      </c>
    </row>
    <row r="2141" spans="1:12" s="58" customFormat="1" ht="14.85" customHeight="1" x14ac:dyDescent="0.25">
      <c r="A2141" s="108" t="s">
        <v>9308</v>
      </c>
      <c r="B2141" s="115" t="s">
        <v>8939</v>
      </c>
      <c r="C2141" s="115" t="s">
        <v>9338</v>
      </c>
      <c r="D2141" s="109" t="s">
        <v>10847</v>
      </c>
      <c r="E2141" s="106" t="s">
        <v>10848</v>
      </c>
      <c r="F2141" s="109" t="s">
        <v>9496</v>
      </c>
      <c r="G2141" s="115" t="s">
        <v>9324</v>
      </c>
      <c r="H2141" s="115" t="s">
        <v>9323</v>
      </c>
      <c r="I2141" s="109" t="s">
        <v>10090</v>
      </c>
      <c r="J2141" s="239" t="s">
        <v>10091</v>
      </c>
      <c r="K2141" s="109" t="s">
        <v>9440</v>
      </c>
      <c r="L2141" s="109" t="s">
        <v>9496</v>
      </c>
    </row>
    <row r="2142" spans="1:12" s="58" customFormat="1" ht="14.85" customHeight="1" x14ac:dyDescent="0.25">
      <c r="A2142" s="108" t="s">
        <v>9308</v>
      </c>
      <c r="B2142" s="115" t="s">
        <v>8939</v>
      </c>
      <c r="C2142" s="115" t="s">
        <v>9338</v>
      </c>
      <c r="D2142" s="109" t="s">
        <v>10847</v>
      </c>
      <c r="E2142" s="106" t="s">
        <v>10848</v>
      </c>
      <c r="F2142" s="109" t="s">
        <v>9496</v>
      </c>
      <c r="G2142" s="115" t="s">
        <v>9324</v>
      </c>
      <c r="H2142" s="115" t="s">
        <v>9323</v>
      </c>
      <c r="I2142" s="109" t="s">
        <v>10822</v>
      </c>
      <c r="J2142" s="239" t="s">
        <v>10823</v>
      </c>
      <c r="K2142" s="109" t="s">
        <v>9440</v>
      </c>
      <c r="L2142" s="109" t="s">
        <v>9496</v>
      </c>
    </row>
    <row r="2143" spans="1:12" s="58" customFormat="1" ht="14.85" customHeight="1" x14ac:dyDescent="0.25">
      <c r="A2143" s="108" t="s">
        <v>9308</v>
      </c>
      <c r="B2143" s="115" t="s">
        <v>8939</v>
      </c>
      <c r="C2143" s="115" t="s">
        <v>9338</v>
      </c>
      <c r="D2143" s="109" t="s">
        <v>10847</v>
      </c>
      <c r="E2143" s="106" t="s">
        <v>10848</v>
      </c>
      <c r="F2143" s="109" t="s">
        <v>9496</v>
      </c>
      <c r="G2143" s="115" t="s">
        <v>9324</v>
      </c>
      <c r="H2143" s="115" t="s">
        <v>9323</v>
      </c>
      <c r="I2143" s="109" t="s">
        <v>10092</v>
      </c>
      <c r="J2143" s="239" t="s">
        <v>10093</v>
      </c>
      <c r="K2143" s="109" t="s">
        <v>9440</v>
      </c>
      <c r="L2143" s="109" t="s">
        <v>9496</v>
      </c>
    </row>
    <row r="2144" spans="1:12" s="58" customFormat="1" ht="14.85" customHeight="1" x14ac:dyDescent="0.25">
      <c r="A2144" s="108" t="s">
        <v>9308</v>
      </c>
      <c r="B2144" s="115" t="s">
        <v>8939</v>
      </c>
      <c r="C2144" s="115" t="s">
        <v>9338</v>
      </c>
      <c r="D2144" s="109" t="s">
        <v>10849</v>
      </c>
      <c r="E2144" s="106" t="s">
        <v>10850</v>
      </c>
      <c r="F2144" s="109" t="s">
        <v>9496</v>
      </c>
      <c r="G2144" s="115" t="s">
        <v>9324</v>
      </c>
      <c r="H2144" s="115" t="s">
        <v>9323</v>
      </c>
      <c r="I2144" s="109" t="s">
        <v>10090</v>
      </c>
      <c r="J2144" s="239" t="s">
        <v>10091</v>
      </c>
      <c r="K2144" s="109" t="s">
        <v>9440</v>
      </c>
      <c r="L2144" s="109" t="s">
        <v>9496</v>
      </c>
    </row>
    <row r="2145" spans="1:12" s="58" customFormat="1" ht="14.85" customHeight="1" x14ac:dyDescent="0.25">
      <c r="A2145" s="108" t="s">
        <v>9308</v>
      </c>
      <c r="B2145" s="115" t="s">
        <v>8939</v>
      </c>
      <c r="C2145" s="115" t="s">
        <v>9338</v>
      </c>
      <c r="D2145" s="109" t="s">
        <v>10849</v>
      </c>
      <c r="E2145" s="106" t="s">
        <v>10850</v>
      </c>
      <c r="F2145" s="109" t="s">
        <v>9496</v>
      </c>
      <c r="G2145" s="115" t="s">
        <v>9324</v>
      </c>
      <c r="H2145" s="115" t="s">
        <v>9323</v>
      </c>
      <c r="I2145" s="109" t="s">
        <v>10814</v>
      </c>
      <c r="J2145" s="239" t="s">
        <v>10815</v>
      </c>
      <c r="K2145" s="109" t="s">
        <v>9440</v>
      </c>
      <c r="L2145" s="109" t="s">
        <v>9496</v>
      </c>
    </row>
    <row r="2146" spans="1:12" s="58" customFormat="1" ht="14.85" customHeight="1" x14ac:dyDescent="0.25">
      <c r="A2146" s="108" t="s">
        <v>9308</v>
      </c>
      <c r="B2146" s="115" t="s">
        <v>8939</v>
      </c>
      <c r="C2146" s="115" t="s">
        <v>9338</v>
      </c>
      <c r="D2146" s="109" t="s">
        <v>10849</v>
      </c>
      <c r="E2146" s="106" t="s">
        <v>10850</v>
      </c>
      <c r="F2146" s="109" t="s">
        <v>9496</v>
      </c>
      <c r="G2146" s="115" t="s">
        <v>9324</v>
      </c>
      <c r="H2146" s="115" t="s">
        <v>9323</v>
      </c>
      <c r="I2146" s="109" t="s">
        <v>10092</v>
      </c>
      <c r="J2146" s="239" t="s">
        <v>10093</v>
      </c>
      <c r="K2146" s="109" t="s">
        <v>9440</v>
      </c>
      <c r="L2146" s="109" t="s">
        <v>9496</v>
      </c>
    </row>
    <row r="2147" spans="1:12" s="58" customFormat="1" ht="14.85" customHeight="1" x14ac:dyDescent="0.25">
      <c r="A2147" s="108" t="s">
        <v>9308</v>
      </c>
      <c r="B2147" s="115" t="s">
        <v>8939</v>
      </c>
      <c r="C2147" s="115" t="s">
        <v>9338</v>
      </c>
      <c r="D2147" s="109" t="s">
        <v>10851</v>
      </c>
      <c r="E2147" s="106" t="s">
        <v>10852</v>
      </c>
      <c r="F2147" s="109" t="s">
        <v>9496</v>
      </c>
      <c r="G2147" s="115" t="s">
        <v>9324</v>
      </c>
      <c r="H2147" s="115" t="s">
        <v>9323</v>
      </c>
      <c r="I2147" s="109" t="s">
        <v>10090</v>
      </c>
      <c r="J2147" s="239" t="s">
        <v>10091</v>
      </c>
      <c r="K2147" s="109" t="s">
        <v>9440</v>
      </c>
      <c r="L2147" s="109" t="s">
        <v>9496</v>
      </c>
    </row>
    <row r="2148" spans="1:12" s="58" customFormat="1" ht="14.85" customHeight="1" x14ac:dyDescent="0.25">
      <c r="A2148" s="108" t="s">
        <v>9308</v>
      </c>
      <c r="B2148" s="115" t="s">
        <v>8939</v>
      </c>
      <c r="C2148" s="115" t="s">
        <v>9338</v>
      </c>
      <c r="D2148" s="109" t="s">
        <v>10851</v>
      </c>
      <c r="E2148" s="106" t="s">
        <v>10852</v>
      </c>
      <c r="F2148" s="109" t="s">
        <v>9496</v>
      </c>
      <c r="G2148" s="115" t="s">
        <v>9324</v>
      </c>
      <c r="H2148" s="115" t="s">
        <v>9323</v>
      </c>
      <c r="I2148" s="109" t="s">
        <v>10824</v>
      </c>
      <c r="J2148" s="239" t="s">
        <v>10825</v>
      </c>
      <c r="K2148" s="109" t="s">
        <v>9440</v>
      </c>
      <c r="L2148" s="109" t="s">
        <v>9496</v>
      </c>
    </row>
    <row r="2149" spans="1:12" s="58" customFormat="1" ht="14.85" customHeight="1" x14ac:dyDescent="0.25">
      <c r="A2149" s="108" t="s">
        <v>9308</v>
      </c>
      <c r="B2149" s="115" t="s">
        <v>8939</v>
      </c>
      <c r="C2149" s="115" t="s">
        <v>9338</v>
      </c>
      <c r="D2149" s="109" t="s">
        <v>10851</v>
      </c>
      <c r="E2149" s="106" t="s">
        <v>10852</v>
      </c>
      <c r="F2149" s="109" t="s">
        <v>9496</v>
      </c>
      <c r="G2149" s="115" t="s">
        <v>9324</v>
      </c>
      <c r="H2149" s="115" t="s">
        <v>9323</v>
      </c>
      <c r="I2149" s="109" t="s">
        <v>10092</v>
      </c>
      <c r="J2149" s="239" t="s">
        <v>10093</v>
      </c>
      <c r="K2149" s="109" t="s">
        <v>9440</v>
      </c>
      <c r="L2149" s="109" t="s">
        <v>9496</v>
      </c>
    </row>
    <row r="2150" spans="1:12" s="58" customFormat="1" ht="14.85" customHeight="1" x14ac:dyDescent="0.25">
      <c r="A2150" s="108" t="s">
        <v>9308</v>
      </c>
      <c r="B2150" s="115" t="s">
        <v>8939</v>
      </c>
      <c r="C2150" s="115" t="s">
        <v>9338</v>
      </c>
      <c r="D2150" s="109" t="s">
        <v>10853</v>
      </c>
      <c r="E2150" s="299" t="s">
        <v>10854</v>
      </c>
      <c r="F2150" s="109" t="s">
        <v>9496</v>
      </c>
      <c r="G2150" s="115" t="s">
        <v>9324</v>
      </c>
      <c r="H2150" s="115" t="s">
        <v>9323</v>
      </c>
      <c r="I2150" s="109" t="s">
        <v>10090</v>
      </c>
      <c r="J2150" s="239" t="s">
        <v>10091</v>
      </c>
      <c r="K2150" s="109" t="s">
        <v>9440</v>
      </c>
      <c r="L2150" s="109" t="s">
        <v>9496</v>
      </c>
    </row>
    <row r="2151" spans="1:12" s="58" customFormat="1" ht="14.85" customHeight="1" x14ac:dyDescent="0.25">
      <c r="A2151" s="108" t="s">
        <v>9308</v>
      </c>
      <c r="B2151" s="115" t="s">
        <v>8939</v>
      </c>
      <c r="C2151" s="115" t="s">
        <v>9338</v>
      </c>
      <c r="D2151" s="109" t="s">
        <v>10853</v>
      </c>
      <c r="E2151" s="299" t="s">
        <v>10854</v>
      </c>
      <c r="F2151" s="109" t="s">
        <v>9496</v>
      </c>
      <c r="G2151" s="115" t="s">
        <v>9324</v>
      </c>
      <c r="H2151" s="115" t="s">
        <v>9323</v>
      </c>
      <c r="I2151" s="109" t="s">
        <v>10803</v>
      </c>
      <c r="J2151" s="239" t="s">
        <v>10804</v>
      </c>
      <c r="K2151" s="109" t="s">
        <v>9440</v>
      </c>
      <c r="L2151" s="109" t="s">
        <v>9496</v>
      </c>
    </row>
    <row r="2152" spans="1:12" s="58" customFormat="1" ht="14.85" customHeight="1" x14ac:dyDescent="0.25">
      <c r="A2152" s="108" t="s">
        <v>9308</v>
      </c>
      <c r="B2152" s="115" t="s">
        <v>8939</v>
      </c>
      <c r="C2152" s="115" t="s">
        <v>9338</v>
      </c>
      <c r="D2152" s="109" t="s">
        <v>10853</v>
      </c>
      <c r="E2152" s="299" t="s">
        <v>10854</v>
      </c>
      <c r="F2152" s="109" t="s">
        <v>9496</v>
      </c>
      <c r="G2152" s="115" t="s">
        <v>9324</v>
      </c>
      <c r="H2152" s="115" t="s">
        <v>9323</v>
      </c>
      <c r="I2152" s="109" t="s">
        <v>10092</v>
      </c>
      <c r="J2152" s="239" t="s">
        <v>10093</v>
      </c>
      <c r="K2152" s="109" t="s">
        <v>9440</v>
      </c>
      <c r="L2152" s="109" t="s">
        <v>9496</v>
      </c>
    </row>
    <row r="2153" spans="1:12" s="165" customFormat="1" ht="14.4" customHeight="1" x14ac:dyDescent="0.25">
      <c r="A2153" s="108" t="s">
        <v>13514</v>
      </c>
      <c r="B2153" s="164" t="s">
        <v>8939</v>
      </c>
      <c r="C2153" s="166" t="s">
        <v>9338</v>
      </c>
      <c r="D2153" s="167" t="s">
        <v>13427</v>
      </c>
      <c r="E2153" s="318" t="s">
        <v>13428</v>
      </c>
      <c r="F2153" s="167" t="s">
        <v>9496</v>
      </c>
      <c r="G2153" s="166" t="s">
        <v>9324</v>
      </c>
      <c r="H2153" s="166" t="s">
        <v>9323</v>
      </c>
      <c r="I2153" s="167" t="s">
        <v>13422</v>
      </c>
      <c r="J2153" s="243" t="s">
        <v>13426</v>
      </c>
      <c r="K2153" s="167" t="s">
        <v>9440</v>
      </c>
      <c r="L2153" s="167" t="s">
        <v>9496</v>
      </c>
    </row>
    <row r="2154" spans="1:12" s="165" customFormat="1" ht="14.85" customHeight="1" x14ac:dyDescent="0.25">
      <c r="A2154" s="108" t="s">
        <v>9308</v>
      </c>
      <c r="B2154" s="115" t="s">
        <v>8939</v>
      </c>
      <c r="C2154" s="115" t="s">
        <v>9338</v>
      </c>
      <c r="D2154" s="109" t="s">
        <v>10855</v>
      </c>
      <c r="E2154" s="106" t="s">
        <v>10856</v>
      </c>
      <c r="F2154" s="109" t="s">
        <v>9496</v>
      </c>
      <c r="G2154" s="115" t="s">
        <v>9324</v>
      </c>
      <c r="H2154" s="115" t="s">
        <v>9323</v>
      </c>
      <c r="I2154" s="109" t="s">
        <v>10857</v>
      </c>
      <c r="J2154" s="239" t="s">
        <v>10858</v>
      </c>
      <c r="K2154" s="109" t="s">
        <v>9440</v>
      </c>
      <c r="L2154" s="109" t="s">
        <v>9496</v>
      </c>
    </row>
    <row r="2155" spans="1:12" s="165" customFormat="1" ht="14.85" customHeight="1" x14ac:dyDescent="0.25">
      <c r="A2155" s="108" t="s">
        <v>9308</v>
      </c>
      <c r="B2155" s="115" t="s">
        <v>8939</v>
      </c>
      <c r="C2155" s="115" t="s">
        <v>9338</v>
      </c>
      <c r="D2155" s="109" t="s">
        <v>10855</v>
      </c>
      <c r="E2155" s="106" t="s">
        <v>10856</v>
      </c>
      <c r="F2155" s="109" t="s">
        <v>9496</v>
      </c>
      <c r="G2155" s="115" t="s">
        <v>9324</v>
      </c>
      <c r="H2155" s="115" t="s">
        <v>9323</v>
      </c>
      <c r="I2155" s="109" t="s">
        <v>10859</v>
      </c>
      <c r="J2155" s="239" t="s">
        <v>10860</v>
      </c>
      <c r="K2155" s="109" t="s">
        <v>9440</v>
      </c>
      <c r="L2155" s="109" t="s">
        <v>9496</v>
      </c>
    </row>
    <row r="2156" spans="1:12" s="165" customFormat="1" ht="14.85" customHeight="1" x14ac:dyDescent="0.25">
      <c r="A2156" s="108" t="s">
        <v>9308</v>
      </c>
      <c r="B2156" s="115" t="s">
        <v>8939</v>
      </c>
      <c r="C2156" s="115" t="s">
        <v>9338</v>
      </c>
      <c r="D2156" s="109" t="s">
        <v>10855</v>
      </c>
      <c r="E2156" s="106" t="s">
        <v>10856</v>
      </c>
      <c r="F2156" s="109" t="s">
        <v>9496</v>
      </c>
      <c r="G2156" s="115" t="s">
        <v>9324</v>
      </c>
      <c r="H2156" s="115" t="s">
        <v>9323</v>
      </c>
      <c r="I2156" s="109" t="s">
        <v>10162</v>
      </c>
      <c r="J2156" s="239" t="s">
        <v>10163</v>
      </c>
      <c r="K2156" s="109" t="s">
        <v>9440</v>
      </c>
      <c r="L2156" s="109" t="s">
        <v>9496</v>
      </c>
    </row>
    <row r="2157" spans="1:12" s="58" customFormat="1" ht="14.85" customHeight="1" x14ac:dyDescent="0.25">
      <c r="A2157" s="108" t="s">
        <v>9308</v>
      </c>
      <c r="B2157" s="115" t="s">
        <v>8939</v>
      </c>
      <c r="C2157" s="115" t="s">
        <v>9338</v>
      </c>
      <c r="D2157" s="109" t="s">
        <v>10861</v>
      </c>
      <c r="E2157" s="106" t="s">
        <v>10862</v>
      </c>
      <c r="F2157" s="109" t="s">
        <v>9496</v>
      </c>
      <c r="G2157" s="115" t="s">
        <v>9324</v>
      </c>
      <c r="H2157" s="115" t="s">
        <v>9323</v>
      </c>
      <c r="I2157" s="109" t="s">
        <v>10857</v>
      </c>
      <c r="J2157" s="239" t="s">
        <v>10858</v>
      </c>
      <c r="K2157" s="109" t="s">
        <v>9440</v>
      </c>
      <c r="L2157" s="109" t="s">
        <v>9496</v>
      </c>
    </row>
    <row r="2158" spans="1:12" s="58" customFormat="1" ht="14.85" customHeight="1" x14ac:dyDescent="0.25">
      <c r="A2158" s="108" t="s">
        <v>9308</v>
      </c>
      <c r="B2158" s="115" t="s">
        <v>8939</v>
      </c>
      <c r="C2158" s="115" t="s">
        <v>9338</v>
      </c>
      <c r="D2158" s="109" t="s">
        <v>10861</v>
      </c>
      <c r="E2158" s="106" t="s">
        <v>10862</v>
      </c>
      <c r="F2158" s="109" t="s">
        <v>9496</v>
      </c>
      <c r="G2158" s="115" t="s">
        <v>9324</v>
      </c>
      <c r="H2158" s="115" t="s">
        <v>9323</v>
      </c>
      <c r="I2158" s="109" t="s">
        <v>10859</v>
      </c>
      <c r="J2158" s="239" t="s">
        <v>10860</v>
      </c>
      <c r="K2158" s="109" t="s">
        <v>9440</v>
      </c>
      <c r="L2158" s="109" t="s">
        <v>9496</v>
      </c>
    </row>
    <row r="2159" spans="1:12" s="58" customFormat="1" ht="14.85" customHeight="1" x14ac:dyDescent="0.25">
      <c r="A2159" s="108" t="s">
        <v>9308</v>
      </c>
      <c r="B2159" s="115" t="s">
        <v>8939</v>
      </c>
      <c r="C2159" s="115" t="s">
        <v>9338</v>
      </c>
      <c r="D2159" s="109" t="s">
        <v>10861</v>
      </c>
      <c r="E2159" s="106" t="s">
        <v>10862</v>
      </c>
      <c r="F2159" s="109" t="s">
        <v>9496</v>
      </c>
      <c r="G2159" s="115" t="s">
        <v>9324</v>
      </c>
      <c r="H2159" s="115" t="s">
        <v>9323</v>
      </c>
      <c r="I2159" s="109" t="s">
        <v>10162</v>
      </c>
      <c r="J2159" s="239" t="s">
        <v>10163</v>
      </c>
      <c r="K2159" s="109" t="s">
        <v>9440</v>
      </c>
      <c r="L2159" s="109" t="s">
        <v>9496</v>
      </c>
    </row>
    <row r="2160" spans="1:12" s="58" customFormat="1" ht="14.85" customHeight="1" x14ac:dyDescent="0.25">
      <c r="A2160" s="108" t="s">
        <v>9308</v>
      </c>
      <c r="B2160" s="115" t="s">
        <v>8939</v>
      </c>
      <c r="C2160" s="115" t="s">
        <v>9338</v>
      </c>
      <c r="D2160" s="109" t="s">
        <v>10863</v>
      </c>
      <c r="E2160" s="106" t="s">
        <v>10864</v>
      </c>
      <c r="F2160" s="109" t="s">
        <v>9496</v>
      </c>
      <c r="G2160" s="115" t="s">
        <v>9324</v>
      </c>
      <c r="H2160" s="115" t="s">
        <v>9323</v>
      </c>
      <c r="I2160" s="109" t="s">
        <v>10857</v>
      </c>
      <c r="J2160" s="239" t="s">
        <v>10858</v>
      </c>
      <c r="K2160" s="109" t="s">
        <v>9440</v>
      </c>
      <c r="L2160" s="109" t="s">
        <v>9496</v>
      </c>
    </row>
    <row r="2161" spans="1:12" s="58" customFormat="1" ht="14.85" customHeight="1" x14ac:dyDescent="0.25">
      <c r="A2161" s="108" t="s">
        <v>9308</v>
      </c>
      <c r="B2161" s="115" t="s">
        <v>8939</v>
      </c>
      <c r="C2161" s="115" t="s">
        <v>9338</v>
      </c>
      <c r="D2161" s="109" t="s">
        <v>10863</v>
      </c>
      <c r="E2161" s="106" t="s">
        <v>10864</v>
      </c>
      <c r="F2161" s="109" t="s">
        <v>9496</v>
      </c>
      <c r="G2161" s="115" t="s">
        <v>9324</v>
      </c>
      <c r="H2161" s="115" t="s">
        <v>9323</v>
      </c>
      <c r="I2161" s="109" t="s">
        <v>10859</v>
      </c>
      <c r="J2161" s="239" t="s">
        <v>10860</v>
      </c>
      <c r="K2161" s="109" t="s">
        <v>9440</v>
      </c>
      <c r="L2161" s="109" t="s">
        <v>9496</v>
      </c>
    </row>
    <row r="2162" spans="1:12" s="58" customFormat="1" ht="14.85" customHeight="1" x14ac:dyDescent="0.25">
      <c r="A2162" s="108" t="s">
        <v>9308</v>
      </c>
      <c r="B2162" s="115" t="s">
        <v>8939</v>
      </c>
      <c r="C2162" s="115" t="s">
        <v>9338</v>
      </c>
      <c r="D2162" s="109" t="s">
        <v>10863</v>
      </c>
      <c r="E2162" s="106" t="s">
        <v>10864</v>
      </c>
      <c r="F2162" s="109" t="s">
        <v>9496</v>
      </c>
      <c r="G2162" s="115" t="s">
        <v>9324</v>
      </c>
      <c r="H2162" s="115" t="s">
        <v>9323</v>
      </c>
      <c r="I2162" s="109" t="s">
        <v>10162</v>
      </c>
      <c r="J2162" s="239" t="s">
        <v>10163</v>
      </c>
      <c r="K2162" s="109" t="s">
        <v>9440</v>
      </c>
      <c r="L2162" s="109" t="s">
        <v>9496</v>
      </c>
    </row>
    <row r="2163" spans="1:12" s="58" customFormat="1" ht="14.85" customHeight="1" x14ac:dyDescent="0.25">
      <c r="A2163" s="108" t="s">
        <v>9308</v>
      </c>
      <c r="B2163" s="115" t="s">
        <v>8939</v>
      </c>
      <c r="C2163" s="115" t="s">
        <v>9338</v>
      </c>
      <c r="D2163" s="109" t="s">
        <v>10865</v>
      </c>
      <c r="E2163" s="106" t="s">
        <v>10866</v>
      </c>
      <c r="F2163" s="109" t="s">
        <v>9496</v>
      </c>
      <c r="G2163" s="115" t="s">
        <v>9324</v>
      </c>
      <c r="H2163" s="115" t="s">
        <v>9323</v>
      </c>
      <c r="I2163" s="109" t="s">
        <v>10857</v>
      </c>
      <c r="J2163" s="239" t="s">
        <v>10858</v>
      </c>
      <c r="K2163" s="109" t="s">
        <v>9440</v>
      </c>
      <c r="L2163" s="109" t="s">
        <v>9496</v>
      </c>
    </row>
    <row r="2164" spans="1:12" s="58" customFormat="1" ht="14.85" customHeight="1" x14ac:dyDescent="0.25">
      <c r="A2164" s="108" t="s">
        <v>9308</v>
      </c>
      <c r="B2164" s="115" t="s">
        <v>8939</v>
      </c>
      <c r="C2164" s="115" t="s">
        <v>9338</v>
      </c>
      <c r="D2164" s="109" t="s">
        <v>10865</v>
      </c>
      <c r="E2164" s="106" t="s">
        <v>10866</v>
      </c>
      <c r="F2164" s="109" t="s">
        <v>9496</v>
      </c>
      <c r="G2164" s="115" t="s">
        <v>9324</v>
      </c>
      <c r="H2164" s="115" t="s">
        <v>9323</v>
      </c>
      <c r="I2164" s="109" t="s">
        <v>10859</v>
      </c>
      <c r="J2164" s="239" t="s">
        <v>10860</v>
      </c>
      <c r="K2164" s="109" t="s">
        <v>9440</v>
      </c>
      <c r="L2164" s="109" t="s">
        <v>9496</v>
      </c>
    </row>
    <row r="2165" spans="1:12" s="58" customFormat="1" ht="14.85" customHeight="1" x14ac:dyDescent="0.25">
      <c r="A2165" s="108" t="s">
        <v>9308</v>
      </c>
      <c r="B2165" s="115" t="s">
        <v>8939</v>
      </c>
      <c r="C2165" s="115" t="s">
        <v>9338</v>
      </c>
      <c r="D2165" s="109" t="s">
        <v>10865</v>
      </c>
      <c r="E2165" s="106" t="s">
        <v>10866</v>
      </c>
      <c r="F2165" s="109" t="s">
        <v>9496</v>
      </c>
      <c r="G2165" s="115" t="s">
        <v>9324</v>
      </c>
      <c r="H2165" s="115" t="s">
        <v>9323</v>
      </c>
      <c r="I2165" s="109" t="s">
        <v>10162</v>
      </c>
      <c r="J2165" s="239" t="s">
        <v>10163</v>
      </c>
      <c r="K2165" s="109" t="s">
        <v>9440</v>
      </c>
      <c r="L2165" s="109" t="s">
        <v>9496</v>
      </c>
    </row>
    <row r="2166" spans="1:12" s="58" customFormat="1" ht="14.85" customHeight="1" x14ac:dyDescent="0.25">
      <c r="A2166" s="108" t="s">
        <v>9308</v>
      </c>
      <c r="B2166" s="115" t="s">
        <v>8939</v>
      </c>
      <c r="C2166" s="115" t="s">
        <v>9338</v>
      </c>
      <c r="D2166" s="109" t="s">
        <v>10867</v>
      </c>
      <c r="E2166" s="106" t="s">
        <v>10868</v>
      </c>
      <c r="F2166" s="109" t="s">
        <v>9496</v>
      </c>
      <c r="G2166" s="115" t="s">
        <v>9324</v>
      </c>
      <c r="H2166" s="115" t="s">
        <v>9323</v>
      </c>
      <c r="I2166" s="109" t="s">
        <v>10857</v>
      </c>
      <c r="J2166" s="239" t="s">
        <v>10858</v>
      </c>
      <c r="K2166" s="109" t="s">
        <v>9440</v>
      </c>
      <c r="L2166" s="109" t="s">
        <v>9496</v>
      </c>
    </row>
    <row r="2167" spans="1:12" s="58" customFormat="1" ht="14.85" customHeight="1" x14ac:dyDescent="0.25">
      <c r="A2167" s="108" t="s">
        <v>9308</v>
      </c>
      <c r="B2167" s="115" t="s">
        <v>8939</v>
      </c>
      <c r="C2167" s="115" t="s">
        <v>9338</v>
      </c>
      <c r="D2167" s="109" t="s">
        <v>10867</v>
      </c>
      <c r="E2167" s="106" t="s">
        <v>10868</v>
      </c>
      <c r="F2167" s="109" t="s">
        <v>9496</v>
      </c>
      <c r="G2167" s="115" t="s">
        <v>9324</v>
      </c>
      <c r="H2167" s="115" t="s">
        <v>9323</v>
      </c>
      <c r="I2167" s="109" t="s">
        <v>10859</v>
      </c>
      <c r="J2167" s="239" t="s">
        <v>10860</v>
      </c>
      <c r="K2167" s="109" t="s">
        <v>9440</v>
      </c>
      <c r="L2167" s="109" t="s">
        <v>9496</v>
      </c>
    </row>
    <row r="2168" spans="1:12" s="58" customFormat="1" ht="14.85" customHeight="1" x14ac:dyDescent="0.25">
      <c r="A2168" s="108" t="s">
        <v>9308</v>
      </c>
      <c r="B2168" s="115" t="s">
        <v>8939</v>
      </c>
      <c r="C2168" s="115" t="s">
        <v>9338</v>
      </c>
      <c r="D2168" s="109" t="s">
        <v>10867</v>
      </c>
      <c r="E2168" s="106" t="s">
        <v>10868</v>
      </c>
      <c r="F2168" s="109" t="s">
        <v>9496</v>
      </c>
      <c r="G2168" s="115" t="s">
        <v>9324</v>
      </c>
      <c r="H2168" s="115" t="s">
        <v>9323</v>
      </c>
      <c r="I2168" s="109" t="s">
        <v>10162</v>
      </c>
      <c r="J2168" s="239" t="s">
        <v>10163</v>
      </c>
      <c r="K2168" s="109" t="s">
        <v>9440</v>
      </c>
      <c r="L2168" s="109" t="s">
        <v>9496</v>
      </c>
    </row>
    <row r="2169" spans="1:12" s="58" customFormat="1" ht="14.85" customHeight="1" x14ac:dyDescent="0.25">
      <c r="A2169" s="108" t="s">
        <v>13512</v>
      </c>
      <c r="B2169" s="161" t="s">
        <v>8939</v>
      </c>
      <c r="C2169" s="115" t="s">
        <v>9338</v>
      </c>
      <c r="D2169" s="109" t="s">
        <v>10869</v>
      </c>
      <c r="E2169" s="241" t="s">
        <v>13418</v>
      </c>
      <c r="F2169" s="109" t="s">
        <v>9496</v>
      </c>
      <c r="G2169" s="115" t="s">
        <v>9324</v>
      </c>
      <c r="H2169" s="115" t="s">
        <v>9324</v>
      </c>
      <c r="I2169" s="109" t="s">
        <v>10857</v>
      </c>
      <c r="J2169" s="239" t="s">
        <v>10858</v>
      </c>
      <c r="K2169" s="109" t="s">
        <v>9440</v>
      </c>
      <c r="L2169" s="109" t="s">
        <v>9496</v>
      </c>
    </row>
    <row r="2170" spans="1:12" s="58" customFormat="1" ht="14.85" customHeight="1" x14ac:dyDescent="0.25">
      <c r="A2170" s="108" t="s">
        <v>13512</v>
      </c>
      <c r="B2170" s="161" t="s">
        <v>8939</v>
      </c>
      <c r="C2170" s="115" t="s">
        <v>9338</v>
      </c>
      <c r="D2170" s="109" t="s">
        <v>10869</v>
      </c>
      <c r="E2170" s="241" t="s">
        <v>13418</v>
      </c>
      <c r="F2170" s="109" t="s">
        <v>9496</v>
      </c>
      <c r="G2170" s="115" t="s">
        <v>9324</v>
      </c>
      <c r="H2170" s="115" t="s">
        <v>9324</v>
      </c>
      <c r="I2170" s="109" t="s">
        <v>10859</v>
      </c>
      <c r="J2170" s="239" t="s">
        <v>10860</v>
      </c>
      <c r="K2170" s="109" t="s">
        <v>9440</v>
      </c>
      <c r="L2170" s="109" t="s">
        <v>9496</v>
      </c>
    </row>
    <row r="2171" spans="1:12" s="58" customFormat="1" ht="14.85" customHeight="1" x14ac:dyDescent="0.25">
      <c r="A2171" s="108" t="s">
        <v>13512</v>
      </c>
      <c r="B2171" s="161" t="s">
        <v>8939</v>
      </c>
      <c r="C2171" s="115" t="s">
        <v>9338</v>
      </c>
      <c r="D2171" s="109" t="s">
        <v>10869</v>
      </c>
      <c r="E2171" s="241" t="s">
        <v>13418</v>
      </c>
      <c r="F2171" s="109" t="s">
        <v>9496</v>
      </c>
      <c r="G2171" s="115" t="s">
        <v>9324</v>
      </c>
      <c r="H2171" s="115" t="s">
        <v>9324</v>
      </c>
      <c r="I2171" s="109" t="s">
        <v>10162</v>
      </c>
      <c r="J2171" s="239" t="s">
        <v>10163</v>
      </c>
      <c r="K2171" s="109" t="s">
        <v>9440</v>
      </c>
      <c r="L2171" s="109" t="s">
        <v>9496</v>
      </c>
    </row>
    <row r="2172" spans="1:12" s="58" customFormat="1" ht="14.85" customHeight="1" x14ac:dyDescent="0.25">
      <c r="A2172" s="108" t="s">
        <v>9308</v>
      </c>
      <c r="B2172" s="115" t="s">
        <v>8939</v>
      </c>
      <c r="C2172" s="115" t="s">
        <v>9338</v>
      </c>
      <c r="D2172" s="109" t="s">
        <v>10870</v>
      </c>
      <c r="E2172" s="106" t="s">
        <v>10871</v>
      </c>
      <c r="F2172" s="109" t="s">
        <v>9496</v>
      </c>
      <c r="G2172" s="115" t="s">
        <v>9324</v>
      </c>
      <c r="H2172" s="115" t="s">
        <v>9324</v>
      </c>
      <c r="I2172" s="109" t="s">
        <v>10857</v>
      </c>
      <c r="J2172" s="239" t="s">
        <v>10858</v>
      </c>
      <c r="K2172" s="109" t="s">
        <v>9440</v>
      </c>
      <c r="L2172" s="109" t="s">
        <v>9496</v>
      </c>
    </row>
    <row r="2173" spans="1:12" s="58" customFormat="1" ht="14.85" customHeight="1" x14ac:dyDescent="0.25">
      <c r="A2173" s="108" t="s">
        <v>9308</v>
      </c>
      <c r="B2173" s="115" t="s">
        <v>8939</v>
      </c>
      <c r="C2173" s="115" t="s">
        <v>9338</v>
      </c>
      <c r="D2173" s="109" t="s">
        <v>10870</v>
      </c>
      <c r="E2173" s="106" t="s">
        <v>10871</v>
      </c>
      <c r="F2173" s="109" t="s">
        <v>9496</v>
      </c>
      <c r="G2173" s="115" t="s">
        <v>9324</v>
      </c>
      <c r="H2173" s="115" t="s">
        <v>9324</v>
      </c>
      <c r="I2173" s="109" t="s">
        <v>10859</v>
      </c>
      <c r="J2173" s="239" t="s">
        <v>10860</v>
      </c>
      <c r="K2173" s="109" t="s">
        <v>9440</v>
      </c>
      <c r="L2173" s="109" t="s">
        <v>9496</v>
      </c>
    </row>
    <row r="2174" spans="1:12" s="58" customFormat="1" ht="14.85" customHeight="1" x14ac:dyDescent="0.25">
      <c r="A2174" s="108" t="s">
        <v>9308</v>
      </c>
      <c r="B2174" s="115" t="s">
        <v>8939</v>
      </c>
      <c r="C2174" s="115" t="s">
        <v>9338</v>
      </c>
      <c r="D2174" s="109" t="s">
        <v>10870</v>
      </c>
      <c r="E2174" s="106" t="s">
        <v>10871</v>
      </c>
      <c r="F2174" s="109" t="s">
        <v>9496</v>
      </c>
      <c r="G2174" s="115" t="s">
        <v>9324</v>
      </c>
      <c r="H2174" s="115" t="s">
        <v>9324</v>
      </c>
      <c r="I2174" s="109" t="s">
        <v>10162</v>
      </c>
      <c r="J2174" s="239" t="s">
        <v>10163</v>
      </c>
      <c r="K2174" s="109" t="s">
        <v>9440</v>
      </c>
      <c r="L2174" s="109" t="s">
        <v>9496</v>
      </c>
    </row>
    <row r="2175" spans="1:12" s="58" customFormat="1" ht="14.85" customHeight="1" x14ac:dyDescent="0.25">
      <c r="A2175" s="108" t="s">
        <v>9308</v>
      </c>
      <c r="B2175" s="115" t="s">
        <v>8939</v>
      </c>
      <c r="C2175" s="115" t="s">
        <v>9338</v>
      </c>
      <c r="D2175" s="109" t="s">
        <v>10872</v>
      </c>
      <c r="E2175" s="106" t="s">
        <v>10873</v>
      </c>
      <c r="F2175" s="109" t="s">
        <v>9496</v>
      </c>
      <c r="G2175" s="115" t="s">
        <v>9324</v>
      </c>
      <c r="H2175" s="115" t="s">
        <v>9323</v>
      </c>
      <c r="I2175" s="109" t="s">
        <v>10857</v>
      </c>
      <c r="J2175" s="239" t="s">
        <v>10858</v>
      </c>
      <c r="K2175" s="109" t="s">
        <v>9440</v>
      </c>
      <c r="L2175" s="109" t="s">
        <v>9496</v>
      </c>
    </row>
    <row r="2176" spans="1:12" s="58" customFormat="1" ht="14.85" customHeight="1" x14ac:dyDescent="0.25">
      <c r="A2176" s="108" t="s">
        <v>9308</v>
      </c>
      <c r="B2176" s="115" t="s">
        <v>8939</v>
      </c>
      <c r="C2176" s="115" t="s">
        <v>9338</v>
      </c>
      <c r="D2176" s="109" t="s">
        <v>10872</v>
      </c>
      <c r="E2176" s="106" t="s">
        <v>10873</v>
      </c>
      <c r="F2176" s="109" t="s">
        <v>9496</v>
      </c>
      <c r="G2176" s="115" t="s">
        <v>9324</v>
      </c>
      <c r="H2176" s="115" t="s">
        <v>9323</v>
      </c>
      <c r="I2176" s="109" t="s">
        <v>10859</v>
      </c>
      <c r="J2176" s="239" t="s">
        <v>10860</v>
      </c>
      <c r="K2176" s="109" t="s">
        <v>9440</v>
      </c>
      <c r="L2176" s="109" t="s">
        <v>9496</v>
      </c>
    </row>
    <row r="2177" spans="1:12" s="58" customFormat="1" ht="14.85" customHeight="1" x14ac:dyDescent="0.25">
      <c r="A2177" s="108" t="s">
        <v>9308</v>
      </c>
      <c r="B2177" s="115" t="s">
        <v>8939</v>
      </c>
      <c r="C2177" s="115" t="s">
        <v>9338</v>
      </c>
      <c r="D2177" s="109" t="s">
        <v>10872</v>
      </c>
      <c r="E2177" s="106" t="s">
        <v>10873</v>
      </c>
      <c r="F2177" s="109" t="s">
        <v>9496</v>
      </c>
      <c r="G2177" s="115" t="s">
        <v>9324</v>
      </c>
      <c r="H2177" s="115" t="s">
        <v>9323</v>
      </c>
      <c r="I2177" s="109" t="s">
        <v>10162</v>
      </c>
      <c r="J2177" s="239" t="s">
        <v>10163</v>
      </c>
      <c r="K2177" s="109" t="s">
        <v>9440</v>
      </c>
      <c r="L2177" s="109" t="s">
        <v>9496</v>
      </c>
    </row>
    <row r="2178" spans="1:12" s="58" customFormat="1" ht="14.85" customHeight="1" x14ac:dyDescent="0.25">
      <c r="A2178" s="108" t="s">
        <v>9308</v>
      </c>
      <c r="B2178" s="115" t="s">
        <v>8939</v>
      </c>
      <c r="C2178" s="115" t="s">
        <v>9338</v>
      </c>
      <c r="D2178" s="109" t="s">
        <v>10874</v>
      </c>
      <c r="E2178" s="106" t="s">
        <v>10875</v>
      </c>
      <c r="F2178" s="109" t="s">
        <v>9496</v>
      </c>
      <c r="G2178" s="115" t="s">
        <v>9324</v>
      </c>
      <c r="H2178" s="115" t="s">
        <v>9323</v>
      </c>
      <c r="I2178" s="109" t="s">
        <v>10162</v>
      </c>
      <c r="J2178" s="239" t="s">
        <v>10163</v>
      </c>
      <c r="K2178" s="109" t="s">
        <v>9440</v>
      </c>
      <c r="L2178" s="109" t="s">
        <v>9496</v>
      </c>
    </row>
    <row r="2179" spans="1:12" s="58" customFormat="1" ht="14.85" customHeight="1" x14ac:dyDescent="0.25">
      <c r="A2179" s="108" t="s">
        <v>9308</v>
      </c>
      <c r="B2179" s="115" t="s">
        <v>8939</v>
      </c>
      <c r="C2179" s="115" t="s">
        <v>9338</v>
      </c>
      <c r="D2179" s="109" t="s">
        <v>10876</v>
      </c>
      <c r="E2179" s="106" t="s">
        <v>10877</v>
      </c>
      <c r="F2179" s="109" t="s">
        <v>9496</v>
      </c>
      <c r="G2179" s="115" t="s">
        <v>9324</v>
      </c>
      <c r="H2179" s="115" t="s">
        <v>9323</v>
      </c>
      <c r="I2179" s="109" t="s">
        <v>10859</v>
      </c>
      <c r="J2179" s="239" t="s">
        <v>10860</v>
      </c>
      <c r="K2179" s="109" t="s">
        <v>9440</v>
      </c>
      <c r="L2179" s="109" t="s">
        <v>9496</v>
      </c>
    </row>
    <row r="2180" spans="1:12" s="58" customFormat="1" ht="14.85" customHeight="1" x14ac:dyDescent="0.25">
      <c r="A2180" s="108" t="s">
        <v>9308</v>
      </c>
      <c r="B2180" s="115" t="s">
        <v>8939</v>
      </c>
      <c r="C2180" s="115" t="s">
        <v>9338</v>
      </c>
      <c r="D2180" s="109" t="s">
        <v>10876</v>
      </c>
      <c r="E2180" s="106" t="s">
        <v>10877</v>
      </c>
      <c r="F2180" s="109" t="s">
        <v>9496</v>
      </c>
      <c r="G2180" s="115" t="s">
        <v>9324</v>
      </c>
      <c r="H2180" s="115" t="s">
        <v>9323</v>
      </c>
      <c r="I2180" s="109" t="s">
        <v>10162</v>
      </c>
      <c r="J2180" s="239" t="s">
        <v>10163</v>
      </c>
      <c r="K2180" s="109" t="s">
        <v>9440</v>
      </c>
      <c r="L2180" s="109" t="s">
        <v>9496</v>
      </c>
    </row>
    <row r="2181" spans="1:12" s="58" customFormat="1" ht="14.85" customHeight="1" x14ac:dyDescent="0.25">
      <c r="A2181" s="108" t="s">
        <v>9308</v>
      </c>
      <c r="B2181" s="115" t="s">
        <v>8939</v>
      </c>
      <c r="C2181" s="115" t="s">
        <v>9338</v>
      </c>
      <c r="D2181" s="109" t="s">
        <v>10878</v>
      </c>
      <c r="E2181" s="106" t="s">
        <v>10879</v>
      </c>
      <c r="F2181" s="109" t="s">
        <v>9496</v>
      </c>
      <c r="G2181" s="115" t="s">
        <v>9324</v>
      </c>
      <c r="H2181" s="115" t="s">
        <v>9323</v>
      </c>
      <c r="I2181" s="109" t="s">
        <v>10857</v>
      </c>
      <c r="J2181" s="239" t="s">
        <v>10858</v>
      </c>
      <c r="K2181" s="109" t="s">
        <v>9440</v>
      </c>
      <c r="L2181" s="109" t="s">
        <v>9496</v>
      </c>
    </row>
    <row r="2182" spans="1:12" s="58" customFormat="1" ht="14.85" customHeight="1" x14ac:dyDescent="0.25">
      <c r="A2182" s="108" t="s">
        <v>9308</v>
      </c>
      <c r="B2182" s="115" t="s">
        <v>8939</v>
      </c>
      <c r="C2182" s="115" t="s">
        <v>9338</v>
      </c>
      <c r="D2182" s="109" t="s">
        <v>10878</v>
      </c>
      <c r="E2182" s="106" t="s">
        <v>10879</v>
      </c>
      <c r="F2182" s="109" t="s">
        <v>9496</v>
      </c>
      <c r="G2182" s="115" t="s">
        <v>9324</v>
      </c>
      <c r="H2182" s="115" t="s">
        <v>9323</v>
      </c>
      <c r="I2182" s="109" t="s">
        <v>10859</v>
      </c>
      <c r="J2182" s="239" t="s">
        <v>10860</v>
      </c>
      <c r="K2182" s="109" t="s">
        <v>9440</v>
      </c>
      <c r="L2182" s="109" t="s">
        <v>9496</v>
      </c>
    </row>
    <row r="2183" spans="1:12" s="58" customFormat="1" ht="14.85" customHeight="1" x14ac:dyDescent="0.25">
      <c r="A2183" s="108" t="s">
        <v>9308</v>
      </c>
      <c r="B2183" s="115" t="s">
        <v>8939</v>
      </c>
      <c r="C2183" s="115" t="s">
        <v>9338</v>
      </c>
      <c r="D2183" s="109" t="s">
        <v>10878</v>
      </c>
      <c r="E2183" s="106" t="s">
        <v>10879</v>
      </c>
      <c r="F2183" s="109" t="s">
        <v>9496</v>
      </c>
      <c r="G2183" s="115" t="s">
        <v>9324</v>
      </c>
      <c r="H2183" s="115" t="s">
        <v>9323</v>
      </c>
      <c r="I2183" s="109" t="s">
        <v>10162</v>
      </c>
      <c r="J2183" s="239" t="s">
        <v>10163</v>
      </c>
      <c r="K2183" s="109" t="s">
        <v>9440</v>
      </c>
      <c r="L2183" s="109" t="s">
        <v>9496</v>
      </c>
    </row>
    <row r="2184" spans="1:12" s="58" customFormat="1" ht="14.85" customHeight="1" x14ac:dyDescent="0.25">
      <c r="A2184" s="108" t="s">
        <v>9308</v>
      </c>
      <c r="B2184" s="115" t="s">
        <v>8939</v>
      </c>
      <c r="C2184" s="115" t="s">
        <v>9338</v>
      </c>
      <c r="D2184" s="109" t="s">
        <v>10880</v>
      </c>
      <c r="E2184" s="106" t="s">
        <v>10881</v>
      </c>
      <c r="F2184" s="109" t="s">
        <v>9496</v>
      </c>
      <c r="G2184" s="115" t="s">
        <v>9324</v>
      </c>
      <c r="H2184" s="115" t="s">
        <v>9323</v>
      </c>
      <c r="I2184" s="109" t="s">
        <v>10857</v>
      </c>
      <c r="J2184" s="239" t="s">
        <v>10858</v>
      </c>
      <c r="K2184" s="109" t="s">
        <v>9440</v>
      </c>
      <c r="L2184" s="109" t="s">
        <v>9496</v>
      </c>
    </row>
    <row r="2185" spans="1:12" s="58" customFormat="1" ht="14.85" customHeight="1" x14ac:dyDescent="0.25">
      <c r="A2185" s="108" t="s">
        <v>9308</v>
      </c>
      <c r="B2185" s="115" t="s">
        <v>8939</v>
      </c>
      <c r="C2185" s="115" t="s">
        <v>9338</v>
      </c>
      <c r="D2185" s="109" t="s">
        <v>10880</v>
      </c>
      <c r="E2185" s="106" t="s">
        <v>10881</v>
      </c>
      <c r="F2185" s="109" t="s">
        <v>9496</v>
      </c>
      <c r="G2185" s="115" t="s">
        <v>9324</v>
      </c>
      <c r="H2185" s="115" t="s">
        <v>9323</v>
      </c>
      <c r="I2185" s="109" t="s">
        <v>10859</v>
      </c>
      <c r="J2185" s="239" t="s">
        <v>10860</v>
      </c>
      <c r="K2185" s="109" t="s">
        <v>9440</v>
      </c>
      <c r="L2185" s="109" t="s">
        <v>9496</v>
      </c>
    </row>
    <row r="2186" spans="1:12" s="58" customFormat="1" ht="14.85" customHeight="1" x14ac:dyDescent="0.25">
      <c r="A2186" s="108" t="s">
        <v>9308</v>
      </c>
      <c r="B2186" s="115" t="s">
        <v>8939</v>
      </c>
      <c r="C2186" s="115" t="s">
        <v>9338</v>
      </c>
      <c r="D2186" s="109" t="s">
        <v>10880</v>
      </c>
      <c r="E2186" s="106" t="s">
        <v>10881</v>
      </c>
      <c r="F2186" s="109" t="s">
        <v>9496</v>
      </c>
      <c r="G2186" s="115" t="s">
        <v>9324</v>
      </c>
      <c r="H2186" s="115" t="s">
        <v>9323</v>
      </c>
      <c r="I2186" s="109" t="s">
        <v>10162</v>
      </c>
      <c r="J2186" s="239" t="s">
        <v>10163</v>
      </c>
      <c r="K2186" s="109" t="s">
        <v>9440</v>
      </c>
      <c r="L2186" s="109" t="s">
        <v>9496</v>
      </c>
    </row>
    <row r="2187" spans="1:12" s="58" customFormat="1" ht="14.85" customHeight="1" x14ac:dyDescent="0.25">
      <c r="A2187" s="108" t="s">
        <v>9308</v>
      </c>
      <c r="B2187" s="115" t="s">
        <v>8939</v>
      </c>
      <c r="C2187" s="115" t="s">
        <v>9338</v>
      </c>
      <c r="D2187" s="109" t="s">
        <v>10882</v>
      </c>
      <c r="E2187" s="106" t="s">
        <v>10883</v>
      </c>
      <c r="F2187" s="109" t="s">
        <v>9496</v>
      </c>
      <c r="G2187" s="115" t="s">
        <v>9324</v>
      </c>
      <c r="H2187" s="115" t="s">
        <v>9323</v>
      </c>
      <c r="I2187" s="109" t="s">
        <v>10857</v>
      </c>
      <c r="J2187" s="239" t="s">
        <v>10858</v>
      </c>
      <c r="K2187" s="109" t="s">
        <v>9440</v>
      </c>
      <c r="L2187" s="109" t="s">
        <v>9496</v>
      </c>
    </row>
    <row r="2188" spans="1:12" s="58" customFormat="1" ht="14.85" customHeight="1" x14ac:dyDescent="0.25">
      <c r="A2188" s="108" t="s">
        <v>9308</v>
      </c>
      <c r="B2188" s="115" t="s">
        <v>8939</v>
      </c>
      <c r="C2188" s="115" t="s">
        <v>9338</v>
      </c>
      <c r="D2188" s="109" t="s">
        <v>10882</v>
      </c>
      <c r="E2188" s="106" t="s">
        <v>10883</v>
      </c>
      <c r="F2188" s="109" t="s">
        <v>9496</v>
      </c>
      <c r="G2188" s="115" t="s">
        <v>9324</v>
      </c>
      <c r="H2188" s="115" t="s">
        <v>9323</v>
      </c>
      <c r="I2188" s="109" t="s">
        <v>10859</v>
      </c>
      <c r="J2188" s="239" t="s">
        <v>10860</v>
      </c>
      <c r="K2188" s="109" t="s">
        <v>9440</v>
      </c>
      <c r="L2188" s="109" t="s">
        <v>9496</v>
      </c>
    </row>
    <row r="2189" spans="1:12" s="58" customFormat="1" ht="14.85" customHeight="1" x14ac:dyDescent="0.25">
      <c r="A2189" s="108" t="s">
        <v>9308</v>
      </c>
      <c r="B2189" s="115" t="s">
        <v>8939</v>
      </c>
      <c r="C2189" s="115" t="s">
        <v>9338</v>
      </c>
      <c r="D2189" s="109" t="s">
        <v>10882</v>
      </c>
      <c r="E2189" s="106" t="s">
        <v>10883</v>
      </c>
      <c r="F2189" s="109" t="s">
        <v>9496</v>
      </c>
      <c r="G2189" s="115" t="s">
        <v>9324</v>
      </c>
      <c r="H2189" s="115" t="s">
        <v>9323</v>
      </c>
      <c r="I2189" s="109" t="s">
        <v>10162</v>
      </c>
      <c r="J2189" s="239" t="s">
        <v>10163</v>
      </c>
      <c r="K2189" s="109" t="s">
        <v>9440</v>
      </c>
      <c r="L2189" s="109" t="s">
        <v>9496</v>
      </c>
    </row>
    <row r="2190" spans="1:12" s="58" customFormat="1" ht="14.85" customHeight="1" x14ac:dyDescent="0.25">
      <c r="A2190" s="108" t="s">
        <v>9308</v>
      </c>
      <c r="B2190" s="115" t="s">
        <v>8939</v>
      </c>
      <c r="C2190" s="115" t="s">
        <v>9338</v>
      </c>
      <c r="D2190" s="109" t="s">
        <v>10884</v>
      </c>
      <c r="E2190" s="106" t="s">
        <v>10885</v>
      </c>
      <c r="F2190" s="109" t="s">
        <v>9496</v>
      </c>
      <c r="G2190" s="115" t="s">
        <v>9324</v>
      </c>
      <c r="H2190" s="115" t="s">
        <v>9323</v>
      </c>
      <c r="I2190" s="109" t="s">
        <v>10857</v>
      </c>
      <c r="J2190" s="239" t="s">
        <v>10858</v>
      </c>
      <c r="K2190" s="109" t="s">
        <v>9440</v>
      </c>
      <c r="L2190" s="109" t="s">
        <v>9496</v>
      </c>
    </row>
    <row r="2191" spans="1:12" s="58" customFormat="1" ht="14.85" customHeight="1" x14ac:dyDescent="0.25">
      <c r="A2191" s="108" t="s">
        <v>9308</v>
      </c>
      <c r="B2191" s="115" t="s">
        <v>8939</v>
      </c>
      <c r="C2191" s="115" t="s">
        <v>9338</v>
      </c>
      <c r="D2191" s="109" t="s">
        <v>10884</v>
      </c>
      <c r="E2191" s="106" t="s">
        <v>10885</v>
      </c>
      <c r="F2191" s="109" t="s">
        <v>9496</v>
      </c>
      <c r="G2191" s="115" t="s">
        <v>9324</v>
      </c>
      <c r="H2191" s="115" t="s">
        <v>9323</v>
      </c>
      <c r="I2191" s="109" t="s">
        <v>10859</v>
      </c>
      <c r="J2191" s="239" t="s">
        <v>10860</v>
      </c>
      <c r="K2191" s="109" t="s">
        <v>9440</v>
      </c>
      <c r="L2191" s="109" t="s">
        <v>9496</v>
      </c>
    </row>
    <row r="2192" spans="1:12" s="58" customFormat="1" ht="14.85" customHeight="1" x14ac:dyDescent="0.25">
      <c r="A2192" s="108" t="s">
        <v>9308</v>
      </c>
      <c r="B2192" s="115" t="s">
        <v>8939</v>
      </c>
      <c r="C2192" s="115" t="s">
        <v>9338</v>
      </c>
      <c r="D2192" s="109" t="s">
        <v>10884</v>
      </c>
      <c r="E2192" s="106" t="s">
        <v>10885</v>
      </c>
      <c r="F2192" s="109" t="s">
        <v>9496</v>
      </c>
      <c r="G2192" s="115" t="s">
        <v>9324</v>
      </c>
      <c r="H2192" s="115" t="s">
        <v>9323</v>
      </c>
      <c r="I2192" s="109" t="s">
        <v>10162</v>
      </c>
      <c r="J2192" s="239" t="s">
        <v>10163</v>
      </c>
      <c r="K2192" s="109" t="s">
        <v>9440</v>
      </c>
      <c r="L2192" s="109" t="s">
        <v>9496</v>
      </c>
    </row>
    <row r="2193" spans="1:12" s="58" customFormat="1" ht="14.85" customHeight="1" x14ac:dyDescent="0.25">
      <c r="A2193" s="108" t="s">
        <v>9308</v>
      </c>
      <c r="B2193" s="115" t="s">
        <v>8939</v>
      </c>
      <c r="C2193" s="115" t="s">
        <v>9338</v>
      </c>
      <c r="D2193" s="109" t="s">
        <v>10886</v>
      </c>
      <c r="E2193" s="106" t="s">
        <v>10887</v>
      </c>
      <c r="F2193" s="109" t="s">
        <v>9496</v>
      </c>
      <c r="G2193" s="115" t="s">
        <v>9324</v>
      </c>
      <c r="H2193" s="115" t="s">
        <v>9323</v>
      </c>
      <c r="I2193" s="109" t="s">
        <v>10857</v>
      </c>
      <c r="J2193" s="239" t="s">
        <v>10858</v>
      </c>
      <c r="K2193" s="109" t="s">
        <v>9440</v>
      </c>
      <c r="L2193" s="109" t="s">
        <v>9496</v>
      </c>
    </row>
    <row r="2194" spans="1:12" s="58" customFormat="1" ht="14.85" customHeight="1" x14ac:dyDescent="0.25">
      <c r="A2194" s="108" t="s">
        <v>9308</v>
      </c>
      <c r="B2194" s="115" t="s">
        <v>8939</v>
      </c>
      <c r="C2194" s="115" t="s">
        <v>9338</v>
      </c>
      <c r="D2194" s="109" t="s">
        <v>10886</v>
      </c>
      <c r="E2194" s="106" t="s">
        <v>10887</v>
      </c>
      <c r="F2194" s="109" t="s">
        <v>9496</v>
      </c>
      <c r="G2194" s="115" t="s">
        <v>9324</v>
      </c>
      <c r="H2194" s="115" t="s">
        <v>9323</v>
      </c>
      <c r="I2194" s="109" t="s">
        <v>10859</v>
      </c>
      <c r="J2194" s="239" t="s">
        <v>10860</v>
      </c>
      <c r="K2194" s="109" t="s">
        <v>9440</v>
      </c>
      <c r="L2194" s="109" t="s">
        <v>9496</v>
      </c>
    </row>
    <row r="2195" spans="1:12" s="58" customFormat="1" ht="14.85" customHeight="1" x14ac:dyDescent="0.25">
      <c r="A2195" s="108" t="s">
        <v>9308</v>
      </c>
      <c r="B2195" s="115" t="s">
        <v>8939</v>
      </c>
      <c r="C2195" s="115" t="s">
        <v>9338</v>
      </c>
      <c r="D2195" s="109" t="s">
        <v>10886</v>
      </c>
      <c r="E2195" s="106" t="s">
        <v>10887</v>
      </c>
      <c r="F2195" s="109" t="s">
        <v>9496</v>
      </c>
      <c r="G2195" s="115" t="s">
        <v>9324</v>
      </c>
      <c r="H2195" s="115" t="s">
        <v>9323</v>
      </c>
      <c r="I2195" s="109" t="s">
        <v>10162</v>
      </c>
      <c r="J2195" s="239" t="s">
        <v>10163</v>
      </c>
      <c r="K2195" s="109" t="s">
        <v>9440</v>
      </c>
      <c r="L2195" s="109" t="s">
        <v>9496</v>
      </c>
    </row>
    <row r="2196" spans="1:12" s="58" customFormat="1" ht="14.85" customHeight="1" x14ac:dyDescent="0.25">
      <c r="A2196" s="108" t="s">
        <v>9308</v>
      </c>
      <c r="B2196" s="115" t="s">
        <v>8939</v>
      </c>
      <c r="C2196" s="115" t="s">
        <v>9338</v>
      </c>
      <c r="D2196" s="109" t="s">
        <v>10888</v>
      </c>
      <c r="E2196" s="106" t="s">
        <v>10889</v>
      </c>
      <c r="F2196" s="109" t="s">
        <v>9496</v>
      </c>
      <c r="G2196" s="115" t="s">
        <v>9324</v>
      </c>
      <c r="H2196" s="115" t="s">
        <v>9323</v>
      </c>
      <c r="I2196" s="109" t="s">
        <v>10090</v>
      </c>
      <c r="J2196" s="239" t="s">
        <v>10091</v>
      </c>
      <c r="K2196" s="109" t="s">
        <v>9440</v>
      </c>
      <c r="L2196" s="109" t="s">
        <v>9496</v>
      </c>
    </row>
    <row r="2197" spans="1:12" s="58" customFormat="1" ht="14.85" customHeight="1" x14ac:dyDescent="0.25">
      <c r="A2197" s="108" t="s">
        <v>9308</v>
      </c>
      <c r="B2197" s="115" t="s">
        <v>8939</v>
      </c>
      <c r="C2197" s="115" t="s">
        <v>9338</v>
      </c>
      <c r="D2197" s="109" t="s">
        <v>10888</v>
      </c>
      <c r="E2197" s="106" t="s">
        <v>10889</v>
      </c>
      <c r="F2197" s="109" t="s">
        <v>9496</v>
      </c>
      <c r="G2197" s="115" t="s">
        <v>9324</v>
      </c>
      <c r="H2197" s="115" t="s">
        <v>9323</v>
      </c>
      <c r="I2197" s="109" t="s">
        <v>10857</v>
      </c>
      <c r="J2197" s="239" t="s">
        <v>10858</v>
      </c>
      <c r="K2197" s="109" t="s">
        <v>9440</v>
      </c>
      <c r="L2197" s="109" t="s">
        <v>9496</v>
      </c>
    </row>
    <row r="2198" spans="1:12" s="58" customFormat="1" ht="14.85" customHeight="1" x14ac:dyDescent="0.25">
      <c r="A2198" s="108" t="s">
        <v>9308</v>
      </c>
      <c r="B2198" s="115" t="s">
        <v>8939</v>
      </c>
      <c r="C2198" s="115" t="s">
        <v>9338</v>
      </c>
      <c r="D2198" s="109" t="s">
        <v>10888</v>
      </c>
      <c r="E2198" s="106" t="s">
        <v>10889</v>
      </c>
      <c r="F2198" s="109" t="s">
        <v>9496</v>
      </c>
      <c r="G2198" s="115" t="s">
        <v>9324</v>
      </c>
      <c r="H2198" s="115" t="s">
        <v>9323</v>
      </c>
      <c r="I2198" s="109" t="s">
        <v>10092</v>
      </c>
      <c r="J2198" s="239" t="s">
        <v>10093</v>
      </c>
      <c r="K2198" s="109" t="s">
        <v>9440</v>
      </c>
      <c r="L2198" s="109" t="s">
        <v>9496</v>
      </c>
    </row>
    <row r="2199" spans="1:12" s="58" customFormat="1" ht="14.85" customHeight="1" x14ac:dyDescent="0.25">
      <c r="A2199" s="108" t="s">
        <v>9308</v>
      </c>
      <c r="B2199" s="115" t="s">
        <v>8939</v>
      </c>
      <c r="C2199" s="115" t="s">
        <v>9338</v>
      </c>
      <c r="D2199" s="109" t="s">
        <v>10888</v>
      </c>
      <c r="E2199" s="106" t="s">
        <v>10889</v>
      </c>
      <c r="F2199" s="109" t="s">
        <v>9496</v>
      </c>
      <c r="G2199" s="115" t="s">
        <v>9324</v>
      </c>
      <c r="H2199" s="115" t="s">
        <v>9323</v>
      </c>
      <c r="I2199" s="109" t="s">
        <v>10859</v>
      </c>
      <c r="J2199" s="239" t="s">
        <v>10860</v>
      </c>
      <c r="K2199" s="109" t="s">
        <v>9440</v>
      </c>
      <c r="L2199" s="109" t="s">
        <v>9496</v>
      </c>
    </row>
    <row r="2200" spans="1:12" s="58" customFormat="1" ht="14.85" customHeight="1" x14ac:dyDescent="0.25">
      <c r="A2200" s="108" t="s">
        <v>9308</v>
      </c>
      <c r="B2200" s="115" t="s">
        <v>8939</v>
      </c>
      <c r="C2200" s="115" t="s">
        <v>9338</v>
      </c>
      <c r="D2200" s="109" t="s">
        <v>10888</v>
      </c>
      <c r="E2200" s="106" t="s">
        <v>10889</v>
      </c>
      <c r="F2200" s="109" t="s">
        <v>9496</v>
      </c>
      <c r="G2200" s="115" t="s">
        <v>9324</v>
      </c>
      <c r="H2200" s="115" t="s">
        <v>9323</v>
      </c>
      <c r="I2200" s="109" t="s">
        <v>10162</v>
      </c>
      <c r="J2200" s="239" t="s">
        <v>10163</v>
      </c>
      <c r="K2200" s="109" t="s">
        <v>9440</v>
      </c>
      <c r="L2200" s="109" t="s">
        <v>9496</v>
      </c>
    </row>
    <row r="2201" spans="1:12" s="58" customFormat="1" ht="14.85" customHeight="1" x14ac:dyDescent="0.25">
      <c r="A2201" s="108" t="s">
        <v>9308</v>
      </c>
      <c r="B2201" s="115" t="s">
        <v>8939</v>
      </c>
      <c r="C2201" s="115" t="s">
        <v>9338</v>
      </c>
      <c r="D2201" s="109" t="s">
        <v>10890</v>
      </c>
      <c r="E2201" s="106" t="s">
        <v>10891</v>
      </c>
      <c r="F2201" s="109" t="s">
        <v>9496</v>
      </c>
      <c r="G2201" s="115" t="s">
        <v>9324</v>
      </c>
      <c r="H2201" s="115" t="s">
        <v>9323</v>
      </c>
      <c r="I2201" s="109" t="s">
        <v>10857</v>
      </c>
      <c r="J2201" s="239" t="s">
        <v>10858</v>
      </c>
      <c r="K2201" s="109" t="s">
        <v>9440</v>
      </c>
      <c r="L2201" s="109" t="s">
        <v>9496</v>
      </c>
    </row>
    <row r="2202" spans="1:12" s="58" customFormat="1" ht="14.85" customHeight="1" x14ac:dyDescent="0.25">
      <c r="A2202" s="108" t="s">
        <v>9308</v>
      </c>
      <c r="B2202" s="115" t="s">
        <v>8939</v>
      </c>
      <c r="C2202" s="115" t="s">
        <v>9338</v>
      </c>
      <c r="D2202" s="109" t="s">
        <v>10890</v>
      </c>
      <c r="E2202" s="106" t="s">
        <v>10891</v>
      </c>
      <c r="F2202" s="109" t="s">
        <v>9496</v>
      </c>
      <c r="G2202" s="115" t="s">
        <v>9324</v>
      </c>
      <c r="H2202" s="115" t="s">
        <v>9323</v>
      </c>
      <c r="I2202" s="109" t="s">
        <v>10859</v>
      </c>
      <c r="J2202" s="239" t="s">
        <v>10860</v>
      </c>
      <c r="K2202" s="109" t="s">
        <v>9440</v>
      </c>
      <c r="L2202" s="109" t="s">
        <v>9496</v>
      </c>
    </row>
    <row r="2203" spans="1:12" s="162" customFormat="1" ht="14.85" customHeight="1" x14ac:dyDescent="0.25">
      <c r="A2203" s="108" t="s">
        <v>9308</v>
      </c>
      <c r="B2203" s="115" t="s">
        <v>8939</v>
      </c>
      <c r="C2203" s="115" t="s">
        <v>9338</v>
      </c>
      <c r="D2203" s="109" t="s">
        <v>10890</v>
      </c>
      <c r="E2203" s="106" t="s">
        <v>10891</v>
      </c>
      <c r="F2203" s="109" t="s">
        <v>9496</v>
      </c>
      <c r="G2203" s="115" t="s">
        <v>9324</v>
      </c>
      <c r="H2203" s="115" t="s">
        <v>9323</v>
      </c>
      <c r="I2203" s="109" t="s">
        <v>10162</v>
      </c>
      <c r="J2203" s="239" t="s">
        <v>10163</v>
      </c>
      <c r="K2203" s="109" t="s">
        <v>9440</v>
      </c>
      <c r="L2203" s="109" t="s">
        <v>9496</v>
      </c>
    </row>
    <row r="2204" spans="1:12" s="58" customFormat="1" ht="14.85" customHeight="1" x14ac:dyDescent="0.25">
      <c r="A2204" s="108" t="s">
        <v>9308</v>
      </c>
      <c r="B2204" s="115" t="s">
        <v>8939</v>
      </c>
      <c r="C2204" s="115" t="s">
        <v>9338</v>
      </c>
      <c r="D2204" s="109" t="s">
        <v>10892</v>
      </c>
      <c r="E2204" s="106" t="s">
        <v>10893</v>
      </c>
      <c r="F2204" s="109" t="s">
        <v>9496</v>
      </c>
      <c r="G2204" s="115" t="s">
        <v>9324</v>
      </c>
      <c r="H2204" s="115" t="s">
        <v>9323</v>
      </c>
      <c r="I2204" s="109" t="s">
        <v>10894</v>
      </c>
      <c r="J2204" s="239" t="s">
        <v>10895</v>
      </c>
      <c r="K2204" s="109" t="s">
        <v>9440</v>
      </c>
      <c r="L2204" s="109" t="s">
        <v>9496</v>
      </c>
    </row>
    <row r="2205" spans="1:12" s="58" customFormat="1" ht="14.85" customHeight="1" x14ac:dyDescent="0.25">
      <c r="A2205" s="108" t="s">
        <v>9308</v>
      </c>
      <c r="B2205" s="115" t="s">
        <v>8939</v>
      </c>
      <c r="C2205" s="115" t="s">
        <v>9338</v>
      </c>
      <c r="D2205" s="109" t="s">
        <v>10892</v>
      </c>
      <c r="E2205" s="106" t="s">
        <v>10893</v>
      </c>
      <c r="F2205" s="109" t="s">
        <v>9496</v>
      </c>
      <c r="G2205" s="115" t="s">
        <v>9324</v>
      </c>
      <c r="H2205" s="115" t="s">
        <v>9323</v>
      </c>
      <c r="I2205" s="109" t="s">
        <v>10162</v>
      </c>
      <c r="J2205" s="239" t="s">
        <v>10163</v>
      </c>
      <c r="K2205" s="109" t="s">
        <v>9440</v>
      </c>
      <c r="L2205" s="109" t="s">
        <v>9496</v>
      </c>
    </row>
    <row r="2206" spans="1:12" s="58" customFormat="1" ht="14.85" customHeight="1" x14ac:dyDescent="0.25">
      <c r="A2206" s="108" t="s">
        <v>9308</v>
      </c>
      <c r="B2206" s="115" t="s">
        <v>8939</v>
      </c>
      <c r="C2206" s="115" t="s">
        <v>9338</v>
      </c>
      <c r="D2206" s="109" t="s">
        <v>10896</v>
      </c>
      <c r="E2206" s="106" t="s">
        <v>10897</v>
      </c>
      <c r="F2206" s="109" t="s">
        <v>9496</v>
      </c>
      <c r="G2206" s="115" t="s">
        <v>9324</v>
      </c>
      <c r="H2206" s="115" t="s">
        <v>9323</v>
      </c>
      <c r="I2206" s="109" t="s">
        <v>10894</v>
      </c>
      <c r="J2206" s="239" t="s">
        <v>10895</v>
      </c>
      <c r="K2206" s="109" t="s">
        <v>9440</v>
      </c>
      <c r="L2206" s="109" t="s">
        <v>9496</v>
      </c>
    </row>
    <row r="2207" spans="1:12" s="58" customFormat="1" ht="14.85" customHeight="1" x14ac:dyDescent="0.25">
      <c r="A2207" s="108" t="s">
        <v>9308</v>
      </c>
      <c r="B2207" s="115" t="s">
        <v>8939</v>
      </c>
      <c r="C2207" s="115" t="s">
        <v>9338</v>
      </c>
      <c r="D2207" s="109" t="s">
        <v>10896</v>
      </c>
      <c r="E2207" s="106" t="s">
        <v>10897</v>
      </c>
      <c r="F2207" s="109" t="s">
        <v>9496</v>
      </c>
      <c r="G2207" s="115" t="s">
        <v>9324</v>
      </c>
      <c r="H2207" s="115" t="s">
        <v>9323</v>
      </c>
      <c r="I2207" s="109" t="s">
        <v>10898</v>
      </c>
      <c r="J2207" s="239" t="s">
        <v>10899</v>
      </c>
      <c r="K2207" s="109" t="s">
        <v>9440</v>
      </c>
      <c r="L2207" s="109" t="s">
        <v>9496</v>
      </c>
    </row>
    <row r="2208" spans="1:12" s="58" customFormat="1" ht="14.85" customHeight="1" x14ac:dyDescent="0.25">
      <c r="A2208" s="108" t="s">
        <v>9308</v>
      </c>
      <c r="B2208" s="115" t="s">
        <v>8939</v>
      </c>
      <c r="C2208" s="115" t="s">
        <v>9338</v>
      </c>
      <c r="D2208" s="109" t="s">
        <v>10896</v>
      </c>
      <c r="E2208" s="106" t="s">
        <v>10897</v>
      </c>
      <c r="F2208" s="109" t="s">
        <v>9496</v>
      </c>
      <c r="G2208" s="115" t="s">
        <v>9324</v>
      </c>
      <c r="H2208" s="115" t="s">
        <v>9323</v>
      </c>
      <c r="I2208" s="109" t="s">
        <v>10900</v>
      </c>
      <c r="J2208" s="239" t="s">
        <v>10901</v>
      </c>
      <c r="K2208" s="109" t="s">
        <v>9440</v>
      </c>
      <c r="L2208" s="109" t="s">
        <v>9496</v>
      </c>
    </row>
    <row r="2209" spans="1:12" s="58" customFormat="1" ht="14.85" customHeight="1" x14ac:dyDescent="0.25">
      <c r="A2209" s="108" t="s">
        <v>9308</v>
      </c>
      <c r="B2209" s="115" t="s">
        <v>8939</v>
      </c>
      <c r="C2209" s="115" t="s">
        <v>9338</v>
      </c>
      <c r="D2209" s="109" t="s">
        <v>10902</v>
      </c>
      <c r="E2209" s="106" t="s">
        <v>10903</v>
      </c>
      <c r="F2209" s="109" t="s">
        <v>9496</v>
      </c>
      <c r="G2209" s="115" t="s">
        <v>9324</v>
      </c>
      <c r="H2209" s="115" t="s">
        <v>9323</v>
      </c>
      <c r="I2209" s="109" t="s">
        <v>10894</v>
      </c>
      <c r="J2209" s="239" t="s">
        <v>10895</v>
      </c>
      <c r="K2209" s="109" t="s">
        <v>9440</v>
      </c>
      <c r="L2209" s="109" t="s">
        <v>9496</v>
      </c>
    </row>
    <row r="2210" spans="1:12" s="58" customFormat="1" ht="14.85" customHeight="1" x14ac:dyDescent="0.25">
      <c r="A2210" s="108" t="s">
        <v>9308</v>
      </c>
      <c r="B2210" s="115" t="s">
        <v>8939</v>
      </c>
      <c r="C2210" s="115" t="s">
        <v>9338</v>
      </c>
      <c r="D2210" s="109" t="s">
        <v>10902</v>
      </c>
      <c r="E2210" s="106" t="s">
        <v>10903</v>
      </c>
      <c r="F2210" s="109" t="s">
        <v>9496</v>
      </c>
      <c r="G2210" s="115" t="s">
        <v>9324</v>
      </c>
      <c r="H2210" s="115" t="s">
        <v>9323</v>
      </c>
      <c r="I2210" s="109" t="s">
        <v>10898</v>
      </c>
      <c r="J2210" s="239" t="s">
        <v>10899</v>
      </c>
      <c r="K2210" s="109" t="s">
        <v>9440</v>
      </c>
      <c r="L2210" s="109" t="s">
        <v>9496</v>
      </c>
    </row>
    <row r="2211" spans="1:12" s="58" customFormat="1" ht="14.85" customHeight="1" x14ac:dyDescent="0.25">
      <c r="A2211" s="108" t="s">
        <v>9308</v>
      </c>
      <c r="B2211" s="115" t="s">
        <v>8939</v>
      </c>
      <c r="C2211" s="115" t="s">
        <v>9338</v>
      </c>
      <c r="D2211" s="109" t="s">
        <v>10902</v>
      </c>
      <c r="E2211" s="106" t="s">
        <v>10903</v>
      </c>
      <c r="F2211" s="109" t="s">
        <v>9496</v>
      </c>
      <c r="G2211" s="115" t="s">
        <v>9324</v>
      </c>
      <c r="H2211" s="115" t="s">
        <v>9323</v>
      </c>
      <c r="I2211" s="109" t="s">
        <v>10900</v>
      </c>
      <c r="J2211" s="239" t="s">
        <v>10901</v>
      </c>
      <c r="K2211" s="109" t="s">
        <v>9440</v>
      </c>
      <c r="L2211" s="109" t="s">
        <v>9496</v>
      </c>
    </row>
    <row r="2212" spans="1:12" s="58" customFormat="1" ht="14.85" customHeight="1" x14ac:dyDescent="0.25">
      <c r="A2212" s="108" t="s">
        <v>9308</v>
      </c>
      <c r="B2212" s="115" t="s">
        <v>8939</v>
      </c>
      <c r="C2212" s="115" t="s">
        <v>9338</v>
      </c>
      <c r="D2212" s="109" t="s">
        <v>10904</v>
      </c>
      <c r="E2212" s="106" t="s">
        <v>10905</v>
      </c>
      <c r="F2212" s="109" t="s">
        <v>9496</v>
      </c>
      <c r="G2212" s="115" t="s">
        <v>9324</v>
      </c>
      <c r="H2212" s="115" t="s">
        <v>9324</v>
      </c>
      <c r="I2212" s="109" t="s">
        <v>10894</v>
      </c>
      <c r="J2212" s="239" t="s">
        <v>10895</v>
      </c>
      <c r="K2212" s="109" t="s">
        <v>9440</v>
      </c>
      <c r="L2212" s="109" t="s">
        <v>9496</v>
      </c>
    </row>
    <row r="2213" spans="1:12" s="58" customFormat="1" ht="14.85" customHeight="1" x14ac:dyDescent="0.25">
      <c r="A2213" s="108" t="s">
        <v>9308</v>
      </c>
      <c r="B2213" s="115" t="s">
        <v>8939</v>
      </c>
      <c r="C2213" s="115" t="s">
        <v>9338</v>
      </c>
      <c r="D2213" s="109" t="s">
        <v>10904</v>
      </c>
      <c r="E2213" s="106" t="s">
        <v>10905</v>
      </c>
      <c r="F2213" s="109" t="s">
        <v>9496</v>
      </c>
      <c r="G2213" s="115" t="s">
        <v>9324</v>
      </c>
      <c r="H2213" s="115" t="s">
        <v>9324</v>
      </c>
      <c r="I2213" s="109" t="s">
        <v>10898</v>
      </c>
      <c r="J2213" s="239" t="s">
        <v>10899</v>
      </c>
      <c r="K2213" s="109" t="s">
        <v>9440</v>
      </c>
      <c r="L2213" s="109" t="s">
        <v>9496</v>
      </c>
    </row>
    <row r="2214" spans="1:12" s="58" customFormat="1" ht="14.85" customHeight="1" x14ac:dyDescent="0.25">
      <c r="A2214" s="108" t="s">
        <v>9308</v>
      </c>
      <c r="B2214" s="115" t="s">
        <v>8939</v>
      </c>
      <c r="C2214" s="115" t="s">
        <v>9338</v>
      </c>
      <c r="D2214" s="109" t="s">
        <v>10904</v>
      </c>
      <c r="E2214" s="106" t="s">
        <v>10905</v>
      </c>
      <c r="F2214" s="109" t="s">
        <v>9496</v>
      </c>
      <c r="G2214" s="115" t="s">
        <v>9324</v>
      </c>
      <c r="H2214" s="115" t="s">
        <v>9324</v>
      </c>
      <c r="I2214" s="109" t="s">
        <v>10900</v>
      </c>
      <c r="J2214" s="239" t="s">
        <v>10901</v>
      </c>
      <c r="K2214" s="109" t="s">
        <v>9440</v>
      </c>
      <c r="L2214" s="109" t="s">
        <v>9496</v>
      </c>
    </row>
    <row r="2215" spans="1:12" s="58" customFormat="1" ht="14.85" customHeight="1" x14ac:dyDescent="0.25">
      <c r="A2215" s="108" t="s">
        <v>9308</v>
      </c>
      <c r="B2215" s="115" t="s">
        <v>8939</v>
      </c>
      <c r="C2215" s="115" t="s">
        <v>9338</v>
      </c>
      <c r="D2215" s="109" t="s">
        <v>10906</v>
      </c>
      <c r="E2215" s="106" t="s">
        <v>10907</v>
      </c>
      <c r="F2215" s="109" t="s">
        <v>9496</v>
      </c>
      <c r="G2215" s="115" t="s">
        <v>9324</v>
      </c>
      <c r="H2215" s="115" t="s">
        <v>9323</v>
      </c>
      <c r="I2215" s="109" t="s">
        <v>10894</v>
      </c>
      <c r="J2215" s="239" t="s">
        <v>10895</v>
      </c>
      <c r="K2215" s="109" t="s">
        <v>9440</v>
      </c>
      <c r="L2215" s="109" t="s">
        <v>9496</v>
      </c>
    </row>
    <row r="2216" spans="1:12" s="58" customFormat="1" ht="14.85" customHeight="1" x14ac:dyDescent="0.25">
      <c r="A2216" s="108" t="s">
        <v>9308</v>
      </c>
      <c r="B2216" s="115" t="s">
        <v>8939</v>
      </c>
      <c r="C2216" s="115" t="s">
        <v>9338</v>
      </c>
      <c r="D2216" s="109" t="s">
        <v>10906</v>
      </c>
      <c r="E2216" s="106" t="s">
        <v>10907</v>
      </c>
      <c r="F2216" s="109" t="s">
        <v>9496</v>
      </c>
      <c r="G2216" s="115" t="s">
        <v>9324</v>
      </c>
      <c r="H2216" s="115" t="s">
        <v>9323</v>
      </c>
      <c r="I2216" s="109" t="s">
        <v>10162</v>
      </c>
      <c r="J2216" s="239" t="s">
        <v>10163</v>
      </c>
      <c r="K2216" s="109" t="s">
        <v>9440</v>
      </c>
      <c r="L2216" s="109" t="s">
        <v>9496</v>
      </c>
    </row>
    <row r="2217" spans="1:12" s="58" customFormat="1" ht="14.85" customHeight="1" x14ac:dyDescent="0.25">
      <c r="A2217" s="108" t="s">
        <v>9308</v>
      </c>
      <c r="B2217" s="115" t="s">
        <v>8939</v>
      </c>
      <c r="C2217" s="115" t="s">
        <v>9338</v>
      </c>
      <c r="D2217" s="109" t="s">
        <v>10908</v>
      </c>
      <c r="E2217" s="106" t="s">
        <v>10909</v>
      </c>
      <c r="F2217" s="109" t="s">
        <v>9496</v>
      </c>
      <c r="G2217" s="115" t="s">
        <v>9324</v>
      </c>
      <c r="H2217" s="115" t="s">
        <v>9323</v>
      </c>
      <c r="I2217" s="109" t="s">
        <v>10162</v>
      </c>
      <c r="J2217" s="239" t="s">
        <v>10163</v>
      </c>
      <c r="K2217" s="109" t="s">
        <v>9440</v>
      </c>
      <c r="L2217" s="109" t="s">
        <v>9496</v>
      </c>
    </row>
    <row r="2218" spans="1:12" s="58" customFormat="1" ht="14.85" customHeight="1" x14ac:dyDescent="0.25">
      <c r="A2218" s="108" t="s">
        <v>9308</v>
      </c>
      <c r="B2218" s="115" t="s">
        <v>8939</v>
      </c>
      <c r="C2218" s="115" t="s">
        <v>9338</v>
      </c>
      <c r="D2218" s="109" t="s">
        <v>10910</v>
      </c>
      <c r="E2218" s="106" t="s">
        <v>10911</v>
      </c>
      <c r="F2218" s="109" t="s">
        <v>9496</v>
      </c>
      <c r="G2218" s="115" t="s">
        <v>9324</v>
      </c>
      <c r="H2218" s="115" t="s">
        <v>9323</v>
      </c>
      <c r="I2218" s="109" t="s">
        <v>10162</v>
      </c>
      <c r="J2218" s="239" t="s">
        <v>10163</v>
      </c>
      <c r="K2218" s="109" t="s">
        <v>9440</v>
      </c>
      <c r="L2218" s="109" t="s">
        <v>9496</v>
      </c>
    </row>
    <row r="2219" spans="1:12" s="58" customFormat="1" ht="14.85" customHeight="1" x14ac:dyDescent="0.25">
      <c r="A2219" s="108" t="s">
        <v>9308</v>
      </c>
      <c r="B2219" s="115" t="s">
        <v>8939</v>
      </c>
      <c r="C2219" s="115" t="s">
        <v>9338</v>
      </c>
      <c r="D2219" s="109" t="s">
        <v>10912</v>
      </c>
      <c r="E2219" s="106" t="s">
        <v>10913</v>
      </c>
      <c r="F2219" s="109" t="s">
        <v>9496</v>
      </c>
      <c r="G2219" s="115" t="s">
        <v>9324</v>
      </c>
      <c r="H2219" s="115" t="s">
        <v>9323</v>
      </c>
      <c r="I2219" s="109" t="s">
        <v>10090</v>
      </c>
      <c r="J2219" s="239" t="s">
        <v>10091</v>
      </c>
      <c r="K2219" s="109" t="s">
        <v>9440</v>
      </c>
      <c r="L2219" s="109" t="s">
        <v>9496</v>
      </c>
    </row>
    <row r="2220" spans="1:12" s="58" customFormat="1" ht="14.85" customHeight="1" x14ac:dyDescent="0.25">
      <c r="A2220" s="108" t="s">
        <v>9308</v>
      </c>
      <c r="B2220" s="115" t="s">
        <v>8939</v>
      </c>
      <c r="C2220" s="115" t="s">
        <v>9338</v>
      </c>
      <c r="D2220" s="109" t="s">
        <v>10912</v>
      </c>
      <c r="E2220" s="106" t="s">
        <v>10913</v>
      </c>
      <c r="F2220" s="109" t="s">
        <v>9496</v>
      </c>
      <c r="G2220" s="115" t="s">
        <v>9324</v>
      </c>
      <c r="H2220" s="115" t="s">
        <v>9323</v>
      </c>
      <c r="I2220" s="109" t="s">
        <v>10894</v>
      </c>
      <c r="J2220" s="239" t="s">
        <v>10895</v>
      </c>
      <c r="K2220" s="109" t="s">
        <v>9440</v>
      </c>
      <c r="L2220" s="109" t="s">
        <v>9496</v>
      </c>
    </row>
    <row r="2221" spans="1:12" s="58" customFormat="1" ht="14.85" customHeight="1" x14ac:dyDescent="0.25">
      <c r="A2221" s="108" t="s">
        <v>9308</v>
      </c>
      <c r="B2221" s="115" t="s">
        <v>8939</v>
      </c>
      <c r="C2221" s="115" t="s">
        <v>9338</v>
      </c>
      <c r="D2221" s="109" t="s">
        <v>10912</v>
      </c>
      <c r="E2221" s="106" t="s">
        <v>10913</v>
      </c>
      <c r="F2221" s="109" t="s">
        <v>9496</v>
      </c>
      <c r="G2221" s="115" t="s">
        <v>9324</v>
      </c>
      <c r="H2221" s="115" t="s">
        <v>9323</v>
      </c>
      <c r="I2221" s="109" t="s">
        <v>10092</v>
      </c>
      <c r="J2221" s="239" t="s">
        <v>10093</v>
      </c>
      <c r="K2221" s="109" t="s">
        <v>9440</v>
      </c>
      <c r="L2221" s="109" t="s">
        <v>9496</v>
      </c>
    </row>
    <row r="2222" spans="1:12" s="58" customFormat="1" ht="14.85" customHeight="1" x14ac:dyDescent="0.25">
      <c r="A2222" s="108" t="s">
        <v>9308</v>
      </c>
      <c r="B2222" s="115" t="s">
        <v>8939</v>
      </c>
      <c r="C2222" s="115" t="s">
        <v>9338</v>
      </c>
      <c r="D2222" s="109" t="s">
        <v>10914</v>
      </c>
      <c r="E2222" s="106" t="s">
        <v>10915</v>
      </c>
      <c r="F2222" s="109" t="s">
        <v>9496</v>
      </c>
      <c r="G2222" s="115" t="s">
        <v>9324</v>
      </c>
      <c r="H2222" s="115" t="s">
        <v>9323</v>
      </c>
      <c r="I2222" s="109" t="s">
        <v>10471</v>
      </c>
      <c r="J2222" s="239" t="s">
        <v>10472</v>
      </c>
      <c r="K2222" s="109" t="s">
        <v>9440</v>
      </c>
      <c r="L2222" s="109" t="s">
        <v>9496</v>
      </c>
    </row>
    <row r="2223" spans="1:12" s="58" customFormat="1" ht="14.85" customHeight="1" x14ac:dyDescent="0.25">
      <c r="A2223" s="108" t="s">
        <v>9308</v>
      </c>
      <c r="B2223" s="115" t="s">
        <v>8939</v>
      </c>
      <c r="C2223" s="115" t="s">
        <v>9338</v>
      </c>
      <c r="D2223" s="109" t="s">
        <v>10914</v>
      </c>
      <c r="E2223" s="106" t="s">
        <v>10915</v>
      </c>
      <c r="F2223" s="109" t="s">
        <v>9496</v>
      </c>
      <c r="G2223" s="115" t="s">
        <v>9324</v>
      </c>
      <c r="H2223" s="115" t="s">
        <v>9323</v>
      </c>
      <c r="I2223" s="109" t="s">
        <v>10376</v>
      </c>
      <c r="J2223" s="239" t="s">
        <v>10377</v>
      </c>
      <c r="K2223" s="109" t="s">
        <v>9440</v>
      </c>
      <c r="L2223" s="109" t="s">
        <v>9496</v>
      </c>
    </row>
    <row r="2224" spans="1:12" s="58" customFormat="1" ht="14.85" customHeight="1" x14ac:dyDescent="0.25">
      <c r="A2224" s="108" t="s">
        <v>9308</v>
      </c>
      <c r="B2224" s="115" t="s">
        <v>8939</v>
      </c>
      <c r="C2224" s="115" t="s">
        <v>9338</v>
      </c>
      <c r="D2224" s="109" t="s">
        <v>10914</v>
      </c>
      <c r="E2224" s="106" t="s">
        <v>10915</v>
      </c>
      <c r="F2224" s="109" t="s">
        <v>9496</v>
      </c>
      <c r="G2224" s="115" t="s">
        <v>9324</v>
      </c>
      <c r="H2224" s="115" t="s">
        <v>9323</v>
      </c>
      <c r="I2224" s="109" t="s">
        <v>10769</v>
      </c>
      <c r="J2224" s="239" t="s">
        <v>10770</v>
      </c>
      <c r="K2224" s="109" t="s">
        <v>9440</v>
      </c>
      <c r="L2224" s="109" t="s">
        <v>9496</v>
      </c>
    </row>
    <row r="2225" spans="1:12" s="58" customFormat="1" ht="14.85" customHeight="1" x14ac:dyDescent="0.25">
      <c r="A2225" s="108" t="s">
        <v>9308</v>
      </c>
      <c r="B2225" s="115" t="s">
        <v>8939</v>
      </c>
      <c r="C2225" s="115" t="s">
        <v>9338</v>
      </c>
      <c r="D2225" s="109" t="s">
        <v>10914</v>
      </c>
      <c r="E2225" s="106" t="s">
        <v>10915</v>
      </c>
      <c r="F2225" s="109" t="s">
        <v>9496</v>
      </c>
      <c r="G2225" s="115" t="s">
        <v>9324</v>
      </c>
      <c r="H2225" s="115" t="s">
        <v>9323</v>
      </c>
      <c r="I2225" s="109" t="s">
        <v>10771</v>
      </c>
      <c r="J2225" s="239" t="s">
        <v>10772</v>
      </c>
      <c r="K2225" s="109" t="s">
        <v>9440</v>
      </c>
      <c r="L2225" s="109" t="s">
        <v>9496</v>
      </c>
    </row>
    <row r="2226" spans="1:12" s="58" customFormat="1" ht="14.85" customHeight="1" x14ac:dyDescent="0.25">
      <c r="A2226" s="108" t="s">
        <v>9308</v>
      </c>
      <c r="B2226" s="115" t="s">
        <v>8939</v>
      </c>
      <c r="C2226" s="115" t="s">
        <v>9338</v>
      </c>
      <c r="D2226" s="109" t="s">
        <v>10914</v>
      </c>
      <c r="E2226" s="106" t="s">
        <v>10915</v>
      </c>
      <c r="F2226" s="109" t="s">
        <v>9496</v>
      </c>
      <c r="G2226" s="115" t="s">
        <v>9324</v>
      </c>
      <c r="H2226" s="115" t="s">
        <v>9323</v>
      </c>
      <c r="I2226" s="109" t="s">
        <v>10452</v>
      </c>
      <c r="J2226" s="239" t="s">
        <v>10453</v>
      </c>
      <c r="K2226" s="109" t="s">
        <v>9440</v>
      </c>
      <c r="L2226" s="109" t="s">
        <v>9496</v>
      </c>
    </row>
    <row r="2227" spans="1:12" s="162" customFormat="1" ht="14.85" customHeight="1" x14ac:dyDescent="0.25">
      <c r="A2227" s="108" t="s">
        <v>9308</v>
      </c>
      <c r="B2227" s="115" t="s">
        <v>8939</v>
      </c>
      <c r="C2227" s="115" t="s">
        <v>9338</v>
      </c>
      <c r="D2227" s="109" t="s">
        <v>10914</v>
      </c>
      <c r="E2227" s="106" t="s">
        <v>10915</v>
      </c>
      <c r="F2227" s="109" t="s">
        <v>9496</v>
      </c>
      <c r="G2227" s="115" t="s">
        <v>9324</v>
      </c>
      <c r="H2227" s="115" t="s">
        <v>9323</v>
      </c>
      <c r="I2227" s="109" t="s">
        <v>10454</v>
      </c>
      <c r="J2227" s="239" t="s">
        <v>10455</v>
      </c>
      <c r="K2227" s="109" t="s">
        <v>9440</v>
      </c>
      <c r="L2227" s="109" t="s">
        <v>9496</v>
      </c>
    </row>
    <row r="2228" spans="1:12" s="58" customFormat="1" ht="14.85" customHeight="1" x14ac:dyDescent="0.25">
      <c r="A2228" s="108" t="s">
        <v>9308</v>
      </c>
      <c r="B2228" s="115" t="s">
        <v>8939</v>
      </c>
      <c r="C2228" s="115" t="s">
        <v>9338</v>
      </c>
      <c r="D2228" s="109" t="s">
        <v>10914</v>
      </c>
      <c r="E2228" s="106" t="s">
        <v>10915</v>
      </c>
      <c r="F2228" s="109" t="s">
        <v>9496</v>
      </c>
      <c r="G2228" s="115" t="s">
        <v>9324</v>
      </c>
      <c r="H2228" s="115" t="s">
        <v>9323</v>
      </c>
      <c r="I2228" s="109" t="s">
        <v>10456</v>
      </c>
      <c r="J2228" s="239" t="s">
        <v>10455</v>
      </c>
      <c r="K2228" s="109" t="s">
        <v>9440</v>
      </c>
      <c r="L2228" s="109" t="s">
        <v>9496</v>
      </c>
    </row>
    <row r="2229" spans="1:12" s="58" customFormat="1" ht="14.85" customHeight="1" x14ac:dyDescent="0.25">
      <c r="A2229" s="108" t="s">
        <v>9308</v>
      </c>
      <c r="B2229" s="115" t="s">
        <v>8939</v>
      </c>
      <c r="C2229" s="115" t="s">
        <v>9338</v>
      </c>
      <c r="D2229" s="109" t="s">
        <v>10914</v>
      </c>
      <c r="E2229" s="106" t="s">
        <v>10915</v>
      </c>
      <c r="F2229" s="109" t="s">
        <v>9496</v>
      </c>
      <c r="G2229" s="115" t="s">
        <v>9324</v>
      </c>
      <c r="H2229" s="115" t="s">
        <v>9323</v>
      </c>
      <c r="I2229" s="109" t="s">
        <v>10783</v>
      </c>
      <c r="J2229" s="239" t="s">
        <v>10784</v>
      </c>
      <c r="K2229" s="109" t="s">
        <v>9440</v>
      </c>
      <c r="L2229" s="109" t="s">
        <v>9496</v>
      </c>
    </row>
    <row r="2230" spans="1:12" s="58" customFormat="1" ht="14.85" customHeight="1" x14ac:dyDescent="0.25">
      <c r="A2230" s="108" t="s">
        <v>9308</v>
      </c>
      <c r="B2230" s="115" t="s">
        <v>8939</v>
      </c>
      <c r="C2230" s="115" t="s">
        <v>9338</v>
      </c>
      <c r="D2230" s="109" t="s">
        <v>10914</v>
      </c>
      <c r="E2230" s="106" t="s">
        <v>10915</v>
      </c>
      <c r="F2230" s="109" t="s">
        <v>9496</v>
      </c>
      <c r="G2230" s="115" t="s">
        <v>9324</v>
      </c>
      <c r="H2230" s="115" t="s">
        <v>9323</v>
      </c>
      <c r="I2230" s="109" t="s">
        <v>10785</v>
      </c>
      <c r="J2230" s="239" t="s">
        <v>10786</v>
      </c>
      <c r="K2230" s="109" t="s">
        <v>9440</v>
      </c>
      <c r="L2230" s="109" t="s">
        <v>9496</v>
      </c>
    </row>
    <row r="2231" spans="1:12" s="58" customFormat="1" ht="14.85" customHeight="1" x14ac:dyDescent="0.25">
      <c r="A2231" s="108" t="s">
        <v>9308</v>
      </c>
      <c r="B2231" s="115" t="s">
        <v>8939</v>
      </c>
      <c r="C2231" s="115" t="s">
        <v>9338</v>
      </c>
      <c r="D2231" s="109" t="s">
        <v>10914</v>
      </c>
      <c r="E2231" s="106" t="s">
        <v>10915</v>
      </c>
      <c r="F2231" s="109" t="s">
        <v>9496</v>
      </c>
      <c r="G2231" s="115" t="s">
        <v>9324</v>
      </c>
      <c r="H2231" s="115" t="s">
        <v>9323</v>
      </c>
      <c r="I2231" s="109" t="s">
        <v>10457</v>
      </c>
      <c r="J2231" s="239" t="s">
        <v>10458</v>
      </c>
      <c r="K2231" s="109" t="s">
        <v>9440</v>
      </c>
      <c r="L2231" s="109" t="s">
        <v>9496</v>
      </c>
    </row>
    <row r="2232" spans="1:12" s="58" customFormat="1" ht="14.85" customHeight="1" x14ac:dyDescent="0.25">
      <c r="A2232" s="108" t="s">
        <v>9308</v>
      </c>
      <c r="B2232" s="115" t="s">
        <v>8939</v>
      </c>
      <c r="C2232" s="115" t="s">
        <v>9338</v>
      </c>
      <c r="D2232" s="109" t="s">
        <v>10916</v>
      </c>
      <c r="E2232" s="106" t="s">
        <v>10917</v>
      </c>
      <c r="F2232" s="109" t="s">
        <v>10918</v>
      </c>
      <c r="G2232" s="115" t="s">
        <v>9324</v>
      </c>
      <c r="H2232" s="115" t="s">
        <v>9323</v>
      </c>
      <c r="I2232" s="109" t="s">
        <v>10919</v>
      </c>
      <c r="J2232" s="239" t="s">
        <v>10920</v>
      </c>
      <c r="K2232" s="109" t="s">
        <v>9440</v>
      </c>
      <c r="L2232" s="109" t="s">
        <v>10918</v>
      </c>
    </row>
    <row r="2233" spans="1:12" s="58" customFormat="1" ht="14.85" customHeight="1" x14ac:dyDescent="0.25">
      <c r="A2233" s="108" t="s">
        <v>9308</v>
      </c>
      <c r="B2233" s="115" t="s">
        <v>8939</v>
      </c>
      <c r="C2233" s="115" t="s">
        <v>9338</v>
      </c>
      <c r="D2233" s="109" t="s">
        <v>10921</v>
      </c>
      <c r="E2233" s="106" t="s">
        <v>10922</v>
      </c>
      <c r="F2233" s="109" t="s">
        <v>9496</v>
      </c>
      <c r="G2233" s="115" t="s">
        <v>9324</v>
      </c>
      <c r="H2233" s="115" t="s">
        <v>9323</v>
      </c>
      <c r="I2233" s="109" t="s">
        <v>10090</v>
      </c>
      <c r="J2233" s="239" t="s">
        <v>10091</v>
      </c>
      <c r="K2233" s="109" t="s">
        <v>9440</v>
      </c>
      <c r="L2233" s="109" t="s">
        <v>9496</v>
      </c>
    </row>
    <row r="2234" spans="1:12" s="58" customFormat="1" ht="14.85" customHeight="1" x14ac:dyDescent="0.25">
      <c r="A2234" s="108" t="s">
        <v>9308</v>
      </c>
      <c r="B2234" s="115" t="s">
        <v>8939</v>
      </c>
      <c r="C2234" s="115" t="s">
        <v>9338</v>
      </c>
      <c r="D2234" s="109" t="s">
        <v>10921</v>
      </c>
      <c r="E2234" s="106" t="s">
        <v>10922</v>
      </c>
      <c r="F2234" s="109" t="s">
        <v>9496</v>
      </c>
      <c r="G2234" s="115" t="s">
        <v>9324</v>
      </c>
      <c r="H2234" s="115" t="s">
        <v>9323</v>
      </c>
      <c r="I2234" s="109" t="s">
        <v>10092</v>
      </c>
      <c r="J2234" s="239" t="s">
        <v>10093</v>
      </c>
      <c r="K2234" s="109" t="s">
        <v>9440</v>
      </c>
      <c r="L2234" s="109" t="s">
        <v>9496</v>
      </c>
    </row>
    <row r="2235" spans="1:12" s="58" customFormat="1" ht="14.85" customHeight="1" x14ac:dyDescent="0.25">
      <c r="A2235" s="108" t="s">
        <v>9308</v>
      </c>
      <c r="B2235" s="115" t="s">
        <v>8939</v>
      </c>
      <c r="C2235" s="115" t="s">
        <v>9338</v>
      </c>
      <c r="D2235" s="109" t="s">
        <v>10921</v>
      </c>
      <c r="E2235" s="106" t="s">
        <v>10922</v>
      </c>
      <c r="F2235" s="109" t="s">
        <v>9496</v>
      </c>
      <c r="G2235" s="115" t="s">
        <v>9324</v>
      </c>
      <c r="H2235" s="115" t="s">
        <v>9323</v>
      </c>
      <c r="I2235" s="109" t="s">
        <v>10061</v>
      </c>
      <c r="J2235" s="239" t="s">
        <v>10062</v>
      </c>
      <c r="K2235" s="109" t="s">
        <v>9440</v>
      </c>
      <c r="L2235" s="109" t="s">
        <v>9496</v>
      </c>
    </row>
    <row r="2236" spans="1:12" s="162" customFormat="1" ht="14.85" customHeight="1" x14ac:dyDescent="0.25">
      <c r="A2236" s="108" t="s">
        <v>9308</v>
      </c>
      <c r="B2236" s="115" t="s">
        <v>8939</v>
      </c>
      <c r="C2236" s="115" t="s">
        <v>9338</v>
      </c>
      <c r="D2236" s="109" t="s">
        <v>10921</v>
      </c>
      <c r="E2236" s="106" t="s">
        <v>10922</v>
      </c>
      <c r="F2236" s="109" t="s">
        <v>9496</v>
      </c>
      <c r="G2236" s="115" t="s">
        <v>9324</v>
      </c>
      <c r="H2236" s="115" t="s">
        <v>9323</v>
      </c>
      <c r="I2236" s="109" t="s">
        <v>10027</v>
      </c>
      <c r="J2236" s="239" t="s">
        <v>10028</v>
      </c>
      <c r="K2236" s="109" t="s">
        <v>9440</v>
      </c>
      <c r="L2236" s="109" t="s">
        <v>9496</v>
      </c>
    </row>
    <row r="2237" spans="1:12" s="58" customFormat="1" ht="14.85" customHeight="1" x14ac:dyDescent="0.25">
      <c r="A2237" s="108" t="s">
        <v>9308</v>
      </c>
      <c r="B2237" s="115" t="s">
        <v>8939</v>
      </c>
      <c r="C2237" s="115" t="s">
        <v>9338</v>
      </c>
      <c r="D2237" s="109" t="s">
        <v>10921</v>
      </c>
      <c r="E2237" s="106" t="s">
        <v>10922</v>
      </c>
      <c r="F2237" s="109" t="s">
        <v>9496</v>
      </c>
      <c r="G2237" s="115" t="s">
        <v>9324</v>
      </c>
      <c r="H2237" s="115" t="s">
        <v>9323</v>
      </c>
      <c r="I2237" s="109" t="s">
        <v>10045</v>
      </c>
      <c r="J2237" s="239" t="s">
        <v>10046</v>
      </c>
      <c r="K2237" s="109" t="s">
        <v>9440</v>
      </c>
      <c r="L2237" s="109" t="s">
        <v>9496</v>
      </c>
    </row>
    <row r="2238" spans="1:12" s="58" customFormat="1" ht="14.85" customHeight="1" x14ac:dyDescent="0.25">
      <c r="A2238" s="108" t="s">
        <v>9308</v>
      </c>
      <c r="B2238" s="115" t="s">
        <v>8939</v>
      </c>
      <c r="C2238" s="115" t="s">
        <v>9338</v>
      </c>
      <c r="D2238" s="109" t="s">
        <v>10921</v>
      </c>
      <c r="E2238" s="106" t="s">
        <v>10922</v>
      </c>
      <c r="F2238" s="109" t="s">
        <v>9496</v>
      </c>
      <c r="G2238" s="115" t="s">
        <v>9324</v>
      </c>
      <c r="H2238" s="115" t="s">
        <v>9323</v>
      </c>
      <c r="I2238" s="109" t="s">
        <v>10859</v>
      </c>
      <c r="J2238" s="239" t="s">
        <v>10860</v>
      </c>
      <c r="K2238" s="109" t="s">
        <v>9440</v>
      </c>
      <c r="L2238" s="109" t="s">
        <v>9496</v>
      </c>
    </row>
    <row r="2239" spans="1:12" s="58" customFormat="1" ht="14.85" customHeight="1" x14ac:dyDescent="0.25">
      <c r="A2239" s="108" t="s">
        <v>9308</v>
      </c>
      <c r="B2239" s="115" t="s">
        <v>8939</v>
      </c>
      <c r="C2239" s="115" t="s">
        <v>9338</v>
      </c>
      <c r="D2239" s="109" t="s">
        <v>10921</v>
      </c>
      <c r="E2239" s="106" t="s">
        <v>10922</v>
      </c>
      <c r="F2239" s="109" t="s">
        <v>9496</v>
      </c>
      <c r="G2239" s="115" t="s">
        <v>9324</v>
      </c>
      <c r="H2239" s="115" t="s">
        <v>9323</v>
      </c>
      <c r="I2239" s="109" t="s">
        <v>10591</v>
      </c>
      <c r="J2239" s="239" t="s">
        <v>10592</v>
      </c>
      <c r="K2239" s="109" t="s">
        <v>9440</v>
      </c>
      <c r="L2239" s="109" t="s">
        <v>9496</v>
      </c>
    </row>
    <row r="2240" spans="1:12" s="58" customFormat="1" ht="14.85" customHeight="1" x14ac:dyDescent="0.25">
      <c r="A2240" s="108" t="s">
        <v>9308</v>
      </c>
      <c r="B2240" s="115" t="s">
        <v>8939</v>
      </c>
      <c r="C2240" s="115" t="s">
        <v>9338</v>
      </c>
      <c r="D2240" s="109" t="s">
        <v>10921</v>
      </c>
      <c r="E2240" s="106" t="s">
        <v>10922</v>
      </c>
      <c r="F2240" s="109" t="s">
        <v>9496</v>
      </c>
      <c r="G2240" s="115" t="s">
        <v>9324</v>
      </c>
      <c r="H2240" s="115" t="s">
        <v>9323</v>
      </c>
      <c r="I2240" s="109" t="s">
        <v>10457</v>
      </c>
      <c r="J2240" s="239" t="s">
        <v>10458</v>
      </c>
      <c r="K2240" s="109" t="s">
        <v>9440</v>
      </c>
      <c r="L2240" s="109" t="s">
        <v>9496</v>
      </c>
    </row>
    <row r="2241" spans="1:12" s="58" customFormat="1" ht="14.85" customHeight="1" x14ac:dyDescent="0.25">
      <c r="A2241" s="108" t="s">
        <v>9308</v>
      </c>
      <c r="B2241" s="115" t="s">
        <v>8939</v>
      </c>
      <c r="C2241" s="115" t="s">
        <v>9338</v>
      </c>
      <c r="D2241" s="109" t="s">
        <v>10921</v>
      </c>
      <c r="E2241" s="106" t="s">
        <v>10922</v>
      </c>
      <c r="F2241" s="109" t="s">
        <v>9496</v>
      </c>
      <c r="G2241" s="115" t="s">
        <v>9324</v>
      </c>
      <c r="H2241" s="115" t="s">
        <v>9323</v>
      </c>
      <c r="I2241" s="109" t="s">
        <v>10162</v>
      </c>
      <c r="J2241" s="239" t="s">
        <v>10163</v>
      </c>
      <c r="K2241" s="109" t="s">
        <v>9440</v>
      </c>
      <c r="L2241" s="109" t="s">
        <v>9496</v>
      </c>
    </row>
    <row r="2242" spans="1:12" s="58" customFormat="1" ht="14.85" customHeight="1" x14ac:dyDescent="0.25">
      <c r="A2242" s="108" t="s">
        <v>9308</v>
      </c>
      <c r="B2242" s="115" t="s">
        <v>8939</v>
      </c>
      <c r="C2242" s="115" t="s">
        <v>9338</v>
      </c>
      <c r="D2242" s="109" t="s">
        <v>10923</v>
      </c>
      <c r="E2242" s="106" t="s">
        <v>10924</v>
      </c>
      <c r="F2242" s="109" t="s">
        <v>9496</v>
      </c>
      <c r="G2242" s="115" t="s">
        <v>9324</v>
      </c>
      <c r="H2242" s="115" t="s">
        <v>9323</v>
      </c>
      <c r="I2242" s="109" t="s">
        <v>10090</v>
      </c>
      <c r="J2242" s="239" t="s">
        <v>10091</v>
      </c>
      <c r="K2242" s="109" t="s">
        <v>9440</v>
      </c>
      <c r="L2242" s="109" t="s">
        <v>9496</v>
      </c>
    </row>
    <row r="2243" spans="1:12" s="58" customFormat="1" ht="14.85" customHeight="1" x14ac:dyDescent="0.25">
      <c r="A2243" s="108" t="s">
        <v>9308</v>
      </c>
      <c r="B2243" s="115" t="s">
        <v>8939</v>
      </c>
      <c r="C2243" s="115" t="s">
        <v>9338</v>
      </c>
      <c r="D2243" s="109" t="s">
        <v>10923</v>
      </c>
      <c r="E2243" s="106" t="s">
        <v>10924</v>
      </c>
      <c r="F2243" s="109" t="s">
        <v>9496</v>
      </c>
      <c r="G2243" s="115" t="s">
        <v>9324</v>
      </c>
      <c r="H2243" s="115" t="s">
        <v>9323</v>
      </c>
      <c r="I2243" s="109" t="s">
        <v>10092</v>
      </c>
      <c r="J2243" s="239" t="s">
        <v>10093</v>
      </c>
      <c r="K2243" s="109" t="s">
        <v>9440</v>
      </c>
      <c r="L2243" s="109" t="s">
        <v>9496</v>
      </c>
    </row>
    <row r="2244" spans="1:12" s="162" customFormat="1" ht="14.85" customHeight="1" x14ac:dyDescent="0.25">
      <c r="A2244" s="108" t="s">
        <v>9308</v>
      </c>
      <c r="B2244" s="115" t="s">
        <v>8939</v>
      </c>
      <c r="C2244" s="115" t="s">
        <v>9338</v>
      </c>
      <c r="D2244" s="109" t="s">
        <v>10923</v>
      </c>
      <c r="E2244" s="106" t="s">
        <v>10924</v>
      </c>
      <c r="F2244" s="109" t="s">
        <v>9496</v>
      </c>
      <c r="G2244" s="115" t="s">
        <v>9324</v>
      </c>
      <c r="H2244" s="115" t="s">
        <v>9323</v>
      </c>
      <c r="I2244" s="109" t="s">
        <v>10027</v>
      </c>
      <c r="J2244" s="239" t="s">
        <v>10028</v>
      </c>
      <c r="K2244" s="109" t="s">
        <v>9440</v>
      </c>
      <c r="L2244" s="109" t="s">
        <v>9496</v>
      </c>
    </row>
    <row r="2245" spans="1:12" s="58" customFormat="1" ht="14.85" customHeight="1" x14ac:dyDescent="0.25">
      <c r="A2245" s="108" t="s">
        <v>9308</v>
      </c>
      <c r="B2245" s="115" t="s">
        <v>8939</v>
      </c>
      <c r="C2245" s="115" t="s">
        <v>9338</v>
      </c>
      <c r="D2245" s="109" t="s">
        <v>10925</v>
      </c>
      <c r="E2245" s="106" t="s">
        <v>10926</v>
      </c>
      <c r="F2245" s="109" t="s">
        <v>9496</v>
      </c>
      <c r="G2245" s="115" t="s">
        <v>9324</v>
      </c>
      <c r="H2245" s="115" t="s">
        <v>9323</v>
      </c>
      <c r="I2245" s="109" t="s">
        <v>10457</v>
      </c>
      <c r="J2245" s="239" t="s">
        <v>10458</v>
      </c>
      <c r="K2245" s="109" t="s">
        <v>9440</v>
      </c>
      <c r="L2245" s="109" t="s">
        <v>9496</v>
      </c>
    </row>
    <row r="2246" spans="1:12" s="58" customFormat="1" ht="14.85" customHeight="1" x14ac:dyDescent="0.25">
      <c r="A2246" s="108" t="s">
        <v>9308</v>
      </c>
      <c r="B2246" s="115" t="s">
        <v>8939</v>
      </c>
      <c r="C2246" s="115" t="s">
        <v>9338</v>
      </c>
      <c r="D2246" s="109" t="s">
        <v>10927</v>
      </c>
      <c r="E2246" s="106" t="s">
        <v>10928</v>
      </c>
      <c r="F2246" s="109" t="s">
        <v>9496</v>
      </c>
      <c r="G2246" s="115" t="s">
        <v>9324</v>
      </c>
      <c r="H2246" s="115" t="s">
        <v>9323</v>
      </c>
      <c r="I2246" s="109" t="s">
        <v>10457</v>
      </c>
      <c r="J2246" s="239" t="s">
        <v>10458</v>
      </c>
      <c r="K2246" s="109" t="s">
        <v>9440</v>
      </c>
      <c r="L2246" s="109" t="s">
        <v>9496</v>
      </c>
    </row>
    <row r="2247" spans="1:12" s="58" customFormat="1" ht="14.85" customHeight="1" x14ac:dyDescent="0.25">
      <c r="A2247" s="108" t="s">
        <v>9308</v>
      </c>
      <c r="B2247" s="115" t="s">
        <v>8939</v>
      </c>
      <c r="C2247" s="115" t="s">
        <v>9338</v>
      </c>
      <c r="D2247" s="109" t="s">
        <v>10929</v>
      </c>
      <c r="E2247" s="106" t="s">
        <v>10930</v>
      </c>
      <c r="F2247" s="109" t="s">
        <v>9496</v>
      </c>
      <c r="G2247" s="115" t="s">
        <v>9324</v>
      </c>
      <c r="H2247" s="115" t="s">
        <v>9323</v>
      </c>
      <c r="I2247" s="109" t="s">
        <v>10376</v>
      </c>
      <c r="J2247" s="239" t="s">
        <v>10377</v>
      </c>
      <c r="K2247" s="109" t="s">
        <v>9440</v>
      </c>
      <c r="L2247" s="109" t="s">
        <v>9496</v>
      </c>
    </row>
    <row r="2248" spans="1:12" s="58" customFormat="1" ht="14.85" customHeight="1" x14ac:dyDescent="0.25">
      <c r="A2248" s="108" t="s">
        <v>9308</v>
      </c>
      <c r="B2248" s="115" t="s">
        <v>8939</v>
      </c>
      <c r="C2248" s="115" t="s">
        <v>9338</v>
      </c>
      <c r="D2248" s="109" t="s">
        <v>10929</v>
      </c>
      <c r="E2248" s="106" t="s">
        <v>10930</v>
      </c>
      <c r="F2248" s="109" t="s">
        <v>9496</v>
      </c>
      <c r="G2248" s="115" t="s">
        <v>9324</v>
      </c>
      <c r="H2248" s="115" t="s">
        <v>9323</v>
      </c>
      <c r="I2248" s="109" t="s">
        <v>10457</v>
      </c>
      <c r="J2248" s="239" t="s">
        <v>10458</v>
      </c>
      <c r="K2248" s="109" t="s">
        <v>9440</v>
      </c>
      <c r="L2248" s="109" t="s">
        <v>9496</v>
      </c>
    </row>
    <row r="2249" spans="1:12" s="58" customFormat="1" ht="14.85" customHeight="1" x14ac:dyDescent="0.25">
      <c r="A2249" s="108" t="s">
        <v>9308</v>
      </c>
      <c r="B2249" s="115" t="s">
        <v>8939</v>
      </c>
      <c r="C2249" s="115" t="s">
        <v>9338</v>
      </c>
      <c r="D2249" s="109" t="s">
        <v>10931</v>
      </c>
      <c r="E2249" s="106" t="s">
        <v>10932</v>
      </c>
      <c r="F2249" s="109" t="s">
        <v>9496</v>
      </c>
      <c r="G2249" s="115" t="s">
        <v>9324</v>
      </c>
      <c r="H2249" s="115" t="s">
        <v>9323</v>
      </c>
      <c r="I2249" s="109" t="s">
        <v>10376</v>
      </c>
      <c r="J2249" s="239" t="s">
        <v>10377</v>
      </c>
      <c r="K2249" s="109" t="s">
        <v>9440</v>
      </c>
      <c r="L2249" s="109" t="s">
        <v>9496</v>
      </c>
    </row>
    <row r="2250" spans="1:12" s="58" customFormat="1" ht="14.85" customHeight="1" x14ac:dyDescent="0.25">
      <c r="A2250" s="108" t="s">
        <v>9308</v>
      </c>
      <c r="B2250" s="115" t="s">
        <v>8939</v>
      </c>
      <c r="C2250" s="115" t="s">
        <v>9338</v>
      </c>
      <c r="D2250" s="109" t="s">
        <v>10931</v>
      </c>
      <c r="E2250" s="106" t="s">
        <v>10932</v>
      </c>
      <c r="F2250" s="109" t="s">
        <v>9496</v>
      </c>
      <c r="G2250" s="115" t="s">
        <v>9324</v>
      </c>
      <c r="H2250" s="115" t="s">
        <v>9323</v>
      </c>
      <c r="I2250" s="109" t="s">
        <v>10769</v>
      </c>
      <c r="J2250" s="239" t="s">
        <v>10770</v>
      </c>
      <c r="K2250" s="109" t="s">
        <v>9440</v>
      </c>
      <c r="L2250" s="109" t="s">
        <v>9496</v>
      </c>
    </row>
    <row r="2251" spans="1:12" s="58" customFormat="1" ht="14.85" customHeight="1" x14ac:dyDescent="0.25">
      <c r="A2251" s="108" t="s">
        <v>9308</v>
      </c>
      <c r="B2251" s="115" t="s">
        <v>8939</v>
      </c>
      <c r="C2251" s="115" t="s">
        <v>9338</v>
      </c>
      <c r="D2251" s="109" t="s">
        <v>10931</v>
      </c>
      <c r="E2251" s="106" t="s">
        <v>10932</v>
      </c>
      <c r="F2251" s="109" t="s">
        <v>9496</v>
      </c>
      <c r="G2251" s="115" t="s">
        <v>9324</v>
      </c>
      <c r="H2251" s="115" t="s">
        <v>9323</v>
      </c>
      <c r="I2251" s="109" t="s">
        <v>10452</v>
      </c>
      <c r="J2251" s="239" t="s">
        <v>10453</v>
      </c>
      <c r="K2251" s="109" t="s">
        <v>9440</v>
      </c>
      <c r="L2251" s="109" t="s">
        <v>9496</v>
      </c>
    </row>
    <row r="2252" spans="1:12" s="58" customFormat="1" ht="14.85" customHeight="1" x14ac:dyDescent="0.25">
      <c r="A2252" s="108" t="s">
        <v>9308</v>
      </c>
      <c r="B2252" s="115" t="s">
        <v>8939</v>
      </c>
      <c r="C2252" s="115" t="s">
        <v>9338</v>
      </c>
      <c r="D2252" s="109" t="s">
        <v>10931</v>
      </c>
      <c r="E2252" s="106" t="s">
        <v>10932</v>
      </c>
      <c r="F2252" s="109" t="s">
        <v>9496</v>
      </c>
      <c r="G2252" s="115" t="s">
        <v>9324</v>
      </c>
      <c r="H2252" s="115" t="s">
        <v>9323</v>
      </c>
      <c r="I2252" s="109" t="s">
        <v>10454</v>
      </c>
      <c r="J2252" s="239" t="s">
        <v>10455</v>
      </c>
      <c r="K2252" s="109" t="s">
        <v>9440</v>
      </c>
      <c r="L2252" s="109" t="s">
        <v>9496</v>
      </c>
    </row>
    <row r="2253" spans="1:12" s="58" customFormat="1" ht="14.85" customHeight="1" x14ac:dyDescent="0.25">
      <c r="A2253" s="108" t="s">
        <v>9308</v>
      </c>
      <c r="B2253" s="115" t="s">
        <v>8939</v>
      </c>
      <c r="C2253" s="115" t="s">
        <v>9338</v>
      </c>
      <c r="D2253" s="109" t="s">
        <v>10931</v>
      </c>
      <c r="E2253" s="106" t="s">
        <v>10932</v>
      </c>
      <c r="F2253" s="109" t="s">
        <v>9496</v>
      </c>
      <c r="G2253" s="115" t="s">
        <v>9324</v>
      </c>
      <c r="H2253" s="115" t="s">
        <v>9323</v>
      </c>
      <c r="I2253" s="109" t="s">
        <v>10783</v>
      </c>
      <c r="J2253" s="239" t="s">
        <v>10784</v>
      </c>
      <c r="K2253" s="109" t="s">
        <v>9440</v>
      </c>
      <c r="L2253" s="109" t="s">
        <v>9496</v>
      </c>
    </row>
    <row r="2254" spans="1:12" s="58" customFormat="1" ht="14.85" customHeight="1" x14ac:dyDescent="0.25">
      <c r="A2254" s="108" t="s">
        <v>9308</v>
      </c>
      <c r="B2254" s="115" t="s">
        <v>8939</v>
      </c>
      <c r="C2254" s="115" t="s">
        <v>9338</v>
      </c>
      <c r="D2254" s="109" t="s">
        <v>10931</v>
      </c>
      <c r="E2254" s="106" t="s">
        <v>10932</v>
      </c>
      <c r="F2254" s="109" t="s">
        <v>9496</v>
      </c>
      <c r="G2254" s="115" t="s">
        <v>9324</v>
      </c>
      <c r="H2254" s="115" t="s">
        <v>9323</v>
      </c>
      <c r="I2254" s="109" t="s">
        <v>10457</v>
      </c>
      <c r="J2254" s="239" t="s">
        <v>10458</v>
      </c>
      <c r="K2254" s="109" t="s">
        <v>9440</v>
      </c>
      <c r="L2254" s="109" t="s">
        <v>9496</v>
      </c>
    </row>
    <row r="2255" spans="1:12" s="58" customFormat="1" ht="14.85" customHeight="1" x14ac:dyDescent="0.25">
      <c r="A2255" s="108" t="s">
        <v>9308</v>
      </c>
      <c r="B2255" s="115" t="s">
        <v>8939</v>
      </c>
      <c r="C2255" s="115" t="s">
        <v>9338</v>
      </c>
      <c r="D2255" s="109" t="s">
        <v>10933</v>
      </c>
      <c r="E2255" s="106" t="s">
        <v>10934</v>
      </c>
      <c r="F2255" s="109" t="s">
        <v>9496</v>
      </c>
      <c r="G2255" s="115" t="s">
        <v>9324</v>
      </c>
      <c r="H2255" s="115" t="s">
        <v>9323</v>
      </c>
      <c r="I2255" s="109" t="s">
        <v>10376</v>
      </c>
      <c r="J2255" s="239" t="s">
        <v>10377</v>
      </c>
      <c r="K2255" s="109" t="s">
        <v>9440</v>
      </c>
      <c r="L2255" s="109" t="s">
        <v>9496</v>
      </c>
    </row>
    <row r="2256" spans="1:12" s="58" customFormat="1" ht="14.85" customHeight="1" x14ac:dyDescent="0.25">
      <c r="A2256" s="108" t="s">
        <v>9308</v>
      </c>
      <c r="B2256" s="115" t="s">
        <v>8939</v>
      </c>
      <c r="C2256" s="115" t="s">
        <v>9338</v>
      </c>
      <c r="D2256" s="109" t="s">
        <v>10933</v>
      </c>
      <c r="E2256" s="106" t="s">
        <v>10934</v>
      </c>
      <c r="F2256" s="109" t="s">
        <v>9496</v>
      </c>
      <c r="G2256" s="115" t="s">
        <v>9324</v>
      </c>
      <c r="H2256" s="115" t="s">
        <v>9323</v>
      </c>
      <c r="I2256" s="109" t="s">
        <v>10452</v>
      </c>
      <c r="J2256" s="239" t="s">
        <v>10453</v>
      </c>
      <c r="K2256" s="109" t="s">
        <v>9440</v>
      </c>
      <c r="L2256" s="109" t="s">
        <v>9496</v>
      </c>
    </row>
    <row r="2257" spans="1:12" s="58" customFormat="1" ht="14.85" customHeight="1" x14ac:dyDescent="0.25">
      <c r="A2257" s="108" t="s">
        <v>9308</v>
      </c>
      <c r="B2257" s="115" t="s">
        <v>8939</v>
      </c>
      <c r="C2257" s="115" t="s">
        <v>9338</v>
      </c>
      <c r="D2257" s="109" t="s">
        <v>10933</v>
      </c>
      <c r="E2257" s="106" t="s">
        <v>10934</v>
      </c>
      <c r="F2257" s="109" t="s">
        <v>9496</v>
      </c>
      <c r="G2257" s="115" t="s">
        <v>9324</v>
      </c>
      <c r="H2257" s="115" t="s">
        <v>9323</v>
      </c>
      <c r="I2257" s="109" t="s">
        <v>10454</v>
      </c>
      <c r="J2257" s="239" t="s">
        <v>10455</v>
      </c>
      <c r="K2257" s="109" t="s">
        <v>9440</v>
      </c>
      <c r="L2257" s="109" t="s">
        <v>9496</v>
      </c>
    </row>
    <row r="2258" spans="1:12" s="58" customFormat="1" ht="14.85" customHeight="1" x14ac:dyDescent="0.25">
      <c r="A2258" s="108" t="s">
        <v>9308</v>
      </c>
      <c r="B2258" s="115" t="s">
        <v>8939</v>
      </c>
      <c r="C2258" s="115" t="s">
        <v>9338</v>
      </c>
      <c r="D2258" s="109" t="s">
        <v>10933</v>
      </c>
      <c r="E2258" s="106" t="s">
        <v>10934</v>
      </c>
      <c r="F2258" s="109" t="s">
        <v>9496</v>
      </c>
      <c r="G2258" s="115" t="s">
        <v>9324</v>
      </c>
      <c r="H2258" s="115" t="s">
        <v>9323</v>
      </c>
      <c r="I2258" s="109" t="s">
        <v>10456</v>
      </c>
      <c r="J2258" s="239" t="s">
        <v>10455</v>
      </c>
      <c r="K2258" s="109" t="s">
        <v>9440</v>
      </c>
      <c r="L2258" s="109" t="s">
        <v>9496</v>
      </c>
    </row>
    <row r="2259" spans="1:12" s="58" customFormat="1" ht="14.85" customHeight="1" x14ac:dyDescent="0.25">
      <c r="A2259" s="108" t="s">
        <v>9308</v>
      </c>
      <c r="B2259" s="115" t="s">
        <v>8939</v>
      </c>
      <c r="C2259" s="115" t="s">
        <v>9338</v>
      </c>
      <c r="D2259" s="109" t="s">
        <v>10933</v>
      </c>
      <c r="E2259" s="106" t="s">
        <v>10934</v>
      </c>
      <c r="F2259" s="109" t="s">
        <v>9496</v>
      </c>
      <c r="G2259" s="115" t="s">
        <v>9324</v>
      </c>
      <c r="H2259" s="115" t="s">
        <v>9323</v>
      </c>
      <c r="I2259" s="109" t="s">
        <v>10457</v>
      </c>
      <c r="J2259" s="239" t="s">
        <v>10458</v>
      </c>
      <c r="K2259" s="109" t="s">
        <v>9440</v>
      </c>
      <c r="L2259" s="109" t="s">
        <v>9496</v>
      </c>
    </row>
    <row r="2260" spans="1:12" s="58" customFormat="1" ht="14.85" customHeight="1" x14ac:dyDescent="0.25">
      <c r="A2260" s="108" t="s">
        <v>9308</v>
      </c>
      <c r="B2260" s="115" t="s">
        <v>8939</v>
      </c>
      <c r="C2260" s="115" t="s">
        <v>9338</v>
      </c>
      <c r="D2260" s="109" t="s">
        <v>10935</v>
      </c>
      <c r="E2260" s="106" t="s">
        <v>10936</v>
      </c>
      <c r="F2260" s="109" t="s">
        <v>9496</v>
      </c>
      <c r="G2260" s="115" t="s">
        <v>9324</v>
      </c>
      <c r="H2260" s="115" t="s">
        <v>9323</v>
      </c>
      <c r="I2260" s="109" t="s">
        <v>10376</v>
      </c>
      <c r="J2260" s="239" t="s">
        <v>10377</v>
      </c>
      <c r="K2260" s="109" t="s">
        <v>9440</v>
      </c>
      <c r="L2260" s="109" t="s">
        <v>9496</v>
      </c>
    </row>
    <row r="2261" spans="1:12" s="58" customFormat="1" ht="14.85" customHeight="1" x14ac:dyDescent="0.25">
      <c r="A2261" s="108" t="s">
        <v>9308</v>
      </c>
      <c r="B2261" s="115" t="s">
        <v>8939</v>
      </c>
      <c r="C2261" s="115" t="s">
        <v>9338</v>
      </c>
      <c r="D2261" s="109" t="s">
        <v>10935</v>
      </c>
      <c r="E2261" s="106" t="s">
        <v>10936</v>
      </c>
      <c r="F2261" s="109" t="s">
        <v>9496</v>
      </c>
      <c r="G2261" s="115" t="s">
        <v>9324</v>
      </c>
      <c r="H2261" s="115" t="s">
        <v>9323</v>
      </c>
      <c r="I2261" s="109" t="s">
        <v>10457</v>
      </c>
      <c r="J2261" s="239" t="s">
        <v>10458</v>
      </c>
      <c r="K2261" s="109" t="s">
        <v>9440</v>
      </c>
      <c r="L2261" s="109" t="s">
        <v>9496</v>
      </c>
    </row>
    <row r="2262" spans="1:12" s="58" customFormat="1" ht="14.85" customHeight="1" x14ac:dyDescent="0.25">
      <c r="A2262" s="108" t="s">
        <v>9308</v>
      </c>
      <c r="B2262" s="115" t="s">
        <v>8939</v>
      </c>
      <c r="C2262" s="115" t="s">
        <v>9338</v>
      </c>
      <c r="D2262" s="109" t="s">
        <v>10937</v>
      </c>
      <c r="E2262" s="106" t="s">
        <v>10938</v>
      </c>
      <c r="F2262" s="109" t="s">
        <v>9496</v>
      </c>
      <c r="G2262" s="115" t="s">
        <v>9324</v>
      </c>
      <c r="H2262" s="115" t="s">
        <v>9323</v>
      </c>
      <c r="I2262" s="109" t="s">
        <v>10769</v>
      </c>
      <c r="J2262" s="239" t="s">
        <v>10770</v>
      </c>
      <c r="K2262" s="109" t="s">
        <v>9440</v>
      </c>
      <c r="L2262" s="109" t="s">
        <v>9496</v>
      </c>
    </row>
    <row r="2263" spans="1:12" s="58" customFormat="1" ht="14.85" customHeight="1" x14ac:dyDescent="0.25">
      <c r="A2263" s="108" t="s">
        <v>9308</v>
      </c>
      <c r="B2263" s="115" t="s">
        <v>8939</v>
      </c>
      <c r="C2263" s="115" t="s">
        <v>9338</v>
      </c>
      <c r="D2263" s="109" t="s">
        <v>10937</v>
      </c>
      <c r="E2263" s="106" t="s">
        <v>10938</v>
      </c>
      <c r="F2263" s="109" t="s">
        <v>9496</v>
      </c>
      <c r="G2263" s="115" t="s">
        <v>9324</v>
      </c>
      <c r="H2263" s="115" t="s">
        <v>9323</v>
      </c>
      <c r="I2263" s="109" t="s">
        <v>10771</v>
      </c>
      <c r="J2263" s="239" t="s">
        <v>10772</v>
      </c>
      <c r="K2263" s="109" t="s">
        <v>9440</v>
      </c>
      <c r="L2263" s="109" t="s">
        <v>9496</v>
      </c>
    </row>
    <row r="2264" spans="1:12" s="58" customFormat="1" ht="14.85" customHeight="1" x14ac:dyDescent="0.25">
      <c r="A2264" s="108" t="s">
        <v>9308</v>
      </c>
      <c r="B2264" s="115" t="s">
        <v>8939</v>
      </c>
      <c r="C2264" s="115" t="s">
        <v>9338</v>
      </c>
      <c r="D2264" s="109" t="s">
        <v>10937</v>
      </c>
      <c r="E2264" s="106" t="s">
        <v>10938</v>
      </c>
      <c r="F2264" s="109" t="s">
        <v>9496</v>
      </c>
      <c r="G2264" s="115" t="s">
        <v>9324</v>
      </c>
      <c r="H2264" s="115" t="s">
        <v>9323</v>
      </c>
      <c r="I2264" s="109" t="s">
        <v>10457</v>
      </c>
      <c r="J2264" s="239" t="s">
        <v>10458</v>
      </c>
      <c r="K2264" s="109" t="s">
        <v>9440</v>
      </c>
      <c r="L2264" s="109" t="s">
        <v>9496</v>
      </c>
    </row>
    <row r="2265" spans="1:12" s="58" customFormat="1" ht="14.85" customHeight="1" x14ac:dyDescent="0.25">
      <c r="A2265" s="108" t="s">
        <v>9308</v>
      </c>
      <c r="B2265" s="115" t="s">
        <v>8939</v>
      </c>
      <c r="C2265" s="115" t="s">
        <v>9338</v>
      </c>
      <c r="D2265" s="109" t="s">
        <v>10939</v>
      </c>
      <c r="E2265" s="106" t="s">
        <v>10940</v>
      </c>
      <c r="F2265" s="109" t="s">
        <v>9496</v>
      </c>
      <c r="G2265" s="115" t="s">
        <v>9324</v>
      </c>
      <c r="H2265" s="115" t="s">
        <v>9323</v>
      </c>
      <c r="I2265" s="109" t="s">
        <v>10769</v>
      </c>
      <c r="J2265" s="239" t="s">
        <v>10770</v>
      </c>
      <c r="K2265" s="109" t="s">
        <v>9440</v>
      </c>
      <c r="L2265" s="109" t="s">
        <v>9496</v>
      </c>
    </row>
    <row r="2266" spans="1:12" s="58" customFormat="1" ht="14.85" customHeight="1" x14ac:dyDescent="0.25">
      <c r="A2266" s="108" t="s">
        <v>9308</v>
      </c>
      <c r="B2266" s="115" t="s">
        <v>8939</v>
      </c>
      <c r="C2266" s="115" t="s">
        <v>9338</v>
      </c>
      <c r="D2266" s="109" t="s">
        <v>10939</v>
      </c>
      <c r="E2266" s="106" t="s">
        <v>10940</v>
      </c>
      <c r="F2266" s="109" t="s">
        <v>9496</v>
      </c>
      <c r="G2266" s="115" t="s">
        <v>9324</v>
      </c>
      <c r="H2266" s="115" t="s">
        <v>9323</v>
      </c>
      <c r="I2266" s="109" t="s">
        <v>10771</v>
      </c>
      <c r="J2266" s="239" t="s">
        <v>10772</v>
      </c>
      <c r="K2266" s="109" t="s">
        <v>9440</v>
      </c>
      <c r="L2266" s="109" t="s">
        <v>9496</v>
      </c>
    </row>
    <row r="2267" spans="1:12" s="58" customFormat="1" ht="14.85" customHeight="1" x14ac:dyDescent="0.25">
      <c r="A2267" s="108" t="s">
        <v>9308</v>
      </c>
      <c r="B2267" s="115" t="s">
        <v>8939</v>
      </c>
      <c r="C2267" s="115" t="s">
        <v>9338</v>
      </c>
      <c r="D2267" s="109" t="s">
        <v>10939</v>
      </c>
      <c r="E2267" s="106" t="s">
        <v>10940</v>
      </c>
      <c r="F2267" s="109" t="s">
        <v>9496</v>
      </c>
      <c r="G2267" s="115" t="s">
        <v>9324</v>
      </c>
      <c r="H2267" s="115" t="s">
        <v>9323</v>
      </c>
      <c r="I2267" s="109" t="s">
        <v>10457</v>
      </c>
      <c r="J2267" s="239" t="s">
        <v>10458</v>
      </c>
      <c r="K2267" s="109" t="s">
        <v>9440</v>
      </c>
      <c r="L2267" s="109" t="s">
        <v>9496</v>
      </c>
    </row>
    <row r="2268" spans="1:12" s="58" customFormat="1" ht="14.85" customHeight="1" x14ac:dyDescent="0.25">
      <c r="A2268" s="108" t="s">
        <v>9308</v>
      </c>
      <c r="B2268" s="115" t="s">
        <v>8939</v>
      </c>
      <c r="C2268" s="115" t="s">
        <v>9338</v>
      </c>
      <c r="D2268" s="109" t="s">
        <v>10941</v>
      </c>
      <c r="E2268" s="106" t="s">
        <v>10942</v>
      </c>
      <c r="F2268" s="109" t="s">
        <v>9496</v>
      </c>
      <c r="G2268" s="115" t="s">
        <v>9324</v>
      </c>
      <c r="H2268" s="115" t="s">
        <v>9323</v>
      </c>
      <c r="I2268" s="109" t="s">
        <v>10376</v>
      </c>
      <c r="J2268" s="239" t="s">
        <v>10377</v>
      </c>
      <c r="K2268" s="109" t="s">
        <v>9440</v>
      </c>
      <c r="L2268" s="109" t="s">
        <v>9496</v>
      </c>
    </row>
    <row r="2269" spans="1:12" s="58" customFormat="1" ht="14.85" customHeight="1" x14ac:dyDescent="0.25">
      <c r="A2269" s="108" t="s">
        <v>9308</v>
      </c>
      <c r="B2269" s="115" t="s">
        <v>8939</v>
      </c>
      <c r="C2269" s="115" t="s">
        <v>9338</v>
      </c>
      <c r="D2269" s="109" t="s">
        <v>10941</v>
      </c>
      <c r="E2269" s="106" t="s">
        <v>10942</v>
      </c>
      <c r="F2269" s="109" t="s">
        <v>9496</v>
      </c>
      <c r="G2269" s="115" t="s">
        <v>9324</v>
      </c>
      <c r="H2269" s="115" t="s">
        <v>9323</v>
      </c>
      <c r="I2269" s="109" t="s">
        <v>10769</v>
      </c>
      <c r="J2269" s="239" t="s">
        <v>10770</v>
      </c>
      <c r="K2269" s="109" t="s">
        <v>9440</v>
      </c>
      <c r="L2269" s="109" t="s">
        <v>9496</v>
      </c>
    </row>
    <row r="2270" spans="1:12" s="58" customFormat="1" ht="14.85" customHeight="1" x14ac:dyDescent="0.25">
      <c r="A2270" s="108" t="s">
        <v>9308</v>
      </c>
      <c r="B2270" s="115" t="s">
        <v>8939</v>
      </c>
      <c r="C2270" s="115" t="s">
        <v>9338</v>
      </c>
      <c r="D2270" s="109" t="s">
        <v>10941</v>
      </c>
      <c r="E2270" s="106" t="s">
        <v>10942</v>
      </c>
      <c r="F2270" s="109" t="s">
        <v>9496</v>
      </c>
      <c r="G2270" s="115" t="s">
        <v>9324</v>
      </c>
      <c r="H2270" s="115" t="s">
        <v>9323</v>
      </c>
      <c r="I2270" s="109" t="s">
        <v>10771</v>
      </c>
      <c r="J2270" s="239" t="s">
        <v>10772</v>
      </c>
      <c r="K2270" s="109" t="s">
        <v>9440</v>
      </c>
      <c r="L2270" s="109" t="s">
        <v>9496</v>
      </c>
    </row>
    <row r="2271" spans="1:12" s="58" customFormat="1" ht="14.85" customHeight="1" x14ac:dyDescent="0.25">
      <c r="A2271" s="108" t="s">
        <v>9308</v>
      </c>
      <c r="B2271" s="115" t="s">
        <v>8939</v>
      </c>
      <c r="C2271" s="115" t="s">
        <v>9338</v>
      </c>
      <c r="D2271" s="109" t="s">
        <v>10941</v>
      </c>
      <c r="E2271" s="106" t="s">
        <v>10942</v>
      </c>
      <c r="F2271" s="109" t="s">
        <v>9496</v>
      </c>
      <c r="G2271" s="115" t="s">
        <v>9324</v>
      </c>
      <c r="H2271" s="115" t="s">
        <v>9323</v>
      </c>
      <c r="I2271" s="109" t="s">
        <v>10452</v>
      </c>
      <c r="J2271" s="239" t="s">
        <v>10453</v>
      </c>
      <c r="K2271" s="109" t="s">
        <v>9440</v>
      </c>
      <c r="L2271" s="109" t="s">
        <v>9496</v>
      </c>
    </row>
    <row r="2272" spans="1:12" s="58" customFormat="1" ht="14.85" customHeight="1" x14ac:dyDescent="0.25">
      <c r="A2272" s="108" t="s">
        <v>9308</v>
      </c>
      <c r="B2272" s="115" t="s">
        <v>8939</v>
      </c>
      <c r="C2272" s="115" t="s">
        <v>9338</v>
      </c>
      <c r="D2272" s="109" t="s">
        <v>10941</v>
      </c>
      <c r="E2272" s="106" t="s">
        <v>10942</v>
      </c>
      <c r="F2272" s="109" t="s">
        <v>9496</v>
      </c>
      <c r="G2272" s="115" t="s">
        <v>9324</v>
      </c>
      <c r="H2272" s="115" t="s">
        <v>9323</v>
      </c>
      <c r="I2272" s="109" t="s">
        <v>10454</v>
      </c>
      <c r="J2272" s="239" t="s">
        <v>10455</v>
      </c>
      <c r="K2272" s="109" t="s">
        <v>9440</v>
      </c>
      <c r="L2272" s="109" t="s">
        <v>9496</v>
      </c>
    </row>
    <row r="2273" spans="1:12" s="58" customFormat="1" ht="14.85" customHeight="1" x14ac:dyDescent="0.25">
      <c r="A2273" s="108" t="s">
        <v>9308</v>
      </c>
      <c r="B2273" s="115" t="s">
        <v>8939</v>
      </c>
      <c r="C2273" s="115" t="s">
        <v>9338</v>
      </c>
      <c r="D2273" s="109" t="s">
        <v>10941</v>
      </c>
      <c r="E2273" s="106" t="s">
        <v>10942</v>
      </c>
      <c r="F2273" s="109" t="s">
        <v>9496</v>
      </c>
      <c r="G2273" s="115" t="s">
        <v>9324</v>
      </c>
      <c r="H2273" s="115" t="s">
        <v>9323</v>
      </c>
      <c r="I2273" s="109" t="s">
        <v>10783</v>
      </c>
      <c r="J2273" s="239" t="s">
        <v>10784</v>
      </c>
      <c r="K2273" s="109" t="s">
        <v>9440</v>
      </c>
      <c r="L2273" s="109" t="s">
        <v>9496</v>
      </c>
    </row>
    <row r="2274" spans="1:12" s="58" customFormat="1" ht="14.85" customHeight="1" x14ac:dyDescent="0.25">
      <c r="A2274" s="108" t="s">
        <v>9308</v>
      </c>
      <c r="B2274" s="115" t="s">
        <v>8939</v>
      </c>
      <c r="C2274" s="115" t="s">
        <v>9338</v>
      </c>
      <c r="D2274" s="109" t="s">
        <v>10941</v>
      </c>
      <c r="E2274" s="106" t="s">
        <v>10942</v>
      </c>
      <c r="F2274" s="109" t="s">
        <v>9496</v>
      </c>
      <c r="G2274" s="115" t="s">
        <v>9324</v>
      </c>
      <c r="H2274" s="115" t="s">
        <v>9323</v>
      </c>
      <c r="I2274" s="109" t="s">
        <v>10457</v>
      </c>
      <c r="J2274" s="239" t="s">
        <v>10458</v>
      </c>
      <c r="K2274" s="109" t="s">
        <v>9440</v>
      </c>
      <c r="L2274" s="109" t="s">
        <v>9496</v>
      </c>
    </row>
    <row r="2275" spans="1:12" s="58" customFormat="1" ht="14.85" customHeight="1" x14ac:dyDescent="0.25">
      <c r="A2275" s="108" t="s">
        <v>9308</v>
      </c>
      <c r="B2275" s="115" t="s">
        <v>8939</v>
      </c>
      <c r="C2275" s="115" t="s">
        <v>9338</v>
      </c>
      <c r="D2275" s="109" t="s">
        <v>10943</v>
      </c>
      <c r="E2275" s="106" t="s">
        <v>10944</v>
      </c>
      <c r="F2275" s="109" t="s">
        <v>9496</v>
      </c>
      <c r="G2275" s="115" t="s">
        <v>9324</v>
      </c>
      <c r="H2275" s="115" t="s">
        <v>9323</v>
      </c>
      <c r="I2275" s="109" t="s">
        <v>10457</v>
      </c>
      <c r="J2275" s="239" t="s">
        <v>10458</v>
      </c>
      <c r="K2275" s="109" t="s">
        <v>9440</v>
      </c>
      <c r="L2275" s="109" t="s">
        <v>9496</v>
      </c>
    </row>
    <row r="2276" spans="1:12" s="58" customFormat="1" ht="14.85" customHeight="1" x14ac:dyDescent="0.25">
      <c r="A2276" s="108" t="s">
        <v>9308</v>
      </c>
      <c r="B2276" s="115" t="s">
        <v>8939</v>
      </c>
      <c r="C2276" s="115" t="s">
        <v>9338</v>
      </c>
      <c r="D2276" s="109" t="s">
        <v>10945</v>
      </c>
      <c r="E2276" s="106" t="s">
        <v>10946</v>
      </c>
      <c r="F2276" s="109" t="s">
        <v>9496</v>
      </c>
      <c r="G2276" s="115" t="s">
        <v>9324</v>
      </c>
      <c r="H2276" s="115" t="s">
        <v>9323</v>
      </c>
      <c r="I2276" s="109" t="s">
        <v>10457</v>
      </c>
      <c r="J2276" s="239" t="s">
        <v>10458</v>
      </c>
      <c r="K2276" s="109" t="s">
        <v>9440</v>
      </c>
      <c r="L2276" s="109" t="s">
        <v>9496</v>
      </c>
    </row>
    <row r="2277" spans="1:12" s="58" customFormat="1" ht="14.85" customHeight="1" x14ac:dyDescent="0.25">
      <c r="A2277" s="108" t="s">
        <v>9308</v>
      </c>
      <c r="B2277" s="115" t="s">
        <v>8939</v>
      </c>
      <c r="C2277" s="115" t="s">
        <v>9338</v>
      </c>
      <c r="D2277" s="109" t="s">
        <v>10947</v>
      </c>
      <c r="E2277" s="106" t="s">
        <v>10948</v>
      </c>
      <c r="F2277" s="109" t="s">
        <v>9496</v>
      </c>
      <c r="G2277" s="115" t="s">
        <v>9324</v>
      </c>
      <c r="H2277" s="115" t="s">
        <v>9323</v>
      </c>
      <c r="I2277" s="109" t="s">
        <v>10376</v>
      </c>
      <c r="J2277" s="239" t="s">
        <v>10377</v>
      </c>
      <c r="K2277" s="109" t="s">
        <v>9440</v>
      </c>
      <c r="L2277" s="109" t="s">
        <v>9496</v>
      </c>
    </row>
    <row r="2278" spans="1:12" s="58" customFormat="1" ht="14.85" customHeight="1" x14ac:dyDescent="0.25">
      <c r="A2278" s="108" t="s">
        <v>9308</v>
      </c>
      <c r="B2278" s="115" t="s">
        <v>8939</v>
      </c>
      <c r="C2278" s="115" t="s">
        <v>9338</v>
      </c>
      <c r="D2278" s="109" t="s">
        <v>10947</v>
      </c>
      <c r="E2278" s="106" t="s">
        <v>10948</v>
      </c>
      <c r="F2278" s="109" t="s">
        <v>9496</v>
      </c>
      <c r="G2278" s="115" t="s">
        <v>9324</v>
      </c>
      <c r="H2278" s="115" t="s">
        <v>9323</v>
      </c>
      <c r="I2278" s="109" t="s">
        <v>10457</v>
      </c>
      <c r="J2278" s="239" t="s">
        <v>10458</v>
      </c>
      <c r="K2278" s="109" t="s">
        <v>9440</v>
      </c>
      <c r="L2278" s="109" t="s">
        <v>9496</v>
      </c>
    </row>
    <row r="2279" spans="1:12" s="58" customFormat="1" ht="14.85" customHeight="1" x14ac:dyDescent="0.25">
      <c r="A2279" s="108" t="s">
        <v>9308</v>
      </c>
      <c r="B2279" s="115" t="s">
        <v>8939</v>
      </c>
      <c r="C2279" s="115" t="s">
        <v>9338</v>
      </c>
      <c r="D2279" s="109" t="s">
        <v>10949</v>
      </c>
      <c r="E2279" s="106" t="s">
        <v>10950</v>
      </c>
      <c r="F2279" s="109" t="s">
        <v>9496</v>
      </c>
      <c r="G2279" s="115" t="s">
        <v>9324</v>
      </c>
      <c r="H2279" s="115" t="s">
        <v>9323</v>
      </c>
      <c r="I2279" s="109" t="s">
        <v>10090</v>
      </c>
      <c r="J2279" s="239" t="s">
        <v>10091</v>
      </c>
      <c r="K2279" s="109" t="s">
        <v>9440</v>
      </c>
      <c r="L2279" s="109" t="s">
        <v>9496</v>
      </c>
    </row>
    <row r="2280" spans="1:12" s="58" customFormat="1" ht="14.85" customHeight="1" x14ac:dyDescent="0.25">
      <c r="A2280" s="108" t="s">
        <v>9308</v>
      </c>
      <c r="B2280" s="115" t="s">
        <v>8939</v>
      </c>
      <c r="C2280" s="115" t="s">
        <v>9338</v>
      </c>
      <c r="D2280" s="109" t="s">
        <v>10949</v>
      </c>
      <c r="E2280" s="106" t="s">
        <v>10950</v>
      </c>
      <c r="F2280" s="109" t="s">
        <v>9496</v>
      </c>
      <c r="G2280" s="115" t="s">
        <v>9324</v>
      </c>
      <c r="H2280" s="115" t="s">
        <v>9323</v>
      </c>
      <c r="I2280" s="109" t="s">
        <v>10092</v>
      </c>
      <c r="J2280" s="239" t="s">
        <v>10093</v>
      </c>
      <c r="K2280" s="109" t="s">
        <v>9440</v>
      </c>
      <c r="L2280" s="109" t="s">
        <v>9496</v>
      </c>
    </row>
    <row r="2281" spans="1:12" s="58" customFormat="1" ht="14.85" customHeight="1" x14ac:dyDescent="0.25">
      <c r="A2281" s="108" t="s">
        <v>9308</v>
      </c>
      <c r="B2281" s="115" t="s">
        <v>8939</v>
      </c>
      <c r="C2281" s="115" t="s">
        <v>9338</v>
      </c>
      <c r="D2281" s="109" t="s">
        <v>10949</v>
      </c>
      <c r="E2281" s="106" t="s">
        <v>10950</v>
      </c>
      <c r="F2281" s="109" t="s">
        <v>9496</v>
      </c>
      <c r="G2281" s="115" t="s">
        <v>9324</v>
      </c>
      <c r="H2281" s="115" t="s">
        <v>9323</v>
      </c>
      <c r="I2281" s="109" t="s">
        <v>10027</v>
      </c>
      <c r="J2281" s="239" t="s">
        <v>10028</v>
      </c>
      <c r="K2281" s="109" t="s">
        <v>9440</v>
      </c>
      <c r="L2281" s="109" t="s">
        <v>9496</v>
      </c>
    </row>
    <row r="2282" spans="1:12" s="58" customFormat="1" ht="14.85" customHeight="1" x14ac:dyDescent="0.25">
      <c r="A2282" s="108" t="s">
        <v>9308</v>
      </c>
      <c r="B2282" s="115" t="s">
        <v>8939</v>
      </c>
      <c r="C2282" s="115" t="s">
        <v>9338</v>
      </c>
      <c r="D2282" s="109" t="s">
        <v>10951</v>
      </c>
      <c r="E2282" s="106" t="s">
        <v>10952</v>
      </c>
      <c r="F2282" s="109" t="s">
        <v>9496</v>
      </c>
      <c r="G2282" s="115" t="s">
        <v>9324</v>
      </c>
      <c r="H2282" s="115" t="s">
        <v>9323</v>
      </c>
      <c r="I2282" s="109" t="s">
        <v>10090</v>
      </c>
      <c r="J2282" s="239" t="s">
        <v>10091</v>
      </c>
      <c r="K2282" s="109" t="s">
        <v>9440</v>
      </c>
      <c r="L2282" s="109" t="s">
        <v>9496</v>
      </c>
    </row>
    <row r="2283" spans="1:12" s="58" customFormat="1" ht="14.85" customHeight="1" x14ac:dyDescent="0.25">
      <c r="A2283" s="108" t="s">
        <v>9308</v>
      </c>
      <c r="B2283" s="115" t="s">
        <v>8939</v>
      </c>
      <c r="C2283" s="115" t="s">
        <v>9338</v>
      </c>
      <c r="D2283" s="109" t="s">
        <v>10951</v>
      </c>
      <c r="E2283" s="106" t="s">
        <v>10952</v>
      </c>
      <c r="F2283" s="109" t="s">
        <v>9496</v>
      </c>
      <c r="G2283" s="115" t="s">
        <v>9324</v>
      </c>
      <c r="H2283" s="115" t="s">
        <v>9323</v>
      </c>
      <c r="I2283" s="109" t="s">
        <v>10092</v>
      </c>
      <c r="J2283" s="239" t="s">
        <v>10093</v>
      </c>
      <c r="K2283" s="109" t="s">
        <v>9440</v>
      </c>
      <c r="L2283" s="109" t="s">
        <v>9496</v>
      </c>
    </row>
    <row r="2284" spans="1:12" s="58" customFormat="1" ht="14.85" customHeight="1" x14ac:dyDescent="0.25">
      <c r="A2284" s="108" t="s">
        <v>9308</v>
      </c>
      <c r="B2284" s="115" t="s">
        <v>8939</v>
      </c>
      <c r="C2284" s="115" t="s">
        <v>9338</v>
      </c>
      <c r="D2284" s="109" t="s">
        <v>10951</v>
      </c>
      <c r="E2284" s="106" t="s">
        <v>10952</v>
      </c>
      <c r="F2284" s="109" t="s">
        <v>9496</v>
      </c>
      <c r="G2284" s="115" t="s">
        <v>9324</v>
      </c>
      <c r="H2284" s="115" t="s">
        <v>9323</v>
      </c>
      <c r="I2284" s="109" t="s">
        <v>10027</v>
      </c>
      <c r="J2284" s="239" t="s">
        <v>10028</v>
      </c>
      <c r="K2284" s="109" t="s">
        <v>9440</v>
      </c>
      <c r="L2284" s="109" t="s">
        <v>9496</v>
      </c>
    </row>
    <row r="2285" spans="1:12" s="58" customFormat="1" ht="14.85" customHeight="1" x14ac:dyDescent="0.25">
      <c r="A2285" s="108" t="s">
        <v>9308</v>
      </c>
      <c r="B2285" s="115" t="s">
        <v>8939</v>
      </c>
      <c r="C2285" s="115" t="s">
        <v>9338</v>
      </c>
      <c r="D2285" s="109" t="s">
        <v>10953</v>
      </c>
      <c r="E2285" s="106" t="s">
        <v>10954</v>
      </c>
      <c r="F2285" s="109" t="s">
        <v>9496</v>
      </c>
      <c r="G2285" s="115" t="s">
        <v>9324</v>
      </c>
      <c r="H2285" s="115" t="s">
        <v>9323</v>
      </c>
      <c r="I2285" s="109" t="s">
        <v>10090</v>
      </c>
      <c r="J2285" s="239" t="s">
        <v>10091</v>
      </c>
      <c r="K2285" s="109" t="s">
        <v>9440</v>
      </c>
      <c r="L2285" s="109" t="s">
        <v>9496</v>
      </c>
    </row>
    <row r="2286" spans="1:12" s="58" customFormat="1" ht="14.85" customHeight="1" x14ac:dyDescent="0.25">
      <c r="A2286" s="108" t="s">
        <v>9308</v>
      </c>
      <c r="B2286" s="115" t="s">
        <v>8939</v>
      </c>
      <c r="C2286" s="115" t="s">
        <v>9338</v>
      </c>
      <c r="D2286" s="109" t="s">
        <v>10953</v>
      </c>
      <c r="E2286" s="106" t="s">
        <v>10954</v>
      </c>
      <c r="F2286" s="109" t="s">
        <v>9496</v>
      </c>
      <c r="G2286" s="115" t="s">
        <v>9324</v>
      </c>
      <c r="H2286" s="115" t="s">
        <v>9323</v>
      </c>
      <c r="I2286" s="109" t="s">
        <v>10092</v>
      </c>
      <c r="J2286" s="239" t="s">
        <v>10093</v>
      </c>
      <c r="K2286" s="109" t="s">
        <v>9440</v>
      </c>
      <c r="L2286" s="109" t="s">
        <v>9496</v>
      </c>
    </row>
    <row r="2287" spans="1:12" s="58" customFormat="1" ht="14.85" customHeight="1" x14ac:dyDescent="0.25">
      <c r="A2287" s="108" t="s">
        <v>9308</v>
      </c>
      <c r="B2287" s="115" t="s">
        <v>8939</v>
      </c>
      <c r="C2287" s="115" t="s">
        <v>9338</v>
      </c>
      <c r="D2287" s="109" t="s">
        <v>10953</v>
      </c>
      <c r="E2287" s="106" t="s">
        <v>10954</v>
      </c>
      <c r="F2287" s="109" t="s">
        <v>9496</v>
      </c>
      <c r="G2287" s="115" t="s">
        <v>9324</v>
      </c>
      <c r="H2287" s="115" t="s">
        <v>9323</v>
      </c>
      <c r="I2287" s="109" t="s">
        <v>10027</v>
      </c>
      <c r="J2287" s="239" t="s">
        <v>10028</v>
      </c>
      <c r="K2287" s="109" t="s">
        <v>9440</v>
      </c>
      <c r="L2287" s="109" t="s">
        <v>9496</v>
      </c>
    </row>
    <row r="2288" spans="1:12" s="58" customFormat="1" ht="14.85" customHeight="1" x14ac:dyDescent="0.25">
      <c r="A2288" s="108" t="s">
        <v>9308</v>
      </c>
      <c r="B2288" s="115" t="s">
        <v>8939</v>
      </c>
      <c r="C2288" s="115" t="s">
        <v>9338</v>
      </c>
      <c r="D2288" s="109" t="s">
        <v>10955</v>
      </c>
      <c r="E2288" s="106" t="s">
        <v>10956</v>
      </c>
      <c r="F2288" s="109" t="s">
        <v>9496</v>
      </c>
      <c r="G2288" s="115" t="s">
        <v>9324</v>
      </c>
      <c r="H2288" s="115" t="s">
        <v>9323</v>
      </c>
      <c r="I2288" s="109" t="s">
        <v>10090</v>
      </c>
      <c r="J2288" s="239" t="s">
        <v>10091</v>
      </c>
      <c r="K2288" s="109" t="s">
        <v>9440</v>
      </c>
      <c r="L2288" s="109" t="s">
        <v>9496</v>
      </c>
    </row>
    <row r="2289" spans="1:12" s="58" customFormat="1" ht="14.85" customHeight="1" x14ac:dyDescent="0.25">
      <c r="A2289" s="108" t="s">
        <v>9308</v>
      </c>
      <c r="B2289" s="115" t="s">
        <v>8939</v>
      </c>
      <c r="C2289" s="115" t="s">
        <v>9338</v>
      </c>
      <c r="D2289" s="109" t="s">
        <v>10955</v>
      </c>
      <c r="E2289" s="106" t="s">
        <v>10956</v>
      </c>
      <c r="F2289" s="109" t="s">
        <v>9496</v>
      </c>
      <c r="G2289" s="115" t="s">
        <v>9324</v>
      </c>
      <c r="H2289" s="115" t="s">
        <v>9323</v>
      </c>
      <c r="I2289" s="109" t="s">
        <v>10092</v>
      </c>
      <c r="J2289" s="239" t="s">
        <v>10093</v>
      </c>
      <c r="K2289" s="109" t="s">
        <v>9440</v>
      </c>
      <c r="L2289" s="109" t="s">
        <v>9496</v>
      </c>
    </row>
    <row r="2290" spans="1:12" s="58" customFormat="1" ht="14.85" customHeight="1" x14ac:dyDescent="0.25">
      <c r="A2290" s="108" t="s">
        <v>9308</v>
      </c>
      <c r="B2290" s="115" t="s">
        <v>8939</v>
      </c>
      <c r="C2290" s="115" t="s">
        <v>9338</v>
      </c>
      <c r="D2290" s="109" t="s">
        <v>10955</v>
      </c>
      <c r="E2290" s="106" t="s">
        <v>10956</v>
      </c>
      <c r="F2290" s="109" t="s">
        <v>9496</v>
      </c>
      <c r="G2290" s="115" t="s">
        <v>9324</v>
      </c>
      <c r="H2290" s="115" t="s">
        <v>9323</v>
      </c>
      <c r="I2290" s="109" t="s">
        <v>10027</v>
      </c>
      <c r="J2290" s="239" t="s">
        <v>10028</v>
      </c>
      <c r="K2290" s="109" t="s">
        <v>9440</v>
      </c>
      <c r="L2290" s="109" t="s">
        <v>9496</v>
      </c>
    </row>
    <row r="2291" spans="1:12" s="58" customFormat="1" ht="14.85" customHeight="1" x14ac:dyDescent="0.25">
      <c r="A2291" s="108" t="s">
        <v>9308</v>
      </c>
      <c r="B2291" s="115" t="s">
        <v>8939</v>
      </c>
      <c r="C2291" s="115" t="s">
        <v>9338</v>
      </c>
      <c r="D2291" s="109" t="s">
        <v>10957</v>
      </c>
      <c r="E2291" s="106" t="s">
        <v>10958</v>
      </c>
      <c r="F2291" s="109" t="s">
        <v>9496</v>
      </c>
      <c r="G2291" s="115" t="s">
        <v>9324</v>
      </c>
      <c r="H2291" s="115" t="s">
        <v>9323</v>
      </c>
      <c r="I2291" s="109" t="s">
        <v>10457</v>
      </c>
      <c r="J2291" s="239" t="s">
        <v>10458</v>
      </c>
      <c r="K2291" s="109" t="s">
        <v>9440</v>
      </c>
      <c r="L2291" s="109" t="s">
        <v>9496</v>
      </c>
    </row>
    <row r="2292" spans="1:12" s="58" customFormat="1" ht="14.85" customHeight="1" x14ac:dyDescent="0.25">
      <c r="A2292" s="108" t="s">
        <v>9308</v>
      </c>
      <c r="B2292" s="115" t="s">
        <v>8939</v>
      </c>
      <c r="C2292" s="115" t="s">
        <v>9858</v>
      </c>
      <c r="D2292" s="109" t="s">
        <v>10959</v>
      </c>
      <c r="E2292" s="106" t="s">
        <v>10960</v>
      </c>
      <c r="F2292" s="109" t="s">
        <v>9440</v>
      </c>
      <c r="G2292" s="237" t="s">
        <v>9323</v>
      </c>
      <c r="H2292" s="115" t="s">
        <v>9323</v>
      </c>
      <c r="I2292" s="109" t="s">
        <v>10919</v>
      </c>
      <c r="J2292" s="239" t="s">
        <v>10920</v>
      </c>
      <c r="K2292" s="109" t="s">
        <v>9440</v>
      </c>
      <c r="L2292" s="109" t="s">
        <v>9440</v>
      </c>
    </row>
    <row r="2293" spans="1:12" s="58" customFormat="1" ht="14.85" customHeight="1" x14ac:dyDescent="0.25">
      <c r="A2293" s="108" t="s">
        <v>9308</v>
      </c>
      <c r="B2293" s="115" t="s">
        <v>8939</v>
      </c>
      <c r="C2293" s="115" t="s">
        <v>9858</v>
      </c>
      <c r="D2293" s="109" t="s">
        <v>10961</v>
      </c>
      <c r="E2293" s="106" t="s">
        <v>10962</v>
      </c>
      <c r="F2293" s="109" t="s">
        <v>9440</v>
      </c>
      <c r="G2293" s="237" t="s">
        <v>9323</v>
      </c>
      <c r="H2293" s="115" t="s">
        <v>9323</v>
      </c>
      <c r="I2293" s="109" t="s">
        <v>10963</v>
      </c>
      <c r="J2293" s="239" t="s">
        <v>10964</v>
      </c>
      <c r="K2293" s="109" t="s">
        <v>9440</v>
      </c>
      <c r="L2293" s="109" t="s">
        <v>9440</v>
      </c>
    </row>
    <row r="2294" spans="1:12" s="58" customFormat="1" ht="14.85" customHeight="1" x14ac:dyDescent="0.25">
      <c r="A2294" s="108" t="s">
        <v>9308</v>
      </c>
      <c r="B2294" s="115" t="s">
        <v>8939</v>
      </c>
      <c r="C2294" s="115" t="s">
        <v>9338</v>
      </c>
      <c r="D2294" s="109" t="s">
        <v>10965</v>
      </c>
      <c r="E2294" s="106" t="s">
        <v>10966</v>
      </c>
      <c r="F2294" s="109" t="s">
        <v>9884</v>
      </c>
      <c r="G2294" s="115" t="s">
        <v>9324</v>
      </c>
      <c r="H2294" s="115" t="s">
        <v>9323</v>
      </c>
      <c r="I2294" s="109" t="s">
        <v>10567</v>
      </c>
      <c r="J2294" s="239" t="s">
        <v>10568</v>
      </c>
      <c r="K2294" s="109" t="s">
        <v>9440</v>
      </c>
      <c r="L2294" s="109" t="s">
        <v>9884</v>
      </c>
    </row>
    <row r="2295" spans="1:12" s="58" customFormat="1" ht="14.85" customHeight="1" x14ac:dyDescent="0.25">
      <c r="A2295" s="108" t="s">
        <v>9308</v>
      </c>
      <c r="B2295" s="115" t="s">
        <v>8939</v>
      </c>
      <c r="C2295" s="115" t="s">
        <v>9338</v>
      </c>
      <c r="D2295" s="109" t="s">
        <v>10965</v>
      </c>
      <c r="E2295" s="106" t="s">
        <v>10966</v>
      </c>
      <c r="F2295" s="109" t="s">
        <v>9884</v>
      </c>
      <c r="G2295" s="115" t="s">
        <v>9324</v>
      </c>
      <c r="H2295" s="115" t="s">
        <v>9323</v>
      </c>
      <c r="I2295" s="109" t="s">
        <v>10569</v>
      </c>
      <c r="J2295" s="239" t="s">
        <v>10570</v>
      </c>
      <c r="K2295" s="109" t="s">
        <v>9440</v>
      </c>
      <c r="L2295" s="109" t="s">
        <v>9884</v>
      </c>
    </row>
    <row r="2296" spans="1:12" s="58" customFormat="1" ht="14.85" customHeight="1" x14ac:dyDescent="0.25">
      <c r="A2296" s="108" t="s">
        <v>9308</v>
      </c>
      <c r="B2296" s="115" t="s">
        <v>8939</v>
      </c>
      <c r="C2296" s="115" t="s">
        <v>9338</v>
      </c>
      <c r="D2296" s="109" t="s">
        <v>10965</v>
      </c>
      <c r="E2296" s="106" t="s">
        <v>10966</v>
      </c>
      <c r="F2296" s="109" t="s">
        <v>9884</v>
      </c>
      <c r="G2296" s="115" t="s">
        <v>9324</v>
      </c>
      <c r="H2296" s="115" t="s">
        <v>9323</v>
      </c>
      <c r="I2296" s="109" t="s">
        <v>10571</v>
      </c>
      <c r="J2296" s="239" t="s">
        <v>10572</v>
      </c>
      <c r="K2296" s="109" t="s">
        <v>9440</v>
      </c>
      <c r="L2296" s="109" t="s">
        <v>9884</v>
      </c>
    </row>
    <row r="2297" spans="1:12" s="58" customFormat="1" ht="14.85" customHeight="1" x14ac:dyDescent="0.25">
      <c r="A2297" s="108" t="s">
        <v>9308</v>
      </c>
      <c r="B2297" s="115" t="s">
        <v>8939</v>
      </c>
      <c r="C2297" s="115" t="s">
        <v>9338</v>
      </c>
      <c r="D2297" s="109" t="s">
        <v>10965</v>
      </c>
      <c r="E2297" s="106" t="s">
        <v>10966</v>
      </c>
      <c r="F2297" s="109" t="s">
        <v>9884</v>
      </c>
      <c r="G2297" s="115" t="s">
        <v>9324</v>
      </c>
      <c r="H2297" s="115" t="s">
        <v>9323</v>
      </c>
      <c r="I2297" s="109" t="s">
        <v>10573</v>
      </c>
      <c r="J2297" s="239" t="s">
        <v>10574</v>
      </c>
      <c r="K2297" s="109" t="s">
        <v>9440</v>
      </c>
      <c r="L2297" s="109" t="s">
        <v>9884</v>
      </c>
    </row>
    <row r="2298" spans="1:12" s="58" customFormat="1" ht="14.85" customHeight="1" x14ac:dyDescent="0.25">
      <c r="A2298" s="108" t="s">
        <v>9308</v>
      </c>
      <c r="B2298" s="115" t="s">
        <v>8939</v>
      </c>
      <c r="C2298" s="115" t="s">
        <v>9338</v>
      </c>
      <c r="D2298" s="109" t="s">
        <v>10965</v>
      </c>
      <c r="E2298" s="106" t="s">
        <v>10966</v>
      </c>
      <c r="F2298" s="109" t="s">
        <v>9884</v>
      </c>
      <c r="G2298" s="115" t="s">
        <v>9324</v>
      </c>
      <c r="H2298" s="115" t="s">
        <v>9323</v>
      </c>
      <c r="I2298" s="109" t="s">
        <v>10597</v>
      </c>
      <c r="J2298" s="239" t="s">
        <v>10598</v>
      </c>
      <c r="K2298" s="109" t="s">
        <v>9440</v>
      </c>
      <c r="L2298" s="109" t="s">
        <v>9884</v>
      </c>
    </row>
    <row r="2299" spans="1:12" s="58" customFormat="1" ht="14.85" customHeight="1" x14ac:dyDescent="0.25">
      <c r="A2299" s="108" t="s">
        <v>9308</v>
      </c>
      <c r="B2299" s="115" t="s">
        <v>8939</v>
      </c>
      <c r="C2299" s="115" t="s">
        <v>9338</v>
      </c>
      <c r="D2299" s="109" t="s">
        <v>10965</v>
      </c>
      <c r="E2299" s="106" t="s">
        <v>10966</v>
      </c>
      <c r="F2299" s="109" t="s">
        <v>9884</v>
      </c>
      <c r="G2299" s="115" t="s">
        <v>9324</v>
      </c>
      <c r="H2299" s="115" t="s">
        <v>9323</v>
      </c>
      <c r="I2299" s="109" t="s">
        <v>10599</v>
      </c>
      <c r="J2299" s="239" t="s">
        <v>10600</v>
      </c>
      <c r="K2299" s="109" t="s">
        <v>9440</v>
      </c>
      <c r="L2299" s="109" t="s">
        <v>9884</v>
      </c>
    </row>
    <row r="2300" spans="1:12" s="58" customFormat="1" ht="14.85" customHeight="1" x14ac:dyDescent="0.25">
      <c r="A2300" s="108" t="s">
        <v>9308</v>
      </c>
      <c r="B2300" s="115" t="s">
        <v>8939</v>
      </c>
      <c r="C2300" s="115" t="s">
        <v>9338</v>
      </c>
      <c r="D2300" s="109" t="s">
        <v>10965</v>
      </c>
      <c r="E2300" s="106" t="s">
        <v>10966</v>
      </c>
      <c r="F2300" s="109" t="s">
        <v>9884</v>
      </c>
      <c r="G2300" s="115" t="s">
        <v>9324</v>
      </c>
      <c r="H2300" s="115" t="s">
        <v>9323</v>
      </c>
      <c r="I2300" s="109" t="s">
        <v>10575</v>
      </c>
      <c r="J2300" s="239" t="s">
        <v>10576</v>
      </c>
      <c r="K2300" s="109" t="s">
        <v>9440</v>
      </c>
      <c r="L2300" s="109" t="s">
        <v>9884</v>
      </c>
    </row>
    <row r="2301" spans="1:12" s="58" customFormat="1" ht="14.85" customHeight="1" x14ac:dyDescent="0.25">
      <c r="A2301" s="108" t="s">
        <v>9308</v>
      </c>
      <c r="B2301" s="115" t="s">
        <v>8939</v>
      </c>
      <c r="C2301" s="115" t="s">
        <v>9338</v>
      </c>
      <c r="D2301" s="109" t="s">
        <v>10965</v>
      </c>
      <c r="E2301" s="106" t="s">
        <v>10966</v>
      </c>
      <c r="F2301" s="109" t="s">
        <v>9884</v>
      </c>
      <c r="G2301" s="115" t="s">
        <v>9324</v>
      </c>
      <c r="H2301" s="115" t="s">
        <v>9323</v>
      </c>
      <c r="I2301" s="109" t="s">
        <v>10577</v>
      </c>
      <c r="J2301" s="239" t="s">
        <v>10578</v>
      </c>
      <c r="K2301" s="109" t="s">
        <v>9440</v>
      </c>
      <c r="L2301" s="109" t="s">
        <v>9884</v>
      </c>
    </row>
    <row r="2302" spans="1:12" s="58" customFormat="1" ht="14.85" customHeight="1" x14ac:dyDescent="0.25">
      <c r="A2302" s="108" t="s">
        <v>9308</v>
      </c>
      <c r="B2302" s="115" t="s">
        <v>8939</v>
      </c>
      <c r="C2302" s="115" t="s">
        <v>9338</v>
      </c>
      <c r="D2302" s="109" t="s">
        <v>10965</v>
      </c>
      <c r="E2302" s="106" t="s">
        <v>10966</v>
      </c>
      <c r="F2302" s="109" t="s">
        <v>9884</v>
      </c>
      <c r="G2302" s="115" t="s">
        <v>9324</v>
      </c>
      <c r="H2302" s="115" t="s">
        <v>9323</v>
      </c>
      <c r="I2302" s="109" t="s">
        <v>10601</v>
      </c>
      <c r="J2302" s="239" t="s">
        <v>10602</v>
      </c>
      <c r="K2302" s="109" t="s">
        <v>9440</v>
      </c>
      <c r="L2302" s="109" t="s">
        <v>9884</v>
      </c>
    </row>
    <row r="2303" spans="1:12" s="58" customFormat="1" ht="14.85" customHeight="1" x14ac:dyDescent="0.25">
      <c r="A2303" s="108" t="s">
        <v>9308</v>
      </c>
      <c r="B2303" s="115" t="s">
        <v>8939</v>
      </c>
      <c r="C2303" s="115" t="s">
        <v>9338</v>
      </c>
      <c r="D2303" s="109" t="s">
        <v>10965</v>
      </c>
      <c r="E2303" s="106" t="s">
        <v>10966</v>
      </c>
      <c r="F2303" s="109" t="s">
        <v>9884</v>
      </c>
      <c r="G2303" s="115" t="s">
        <v>9324</v>
      </c>
      <c r="H2303" s="115" t="s">
        <v>9323</v>
      </c>
      <c r="I2303" s="109" t="s">
        <v>10603</v>
      </c>
      <c r="J2303" s="239" t="s">
        <v>10604</v>
      </c>
      <c r="K2303" s="109" t="s">
        <v>9440</v>
      </c>
      <c r="L2303" s="109" t="s">
        <v>9884</v>
      </c>
    </row>
    <row r="2304" spans="1:12" s="58" customFormat="1" ht="14.85" customHeight="1" x14ac:dyDescent="0.25">
      <c r="A2304" s="108" t="s">
        <v>9308</v>
      </c>
      <c r="B2304" s="115" t="s">
        <v>8939</v>
      </c>
      <c r="C2304" s="115" t="s">
        <v>9338</v>
      </c>
      <c r="D2304" s="109" t="s">
        <v>10965</v>
      </c>
      <c r="E2304" s="106" t="s">
        <v>10966</v>
      </c>
      <c r="F2304" s="109" t="s">
        <v>9884</v>
      </c>
      <c r="G2304" s="115" t="s">
        <v>9324</v>
      </c>
      <c r="H2304" s="115" t="s">
        <v>9323</v>
      </c>
      <c r="I2304" s="109" t="s">
        <v>10579</v>
      </c>
      <c r="J2304" s="239" t="s">
        <v>10580</v>
      </c>
      <c r="K2304" s="109" t="s">
        <v>9440</v>
      </c>
      <c r="L2304" s="109" t="s">
        <v>9884</v>
      </c>
    </row>
    <row r="2305" spans="1:12" s="58" customFormat="1" ht="14.85" customHeight="1" x14ac:dyDescent="0.25">
      <c r="A2305" s="108" t="s">
        <v>9308</v>
      </c>
      <c r="B2305" s="115" t="s">
        <v>8939</v>
      </c>
      <c r="C2305" s="115" t="s">
        <v>9338</v>
      </c>
      <c r="D2305" s="109" t="s">
        <v>10965</v>
      </c>
      <c r="E2305" s="106" t="s">
        <v>10966</v>
      </c>
      <c r="F2305" s="109" t="s">
        <v>9884</v>
      </c>
      <c r="G2305" s="115" t="s">
        <v>9324</v>
      </c>
      <c r="H2305" s="115" t="s">
        <v>9323</v>
      </c>
      <c r="I2305" s="109" t="s">
        <v>10617</v>
      </c>
      <c r="J2305" s="239" t="s">
        <v>10618</v>
      </c>
      <c r="K2305" s="109" t="s">
        <v>9440</v>
      </c>
      <c r="L2305" s="109" t="s">
        <v>9884</v>
      </c>
    </row>
    <row r="2306" spans="1:12" s="58" customFormat="1" ht="14.85" customHeight="1" x14ac:dyDescent="0.25">
      <c r="A2306" s="108" t="s">
        <v>9308</v>
      </c>
      <c r="B2306" s="115" t="s">
        <v>8939</v>
      </c>
      <c r="C2306" s="115" t="s">
        <v>9338</v>
      </c>
      <c r="D2306" s="109" t="s">
        <v>10965</v>
      </c>
      <c r="E2306" s="106" t="s">
        <v>10966</v>
      </c>
      <c r="F2306" s="109" t="s">
        <v>9884</v>
      </c>
      <c r="G2306" s="115" t="s">
        <v>9324</v>
      </c>
      <c r="H2306" s="115" t="s">
        <v>9323</v>
      </c>
      <c r="I2306" s="109" t="s">
        <v>10581</v>
      </c>
      <c r="J2306" s="239" t="s">
        <v>10582</v>
      </c>
      <c r="K2306" s="109" t="s">
        <v>9440</v>
      </c>
      <c r="L2306" s="109" t="s">
        <v>9884</v>
      </c>
    </row>
    <row r="2307" spans="1:12" s="58" customFormat="1" ht="14.85" customHeight="1" x14ac:dyDescent="0.25">
      <c r="A2307" s="108" t="s">
        <v>9308</v>
      </c>
      <c r="B2307" s="115" t="s">
        <v>8939</v>
      </c>
      <c r="C2307" s="115" t="s">
        <v>9338</v>
      </c>
      <c r="D2307" s="109" t="s">
        <v>10965</v>
      </c>
      <c r="E2307" s="106" t="s">
        <v>10966</v>
      </c>
      <c r="F2307" s="109" t="s">
        <v>9884</v>
      </c>
      <c r="G2307" s="115" t="s">
        <v>9324</v>
      </c>
      <c r="H2307" s="115" t="s">
        <v>9323</v>
      </c>
      <c r="I2307" s="109" t="s">
        <v>10583</v>
      </c>
      <c r="J2307" s="239" t="s">
        <v>10584</v>
      </c>
      <c r="K2307" s="109" t="s">
        <v>9440</v>
      </c>
      <c r="L2307" s="109" t="s">
        <v>9884</v>
      </c>
    </row>
    <row r="2308" spans="1:12" s="58" customFormat="1" ht="14.85" customHeight="1" x14ac:dyDescent="0.25">
      <c r="A2308" s="108" t="s">
        <v>9308</v>
      </c>
      <c r="B2308" s="115" t="s">
        <v>8939</v>
      </c>
      <c r="C2308" s="115" t="s">
        <v>9338</v>
      </c>
      <c r="D2308" s="109" t="s">
        <v>10965</v>
      </c>
      <c r="E2308" s="106" t="s">
        <v>10966</v>
      </c>
      <c r="F2308" s="109" t="s">
        <v>9884</v>
      </c>
      <c r="G2308" s="115" t="s">
        <v>9324</v>
      </c>
      <c r="H2308" s="115" t="s">
        <v>9323</v>
      </c>
      <c r="I2308" s="109" t="s">
        <v>10585</v>
      </c>
      <c r="J2308" s="239" t="s">
        <v>10586</v>
      </c>
      <c r="K2308" s="109" t="s">
        <v>9440</v>
      </c>
      <c r="L2308" s="109" t="s">
        <v>9884</v>
      </c>
    </row>
    <row r="2309" spans="1:12" s="58" customFormat="1" ht="14.85" customHeight="1" x14ac:dyDescent="0.25">
      <c r="A2309" s="108" t="s">
        <v>9308</v>
      </c>
      <c r="B2309" s="115" t="s">
        <v>8939</v>
      </c>
      <c r="C2309" s="115" t="s">
        <v>9338</v>
      </c>
      <c r="D2309" s="109" t="s">
        <v>10965</v>
      </c>
      <c r="E2309" s="106" t="s">
        <v>10966</v>
      </c>
      <c r="F2309" s="109" t="s">
        <v>9884</v>
      </c>
      <c r="G2309" s="115" t="s">
        <v>9324</v>
      </c>
      <c r="H2309" s="115" t="s">
        <v>9323</v>
      </c>
      <c r="I2309" s="109" t="s">
        <v>10587</v>
      </c>
      <c r="J2309" s="239" t="s">
        <v>10588</v>
      </c>
      <c r="K2309" s="109" t="s">
        <v>9440</v>
      </c>
      <c r="L2309" s="109" t="s">
        <v>9884</v>
      </c>
    </row>
    <row r="2310" spans="1:12" s="58" customFormat="1" ht="14.85" customHeight="1" x14ac:dyDescent="0.25">
      <c r="A2310" s="108" t="s">
        <v>9308</v>
      </c>
      <c r="B2310" s="115" t="s">
        <v>8939</v>
      </c>
      <c r="C2310" s="115" t="s">
        <v>9338</v>
      </c>
      <c r="D2310" s="109" t="s">
        <v>10965</v>
      </c>
      <c r="E2310" s="106" t="s">
        <v>10966</v>
      </c>
      <c r="F2310" s="109" t="s">
        <v>9884</v>
      </c>
      <c r="G2310" s="115" t="s">
        <v>9324</v>
      </c>
      <c r="H2310" s="115" t="s">
        <v>9323</v>
      </c>
      <c r="I2310" s="109" t="s">
        <v>10589</v>
      </c>
      <c r="J2310" s="239" t="s">
        <v>10590</v>
      </c>
      <c r="K2310" s="109" t="s">
        <v>9440</v>
      </c>
      <c r="L2310" s="109" t="s">
        <v>9884</v>
      </c>
    </row>
    <row r="2311" spans="1:12" s="58" customFormat="1" ht="14.85" customHeight="1" x14ac:dyDescent="0.25">
      <c r="A2311" s="108" t="s">
        <v>9308</v>
      </c>
      <c r="B2311" s="115" t="s">
        <v>8939</v>
      </c>
      <c r="C2311" s="115" t="s">
        <v>9338</v>
      </c>
      <c r="D2311" s="109" t="s">
        <v>10965</v>
      </c>
      <c r="E2311" s="106" t="s">
        <v>10966</v>
      </c>
      <c r="F2311" s="109" t="s">
        <v>9884</v>
      </c>
      <c r="G2311" s="115" t="s">
        <v>9324</v>
      </c>
      <c r="H2311" s="115" t="s">
        <v>9323</v>
      </c>
      <c r="I2311" s="109" t="s">
        <v>10332</v>
      </c>
      <c r="J2311" s="239" t="s">
        <v>10333</v>
      </c>
      <c r="K2311" s="109" t="s">
        <v>9440</v>
      </c>
      <c r="L2311" s="109" t="s">
        <v>9884</v>
      </c>
    </row>
    <row r="2312" spans="1:12" s="58" customFormat="1" ht="14.85" customHeight="1" x14ac:dyDescent="0.25">
      <c r="A2312" s="108" t="s">
        <v>9308</v>
      </c>
      <c r="B2312" s="115" t="s">
        <v>8939</v>
      </c>
      <c r="C2312" s="115" t="s">
        <v>9338</v>
      </c>
      <c r="D2312" s="109" t="s">
        <v>10965</v>
      </c>
      <c r="E2312" s="106" t="s">
        <v>10966</v>
      </c>
      <c r="F2312" s="109" t="s">
        <v>9884</v>
      </c>
      <c r="G2312" s="115" t="s">
        <v>9324</v>
      </c>
      <c r="H2312" s="115" t="s">
        <v>9323</v>
      </c>
      <c r="I2312" s="109" t="s">
        <v>10703</v>
      </c>
      <c r="J2312" s="239" t="s">
        <v>10704</v>
      </c>
      <c r="K2312" s="109" t="s">
        <v>9440</v>
      </c>
      <c r="L2312" s="109" t="s">
        <v>9884</v>
      </c>
    </row>
    <row r="2313" spans="1:12" s="58" customFormat="1" ht="14.85" customHeight="1" x14ac:dyDescent="0.25">
      <c r="A2313" s="108" t="s">
        <v>9308</v>
      </c>
      <c r="B2313" s="115" t="s">
        <v>8939</v>
      </c>
      <c r="C2313" s="115" t="s">
        <v>9338</v>
      </c>
      <c r="D2313" s="109" t="s">
        <v>10965</v>
      </c>
      <c r="E2313" s="106" t="s">
        <v>10966</v>
      </c>
      <c r="F2313" s="109" t="s">
        <v>9884</v>
      </c>
      <c r="G2313" s="115" t="s">
        <v>9324</v>
      </c>
      <c r="H2313" s="115" t="s">
        <v>9323</v>
      </c>
      <c r="I2313" s="109" t="s">
        <v>10591</v>
      </c>
      <c r="J2313" s="239" t="s">
        <v>10592</v>
      </c>
      <c r="K2313" s="109" t="s">
        <v>9440</v>
      </c>
      <c r="L2313" s="109" t="s">
        <v>9884</v>
      </c>
    </row>
    <row r="2314" spans="1:12" s="58" customFormat="1" ht="14.85" customHeight="1" x14ac:dyDescent="0.25">
      <c r="A2314" s="108" t="s">
        <v>9308</v>
      </c>
      <c r="B2314" s="115" t="s">
        <v>8939</v>
      </c>
      <c r="C2314" s="115" t="s">
        <v>9338</v>
      </c>
      <c r="D2314" s="109" t="s">
        <v>10967</v>
      </c>
      <c r="E2314" s="106" t="s">
        <v>10968</v>
      </c>
      <c r="F2314" s="109" t="s">
        <v>9884</v>
      </c>
      <c r="G2314" s="115" t="s">
        <v>9324</v>
      </c>
      <c r="H2314" s="115" t="s">
        <v>9323</v>
      </c>
      <c r="I2314" s="109" t="s">
        <v>10226</v>
      </c>
      <c r="J2314" s="239" t="s">
        <v>10227</v>
      </c>
      <c r="K2314" s="109" t="s">
        <v>9440</v>
      </c>
      <c r="L2314" s="109" t="s">
        <v>9884</v>
      </c>
    </row>
    <row r="2315" spans="1:12" s="58" customFormat="1" ht="14.85" customHeight="1" x14ac:dyDescent="0.25">
      <c r="A2315" s="108" t="s">
        <v>9308</v>
      </c>
      <c r="B2315" s="115" t="s">
        <v>8939</v>
      </c>
      <c r="C2315" s="115" t="s">
        <v>9338</v>
      </c>
      <c r="D2315" s="109" t="s">
        <v>10967</v>
      </c>
      <c r="E2315" s="106" t="s">
        <v>10968</v>
      </c>
      <c r="F2315" s="109" t="s">
        <v>9884</v>
      </c>
      <c r="G2315" s="115" t="s">
        <v>9324</v>
      </c>
      <c r="H2315" s="115" t="s">
        <v>9323</v>
      </c>
      <c r="I2315" s="109" t="s">
        <v>10049</v>
      </c>
      <c r="J2315" s="239" t="s">
        <v>10050</v>
      </c>
      <c r="K2315" s="109" t="s">
        <v>9440</v>
      </c>
      <c r="L2315" s="109" t="s">
        <v>9884</v>
      </c>
    </row>
    <row r="2316" spans="1:12" s="58" customFormat="1" ht="14.85" customHeight="1" x14ac:dyDescent="0.25">
      <c r="A2316" s="108" t="s">
        <v>9308</v>
      </c>
      <c r="B2316" s="115" t="s">
        <v>8939</v>
      </c>
      <c r="C2316" s="115" t="s">
        <v>9338</v>
      </c>
      <c r="D2316" s="109" t="s">
        <v>10967</v>
      </c>
      <c r="E2316" s="106" t="s">
        <v>10968</v>
      </c>
      <c r="F2316" s="109" t="s">
        <v>9884</v>
      </c>
      <c r="G2316" s="115" t="s">
        <v>9324</v>
      </c>
      <c r="H2316" s="115" t="s">
        <v>9323</v>
      </c>
      <c r="I2316" s="109" t="s">
        <v>10051</v>
      </c>
      <c r="J2316" s="239" t="s">
        <v>10052</v>
      </c>
      <c r="K2316" s="109" t="s">
        <v>9440</v>
      </c>
      <c r="L2316" s="109" t="s">
        <v>9884</v>
      </c>
    </row>
    <row r="2317" spans="1:12" s="58" customFormat="1" ht="14.85" customHeight="1" x14ac:dyDescent="0.25">
      <c r="A2317" s="108" t="s">
        <v>9308</v>
      </c>
      <c r="B2317" s="115" t="s">
        <v>8939</v>
      </c>
      <c r="C2317" s="115" t="s">
        <v>9338</v>
      </c>
      <c r="D2317" s="109" t="s">
        <v>10967</v>
      </c>
      <c r="E2317" s="106" t="s">
        <v>10968</v>
      </c>
      <c r="F2317" s="109" t="s">
        <v>9884</v>
      </c>
      <c r="G2317" s="115" t="s">
        <v>9324</v>
      </c>
      <c r="H2317" s="115" t="s">
        <v>9323</v>
      </c>
      <c r="I2317" s="109" t="s">
        <v>10023</v>
      </c>
      <c r="J2317" s="239" t="s">
        <v>10024</v>
      </c>
      <c r="K2317" s="109" t="s">
        <v>9440</v>
      </c>
      <c r="L2317" s="109" t="s">
        <v>9884</v>
      </c>
    </row>
    <row r="2318" spans="1:12" s="58" customFormat="1" ht="14.85" customHeight="1" x14ac:dyDescent="0.25">
      <c r="A2318" s="108" t="s">
        <v>9308</v>
      </c>
      <c r="B2318" s="115" t="s">
        <v>8939</v>
      </c>
      <c r="C2318" s="115" t="s">
        <v>9338</v>
      </c>
      <c r="D2318" s="109" t="s">
        <v>10967</v>
      </c>
      <c r="E2318" s="106" t="s">
        <v>10968</v>
      </c>
      <c r="F2318" s="109" t="s">
        <v>9884</v>
      </c>
      <c r="G2318" s="115" t="s">
        <v>9324</v>
      </c>
      <c r="H2318" s="115" t="s">
        <v>9323</v>
      </c>
      <c r="I2318" s="109" t="s">
        <v>10053</v>
      </c>
      <c r="J2318" s="239" t="s">
        <v>10054</v>
      </c>
      <c r="K2318" s="109" t="s">
        <v>9440</v>
      </c>
      <c r="L2318" s="109" t="s">
        <v>9884</v>
      </c>
    </row>
    <row r="2319" spans="1:12" s="58" customFormat="1" ht="14.85" customHeight="1" x14ac:dyDescent="0.25">
      <c r="A2319" s="108" t="s">
        <v>9308</v>
      </c>
      <c r="B2319" s="115" t="s">
        <v>8939</v>
      </c>
      <c r="C2319" s="115" t="s">
        <v>9338</v>
      </c>
      <c r="D2319" s="109" t="s">
        <v>10967</v>
      </c>
      <c r="E2319" s="106" t="s">
        <v>10968</v>
      </c>
      <c r="F2319" s="109" t="s">
        <v>9884</v>
      </c>
      <c r="G2319" s="115" t="s">
        <v>9324</v>
      </c>
      <c r="H2319" s="115" t="s">
        <v>9323</v>
      </c>
      <c r="I2319" s="109" t="s">
        <v>10055</v>
      </c>
      <c r="J2319" s="239" t="s">
        <v>10056</v>
      </c>
      <c r="K2319" s="109" t="s">
        <v>9440</v>
      </c>
      <c r="L2319" s="109" t="s">
        <v>9884</v>
      </c>
    </row>
    <row r="2320" spans="1:12" s="58" customFormat="1" ht="14.85" customHeight="1" x14ac:dyDescent="0.25">
      <c r="A2320" s="108" t="s">
        <v>9308</v>
      </c>
      <c r="B2320" s="115" t="s">
        <v>8939</v>
      </c>
      <c r="C2320" s="115" t="s">
        <v>9338</v>
      </c>
      <c r="D2320" s="109" t="s">
        <v>10967</v>
      </c>
      <c r="E2320" s="106" t="s">
        <v>10968</v>
      </c>
      <c r="F2320" s="109" t="s">
        <v>9884</v>
      </c>
      <c r="G2320" s="115" t="s">
        <v>9324</v>
      </c>
      <c r="H2320" s="115" t="s">
        <v>9323</v>
      </c>
      <c r="I2320" s="109" t="s">
        <v>10057</v>
      </c>
      <c r="J2320" s="239" t="s">
        <v>10058</v>
      </c>
      <c r="K2320" s="109" t="s">
        <v>9440</v>
      </c>
      <c r="L2320" s="109" t="s">
        <v>9884</v>
      </c>
    </row>
    <row r="2321" spans="1:12" s="58" customFormat="1" ht="14.85" customHeight="1" x14ac:dyDescent="0.25">
      <c r="A2321" s="108" t="s">
        <v>9308</v>
      </c>
      <c r="B2321" s="115" t="s">
        <v>8939</v>
      </c>
      <c r="C2321" s="115" t="s">
        <v>9338</v>
      </c>
      <c r="D2321" s="109" t="s">
        <v>10967</v>
      </c>
      <c r="E2321" s="106" t="s">
        <v>10968</v>
      </c>
      <c r="F2321" s="109" t="s">
        <v>9884</v>
      </c>
      <c r="G2321" s="115" t="s">
        <v>9324</v>
      </c>
      <c r="H2321" s="115" t="s">
        <v>9323</v>
      </c>
      <c r="I2321" s="109" t="s">
        <v>10025</v>
      </c>
      <c r="J2321" s="239" t="s">
        <v>10026</v>
      </c>
      <c r="K2321" s="109" t="s">
        <v>9440</v>
      </c>
      <c r="L2321" s="109" t="s">
        <v>9884</v>
      </c>
    </row>
    <row r="2322" spans="1:12" s="58" customFormat="1" ht="14.85" customHeight="1" x14ac:dyDescent="0.25">
      <c r="A2322" s="108" t="s">
        <v>9308</v>
      </c>
      <c r="B2322" s="115" t="s">
        <v>8939</v>
      </c>
      <c r="C2322" s="115" t="s">
        <v>9338</v>
      </c>
      <c r="D2322" s="109" t="s">
        <v>10967</v>
      </c>
      <c r="E2322" s="106" t="s">
        <v>10968</v>
      </c>
      <c r="F2322" s="109" t="s">
        <v>9884</v>
      </c>
      <c r="G2322" s="115" t="s">
        <v>9324</v>
      </c>
      <c r="H2322" s="115" t="s">
        <v>9323</v>
      </c>
      <c r="I2322" s="109" t="s">
        <v>10059</v>
      </c>
      <c r="J2322" s="239" t="s">
        <v>10060</v>
      </c>
      <c r="K2322" s="109" t="s">
        <v>9440</v>
      </c>
      <c r="L2322" s="109" t="s">
        <v>9884</v>
      </c>
    </row>
    <row r="2323" spans="1:12" s="58" customFormat="1" ht="14.85" customHeight="1" x14ac:dyDescent="0.25">
      <c r="A2323" s="108" t="s">
        <v>9308</v>
      </c>
      <c r="B2323" s="115" t="s">
        <v>8939</v>
      </c>
      <c r="C2323" s="115" t="s">
        <v>9338</v>
      </c>
      <c r="D2323" s="109" t="s">
        <v>10967</v>
      </c>
      <c r="E2323" s="106" t="s">
        <v>10968</v>
      </c>
      <c r="F2323" s="109" t="s">
        <v>9884</v>
      </c>
      <c r="G2323" s="115" t="s">
        <v>9324</v>
      </c>
      <c r="H2323" s="115" t="s">
        <v>9323</v>
      </c>
      <c r="I2323" s="109" t="s">
        <v>10061</v>
      </c>
      <c r="J2323" s="239" t="s">
        <v>10062</v>
      </c>
      <c r="K2323" s="109" t="s">
        <v>9440</v>
      </c>
      <c r="L2323" s="109" t="s">
        <v>9884</v>
      </c>
    </row>
    <row r="2324" spans="1:12" s="58" customFormat="1" ht="14.85" customHeight="1" x14ac:dyDescent="0.25">
      <c r="A2324" s="108" t="s">
        <v>9308</v>
      </c>
      <c r="B2324" s="115" t="s">
        <v>8939</v>
      </c>
      <c r="C2324" s="115" t="s">
        <v>9338</v>
      </c>
      <c r="D2324" s="109" t="s">
        <v>10967</v>
      </c>
      <c r="E2324" s="106" t="s">
        <v>10968</v>
      </c>
      <c r="F2324" s="109" t="s">
        <v>9884</v>
      </c>
      <c r="G2324" s="115" t="s">
        <v>9324</v>
      </c>
      <c r="H2324" s="115" t="s">
        <v>9323</v>
      </c>
      <c r="I2324" s="109" t="s">
        <v>10027</v>
      </c>
      <c r="J2324" s="239" t="s">
        <v>10028</v>
      </c>
      <c r="K2324" s="109" t="s">
        <v>9440</v>
      </c>
      <c r="L2324" s="109" t="s">
        <v>9884</v>
      </c>
    </row>
    <row r="2325" spans="1:12" s="58" customFormat="1" ht="14.85" customHeight="1" x14ac:dyDescent="0.25">
      <c r="A2325" s="108" t="s">
        <v>9308</v>
      </c>
      <c r="B2325" s="115" t="s">
        <v>8939</v>
      </c>
      <c r="C2325" s="115" t="s">
        <v>9338</v>
      </c>
      <c r="D2325" s="109" t="s">
        <v>10969</v>
      </c>
      <c r="E2325" s="106" t="s">
        <v>10970</v>
      </c>
      <c r="F2325" s="109" t="s">
        <v>9884</v>
      </c>
      <c r="G2325" s="115" t="s">
        <v>9324</v>
      </c>
      <c r="H2325" s="115" t="s">
        <v>9323</v>
      </c>
      <c r="I2325" s="109" t="s">
        <v>10857</v>
      </c>
      <c r="J2325" s="239" t="s">
        <v>10858</v>
      </c>
      <c r="K2325" s="109" t="s">
        <v>9440</v>
      </c>
      <c r="L2325" s="109" t="s">
        <v>9884</v>
      </c>
    </row>
    <row r="2326" spans="1:12" s="58" customFormat="1" ht="14.85" customHeight="1" x14ac:dyDescent="0.25">
      <c r="A2326" s="108" t="s">
        <v>9308</v>
      </c>
      <c r="B2326" s="115" t="s">
        <v>8939</v>
      </c>
      <c r="C2326" s="115" t="s">
        <v>9338</v>
      </c>
      <c r="D2326" s="109" t="s">
        <v>10969</v>
      </c>
      <c r="E2326" s="106" t="s">
        <v>10970</v>
      </c>
      <c r="F2326" s="109" t="s">
        <v>9884</v>
      </c>
      <c r="G2326" s="115" t="s">
        <v>9324</v>
      </c>
      <c r="H2326" s="115" t="s">
        <v>9323</v>
      </c>
      <c r="I2326" s="109" t="s">
        <v>10894</v>
      </c>
      <c r="J2326" s="239" t="s">
        <v>10895</v>
      </c>
      <c r="K2326" s="109" t="s">
        <v>9440</v>
      </c>
      <c r="L2326" s="109" t="s">
        <v>9884</v>
      </c>
    </row>
    <row r="2327" spans="1:12" s="58" customFormat="1" ht="14.85" customHeight="1" x14ac:dyDescent="0.25">
      <c r="A2327" s="108" t="s">
        <v>9308</v>
      </c>
      <c r="B2327" s="115" t="s">
        <v>8939</v>
      </c>
      <c r="C2327" s="115" t="s">
        <v>9338</v>
      </c>
      <c r="D2327" s="109" t="s">
        <v>10969</v>
      </c>
      <c r="E2327" s="106" t="s">
        <v>10970</v>
      </c>
      <c r="F2327" s="109" t="s">
        <v>9884</v>
      </c>
      <c r="G2327" s="115" t="s">
        <v>9324</v>
      </c>
      <c r="H2327" s="115" t="s">
        <v>9323</v>
      </c>
      <c r="I2327" s="109">
        <v>6131</v>
      </c>
      <c r="J2327" s="239" t="s">
        <v>10899</v>
      </c>
      <c r="K2327" s="109" t="s">
        <v>9440</v>
      </c>
      <c r="L2327" s="109" t="s">
        <v>9884</v>
      </c>
    </row>
    <row r="2328" spans="1:12" s="58" customFormat="1" ht="14.85" customHeight="1" x14ac:dyDescent="0.25">
      <c r="A2328" s="108" t="s">
        <v>9308</v>
      </c>
      <c r="B2328" s="115" t="s">
        <v>8939</v>
      </c>
      <c r="C2328" s="115" t="s">
        <v>9338</v>
      </c>
      <c r="D2328" s="109" t="s">
        <v>10969</v>
      </c>
      <c r="E2328" s="106" t="s">
        <v>10970</v>
      </c>
      <c r="F2328" s="109" t="s">
        <v>9884</v>
      </c>
      <c r="G2328" s="115" t="s">
        <v>9324</v>
      </c>
      <c r="H2328" s="115" t="s">
        <v>9323</v>
      </c>
      <c r="I2328" s="109">
        <v>6132</v>
      </c>
      <c r="J2328" s="239" t="s">
        <v>10901</v>
      </c>
      <c r="K2328" s="109" t="s">
        <v>9440</v>
      </c>
      <c r="L2328" s="109" t="s">
        <v>9884</v>
      </c>
    </row>
    <row r="2329" spans="1:12" s="58" customFormat="1" ht="14.85" customHeight="1" x14ac:dyDescent="0.25">
      <c r="A2329" s="108" t="s">
        <v>9308</v>
      </c>
      <c r="B2329" s="115" t="s">
        <v>8939</v>
      </c>
      <c r="C2329" s="115" t="s">
        <v>9338</v>
      </c>
      <c r="D2329" s="109" t="s">
        <v>10969</v>
      </c>
      <c r="E2329" s="106" t="s">
        <v>10970</v>
      </c>
      <c r="F2329" s="109" t="s">
        <v>9884</v>
      </c>
      <c r="G2329" s="115" t="s">
        <v>9324</v>
      </c>
      <c r="H2329" s="115" t="s">
        <v>9323</v>
      </c>
      <c r="I2329" s="109" t="s">
        <v>10033</v>
      </c>
      <c r="J2329" s="239" t="s">
        <v>10034</v>
      </c>
      <c r="K2329" s="109" t="s">
        <v>9440</v>
      </c>
      <c r="L2329" s="109" t="s">
        <v>9884</v>
      </c>
    </row>
    <row r="2330" spans="1:12" s="58" customFormat="1" ht="14.85" customHeight="1" x14ac:dyDescent="0.25">
      <c r="A2330" s="108" t="s">
        <v>9308</v>
      </c>
      <c r="B2330" s="115" t="s">
        <v>8939</v>
      </c>
      <c r="C2330" s="115" t="s">
        <v>9338</v>
      </c>
      <c r="D2330" s="109" t="s">
        <v>10969</v>
      </c>
      <c r="E2330" s="106" t="s">
        <v>10970</v>
      </c>
      <c r="F2330" s="109" t="s">
        <v>9884</v>
      </c>
      <c r="G2330" s="115" t="s">
        <v>9324</v>
      </c>
      <c r="H2330" s="115" t="s">
        <v>9323</v>
      </c>
      <c r="I2330" s="109" t="s">
        <v>10035</v>
      </c>
      <c r="J2330" s="239" t="s">
        <v>10036</v>
      </c>
      <c r="K2330" s="109" t="s">
        <v>9440</v>
      </c>
      <c r="L2330" s="109" t="s">
        <v>9884</v>
      </c>
    </row>
    <row r="2331" spans="1:12" s="58" customFormat="1" ht="14.85" customHeight="1" x14ac:dyDescent="0.25">
      <c r="A2331" s="108" t="s">
        <v>9308</v>
      </c>
      <c r="B2331" s="115" t="s">
        <v>8939</v>
      </c>
      <c r="C2331" s="115" t="s">
        <v>9338</v>
      </c>
      <c r="D2331" s="109" t="s">
        <v>10969</v>
      </c>
      <c r="E2331" s="106" t="s">
        <v>10970</v>
      </c>
      <c r="F2331" s="109" t="s">
        <v>9884</v>
      </c>
      <c r="G2331" s="115" t="s">
        <v>9324</v>
      </c>
      <c r="H2331" s="115" t="s">
        <v>9323</v>
      </c>
      <c r="I2331" s="109" t="s">
        <v>10037</v>
      </c>
      <c r="J2331" s="239" t="s">
        <v>10038</v>
      </c>
      <c r="K2331" s="109" t="s">
        <v>9440</v>
      </c>
      <c r="L2331" s="109" t="s">
        <v>9884</v>
      </c>
    </row>
    <row r="2332" spans="1:12" s="58" customFormat="1" ht="14.85" customHeight="1" x14ac:dyDescent="0.25">
      <c r="A2332" s="108" t="s">
        <v>9308</v>
      </c>
      <c r="B2332" s="115" t="s">
        <v>8939</v>
      </c>
      <c r="C2332" s="115" t="s">
        <v>9338</v>
      </c>
      <c r="D2332" s="109" t="s">
        <v>10969</v>
      </c>
      <c r="E2332" s="106" t="s">
        <v>10970</v>
      </c>
      <c r="F2332" s="109" t="s">
        <v>9884</v>
      </c>
      <c r="G2332" s="115" t="s">
        <v>9324</v>
      </c>
      <c r="H2332" s="115" t="s">
        <v>9323</v>
      </c>
      <c r="I2332" s="109">
        <v>6155</v>
      </c>
      <c r="J2332" s="239" t="s">
        <v>10077</v>
      </c>
      <c r="K2332" s="109" t="s">
        <v>9440</v>
      </c>
      <c r="L2332" s="109" t="s">
        <v>9884</v>
      </c>
    </row>
    <row r="2333" spans="1:12" s="58" customFormat="1" ht="14.85" customHeight="1" x14ac:dyDescent="0.25">
      <c r="A2333" s="108" t="s">
        <v>9308</v>
      </c>
      <c r="B2333" s="115" t="s">
        <v>8939</v>
      </c>
      <c r="C2333" s="115" t="s">
        <v>9338</v>
      </c>
      <c r="D2333" s="109" t="s">
        <v>10969</v>
      </c>
      <c r="E2333" s="106" t="s">
        <v>10970</v>
      </c>
      <c r="F2333" s="109" t="s">
        <v>9884</v>
      </c>
      <c r="G2333" s="115" t="s">
        <v>9324</v>
      </c>
      <c r="H2333" s="115" t="s">
        <v>9323</v>
      </c>
      <c r="I2333" s="109" t="s">
        <v>10039</v>
      </c>
      <c r="J2333" s="239" t="s">
        <v>10040</v>
      </c>
      <c r="K2333" s="109" t="s">
        <v>9440</v>
      </c>
      <c r="L2333" s="109" t="s">
        <v>9884</v>
      </c>
    </row>
    <row r="2334" spans="1:12" s="58" customFormat="1" ht="14.85" customHeight="1" x14ac:dyDescent="0.25">
      <c r="A2334" s="108" t="s">
        <v>9308</v>
      </c>
      <c r="B2334" s="115" t="s">
        <v>8939</v>
      </c>
      <c r="C2334" s="115" t="s">
        <v>9338</v>
      </c>
      <c r="D2334" s="109" t="s">
        <v>10969</v>
      </c>
      <c r="E2334" s="106" t="s">
        <v>10970</v>
      </c>
      <c r="F2334" s="109" t="s">
        <v>9884</v>
      </c>
      <c r="G2334" s="115" t="s">
        <v>9324</v>
      </c>
      <c r="H2334" s="115" t="s">
        <v>9323</v>
      </c>
      <c r="I2334" s="109" t="s">
        <v>10041</v>
      </c>
      <c r="J2334" s="239" t="s">
        <v>10042</v>
      </c>
      <c r="K2334" s="109" t="s">
        <v>9440</v>
      </c>
      <c r="L2334" s="109" t="s">
        <v>9884</v>
      </c>
    </row>
    <row r="2335" spans="1:12" s="58" customFormat="1" ht="14.85" customHeight="1" x14ac:dyDescent="0.25">
      <c r="A2335" s="108" t="s">
        <v>9308</v>
      </c>
      <c r="B2335" s="115" t="s">
        <v>8939</v>
      </c>
      <c r="C2335" s="115" t="s">
        <v>9338</v>
      </c>
      <c r="D2335" s="109" t="s">
        <v>10969</v>
      </c>
      <c r="E2335" s="106" t="s">
        <v>10970</v>
      </c>
      <c r="F2335" s="109" t="s">
        <v>9884</v>
      </c>
      <c r="G2335" s="115" t="s">
        <v>9324</v>
      </c>
      <c r="H2335" s="115" t="s">
        <v>9323</v>
      </c>
      <c r="I2335" s="109" t="s">
        <v>10043</v>
      </c>
      <c r="J2335" s="239" t="s">
        <v>10044</v>
      </c>
      <c r="K2335" s="109" t="s">
        <v>9440</v>
      </c>
      <c r="L2335" s="109" t="s">
        <v>9884</v>
      </c>
    </row>
    <row r="2336" spans="1:12" s="58" customFormat="1" ht="14.85" customHeight="1" x14ac:dyDescent="0.25">
      <c r="A2336" s="108" t="s">
        <v>9308</v>
      </c>
      <c r="B2336" s="115" t="s">
        <v>8939</v>
      </c>
      <c r="C2336" s="115" t="s">
        <v>9338</v>
      </c>
      <c r="D2336" s="109" t="s">
        <v>10969</v>
      </c>
      <c r="E2336" s="106" t="s">
        <v>10970</v>
      </c>
      <c r="F2336" s="109" t="s">
        <v>9884</v>
      </c>
      <c r="G2336" s="115" t="s">
        <v>9324</v>
      </c>
      <c r="H2336" s="115" t="s">
        <v>9323</v>
      </c>
      <c r="I2336" s="109" t="s">
        <v>10148</v>
      </c>
      <c r="J2336" s="239" t="s">
        <v>10149</v>
      </c>
      <c r="K2336" s="109" t="s">
        <v>9440</v>
      </c>
      <c r="L2336" s="109" t="s">
        <v>9884</v>
      </c>
    </row>
    <row r="2337" spans="1:12" s="58" customFormat="1" ht="14.85" customHeight="1" x14ac:dyDescent="0.25">
      <c r="A2337" s="108" t="s">
        <v>9308</v>
      </c>
      <c r="B2337" s="115" t="s">
        <v>8939</v>
      </c>
      <c r="C2337" s="115" t="s">
        <v>9338</v>
      </c>
      <c r="D2337" s="109" t="s">
        <v>10969</v>
      </c>
      <c r="E2337" s="106" t="s">
        <v>10970</v>
      </c>
      <c r="F2337" s="109" t="s">
        <v>9884</v>
      </c>
      <c r="G2337" s="115" t="s">
        <v>9324</v>
      </c>
      <c r="H2337" s="115" t="s">
        <v>9323</v>
      </c>
      <c r="I2337" s="109" t="s">
        <v>10168</v>
      </c>
      <c r="J2337" s="239" t="s">
        <v>10169</v>
      </c>
      <c r="K2337" s="109" t="s">
        <v>9440</v>
      </c>
      <c r="L2337" s="109" t="s">
        <v>9884</v>
      </c>
    </row>
    <row r="2338" spans="1:12" s="58" customFormat="1" ht="14.85" customHeight="1" x14ac:dyDescent="0.25">
      <c r="A2338" s="108" t="s">
        <v>9308</v>
      </c>
      <c r="B2338" s="115" t="s">
        <v>8939</v>
      </c>
      <c r="C2338" s="115" t="s">
        <v>9338</v>
      </c>
      <c r="D2338" s="109" t="s">
        <v>10969</v>
      </c>
      <c r="E2338" s="106" t="s">
        <v>10970</v>
      </c>
      <c r="F2338" s="109" t="s">
        <v>9884</v>
      </c>
      <c r="G2338" s="115" t="s">
        <v>9324</v>
      </c>
      <c r="H2338" s="115" t="s">
        <v>9323</v>
      </c>
      <c r="I2338" s="109" t="s">
        <v>10170</v>
      </c>
      <c r="J2338" s="239" t="s">
        <v>10171</v>
      </c>
      <c r="K2338" s="109" t="s">
        <v>9440</v>
      </c>
      <c r="L2338" s="109" t="s">
        <v>9884</v>
      </c>
    </row>
    <row r="2339" spans="1:12" s="58" customFormat="1" ht="14.85" customHeight="1" x14ac:dyDescent="0.25">
      <c r="A2339" s="108" t="s">
        <v>9308</v>
      </c>
      <c r="B2339" s="115" t="s">
        <v>8939</v>
      </c>
      <c r="C2339" s="115" t="s">
        <v>9338</v>
      </c>
      <c r="D2339" s="109" t="s">
        <v>10969</v>
      </c>
      <c r="E2339" s="106" t="s">
        <v>10970</v>
      </c>
      <c r="F2339" s="109" t="s">
        <v>9884</v>
      </c>
      <c r="G2339" s="115" t="s">
        <v>9324</v>
      </c>
      <c r="H2339" s="115" t="s">
        <v>9323</v>
      </c>
      <c r="I2339" s="109" t="s">
        <v>10172</v>
      </c>
      <c r="J2339" s="239" t="s">
        <v>10173</v>
      </c>
      <c r="K2339" s="109" t="s">
        <v>9440</v>
      </c>
      <c r="L2339" s="109" t="s">
        <v>9884</v>
      </c>
    </row>
    <row r="2340" spans="1:12" s="58" customFormat="1" ht="14.85" customHeight="1" x14ac:dyDescent="0.25">
      <c r="A2340" s="108" t="s">
        <v>9308</v>
      </c>
      <c r="B2340" s="115" t="s">
        <v>8939</v>
      </c>
      <c r="C2340" s="115" t="s">
        <v>9338</v>
      </c>
      <c r="D2340" s="109" t="s">
        <v>10969</v>
      </c>
      <c r="E2340" s="106" t="s">
        <v>10970</v>
      </c>
      <c r="F2340" s="109" t="s">
        <v>9884</v>
      </c>
      <c r="G2340" s="115" t="s">
        <v>9324</v>
      </c>
      <c r="H2340" s="115" t="s">
        <v>9323</v>
      </c>
      <c r="I2340" s="109" t="s">
        <v>10174</v>
      </c>
      <c r="J2340" s="239" t="s">
        <v>10175</v>
      </c>
      <c r="K2340" s="109" t="s">
        <v>9440</v>
      </c>
      <c r="L2340" s="109" t="s">
        <v>9884</v>
      </c>
    </row>
    <row r="2341" spans="1:12" s="58" customFormat="1" ht="14.85" customHeight="1" x14ac:dyDescent="0.25">
      <c r="A2341" s="108" t="s">
        <v>9308</v>
      </c>
      <c r="B2341" s="115" t="s">
        <v>8939</v>
      </c>
      <c r="C2341" s="115" t="s">
        <v>9338</v>
      </c>
      <c r="D2341" s="109" t="s">
        <v>10969</v>
      </c>
      <c r="E2341" s="106" t="s">
        <v>10970</v>
      </c>
      <c r="F2341" s="109" t="s">
        <v>9884</v>
      </c>
      <c r="G2341" s="115" t="s">
        <v>9324</v>
      </c>
      <c r="H2341" s="115" t="s">
        <v>9323</v>
      </c>
      <c r="I2341" s="109" t="s">
        <v>10045</v>
      </c>
      <c r="J2341" s="239" t="s">
        <v>10046</v>
      </c>
      <c r="K2341" s="109" t="s">
        <v>9440</v>
      </c>
      <c r="L2341" s="109" t="s">
        <v>9884</v>
      </c>
    </row>
    <row r="2342" spans="1:12" s="58" customFormat="1" ht="14.85" customHeight="1" x14ac:dyDescent="0.25">
      <c r="A2342" s="108" t="s">
        <v>9308</v>
      </c>
      <c r="B2342" s="115" t="s">
        <v>8939</v>
      </c>
      <c r="C2342" s="115" t="s">
        <v>9338</v>
      </c>
      <c r="D2342" s="109" t="s">
        <v>10969</v>
      </c>
      <c r="E2342" s="106" t="s">
        <v>10970</v>
      </c>
      <c r="F2342" s="109" t="s">
        <v>9884</v>
      </c>
      <c r="G2342" s="115" t="s">
        <v>9324</v>
      </c>
      <c r="H2342" s="115" t="s">
        <v>9323</v>
      </c>
      <c r="I2342" s="109" t="s">
        <v>10859</v>
      </c>
      <c r="J2342" s="239" t="s">
        <v>10860</v>
      </c>
      <c r="K2342" s="109" t="s">
        <v>9440</v>
      </c>
      <c r="L2342" s="109" t="s">
        <v>9884</v>
      </c>
    </row>
    <row r="2343" spans="1:12" s="58" customFormat="1" ht="14.85" customHeight="1" x14ac:dyDescent="0.25">
      <c r="A2343" s="108" t="s">
        <v>9308</v>
      </c>
      <c r="B2343" s="115" t="s">
        <v>8939</v>
      </c>
      <c r="C2343" s="115" t="s">
        <v>9338</v>
      </c>
      <c r="D2343" s="109" t="s">
        <v>10969</v>
      </c>
      <c r="E2343" s="106" t="s">
        <v>10970</v>
      </c>
      <c r="F2343" s="109" t="s">
        <v>9884</v>
      </c>
      <c r="G2343" s="115" t="s">
        <v>9324</v>
      </c>
      <c r="H2343" s="115" t="s">
        <v>9323</v>
      </c>
      <c r="I2343" s="109" t="s">
        <v>10150</v>
      </c>
      <c r="J2343" s="239" t="s">
        <v>10151</v>
      </c>
      <c r="K2343" s="109" t="s">
        <v>9440</v>
      </c>
      <c r="L2343" s="109" t="s">
        <v>9884</v>
      </c>
    </row>
    <row r="2344" spans="1:12" s="58" customFormat="1" ht="14.85" customHeight="1" x14ac:dyDescent="0.25">
      <c r="A2344" s="108" t="s">
        <v>9308</v>
      </c>
      <c r="B2344" s="115" t="s">
        <v>8939</v>
      </c>
      <c r="C2344" s="115" t="s">
        <v>9338</v>
      </c>
      <c r="D2344" s="109" t="s">
        <v>10969</v>
      </c>
      <c r="E2344" s="106" t="s">
        <v>10970</v>
      </c>
      <c r="F2344" s="109" t="s">
        <v>9884</v>
      </c>
      <c r="G2344" s="115" t="s">
        <v>9324</v>
      </c>
      <c r="H2344" s="115" t="s">
        <v>9323</v>
      </c>
      <c r="I2344" s="109" t="s">
        <v>10162</v>
      </c>
      <c r="J2344" s="239" t="s">
        <v>10163</v>
      </c>
      <c r="K2344" s="109" t="s">
        <v>9440</v>
      </c>
      <c r="L2344" s="109" t="s">
        <v>9884</v>
      </c>
    </row>
    <row r="2345" spans="1:12" s="58" customFormat="1" ht="14.85" customHeight="1" x14ac:dyDescent="0.25">
      <c r="A2345" s="108" t="s">
        <v>9308</v>
      </c>
      <c r="B2345" s="115" t="s">
        <v>8939</v>
      </c>
      <c r="C2345" s="115" t="s">
        <v>9338</v>
      </c>
      <c r="D2345" s="109" t="s">
        <v>10971</v>
      </c>
      <c r="E2345" s="106" t="s">
        <v>10972</v>
      </c>
      <c r="F2345" s="109" t="s">
        <v>9884</v>
      </c>
      <c r="G2345" s="115" t="s">
        <v>9324</v>
      </c>
      <c r="H2345" s="115" t="s">
        <v>9323</v>
      </c>
      <c r="I2345" s="109" t="s">
        <v>10471</v>
      </c>
      <c r="J2345" s="239" t="s">
        <v>10472</v>
      </c>
      <c r="K2345" s="109" t="s">
        <v>9440</v>
      </c>
      <c r="L2345" s="109" t="s">
        <v>9884</v>
      </c>
    </row>
    <row r="2346" spans="1:12" s="58" customFormat="1" ht="14.85" customHeight="1" x14ac:dyDescent="0.25">
      <c r="A2346" s="108" t="s">
        <v>9308</v>
      </c>
      <c r="B2346" s="115" t="s">
        <v>8939</v>
      </c>
      <c r="C2346" s="115" t="s">
        <v>9338</v>
      </c>
      <c r="D2346" s="109" t="s">
        <v>10971</v>
      </c>
      <c r="E2346" s="106" t="s">
        <v>10972</v>
      </c>
      <c r="F2346" s="109" t="s">
        <v>9884</v>
      </c>
      <c r="G2346" s="115" t="s">
        <v>9324</v>
      </c>
      <c r="H2346" s="115" t="s">
        <v>9323</v>
      </c>
      <c r="I2346" s="109" t="s">
        <v>10376</v>
      </c>
      <c r="J2346" s="239" t="s">
        <v>10377</v>
      </c>
      <c r="K2346" s="109" t="s">
        <v>9440</v>
      </c>
      <c r="L2346" s="109" t="s">
        <v>9884</v>
      </c>
    </row>
    <row r="2347" spans="1:12" s="58" customFormat="1" ht="14.85" customHeight="1" x14ac:dyDescent="0.25">
      <c r="A2347" s="108" t="s">
        <v>9308</v>
      </c>
      <c r="B2347" s="115" t="s">
        <v>8939</v>
      </c>
      <c r="C2347" s="115" t="s">
        <v>9338</v>
      </c>
      <c r="D2347" s="109" t="s">
        <v>10971</v>
      </c>
      <c r="E2347" s="106" t="s">
        <v>10972</v>
      </c>
      <c r="F2347" s="109" t="s">
        <v>9884</v>
      </c>
      <c r="G2347" s="115" t="s">
        <v>9324</v>
      </c>
      <c r="H2347" s="115" t="s">
        <v>9323</v>
      </c>
      <c r="I2347" s="109" t="s">
        <v>10769</v>
      </c>
      <c r="J2347" s="239" t="s">
        <v>10770</v>
      </c>
      <c r="K2347" s="109" t="s">
        <v>9440</v>
      </c>
      <c r="L2347" s="109" t="s">
        <v>9884</v>
      </c>
    </row>
    <row r="2348" spans="1:12" s="58" customFormat="1" ht="14.85" customHeight="1" x14ac:dyDescent="0.25">
      <c r="A2348" s="108" t="s">
        <v>9308</v>
      </c>
      <c r="B2348" s="115" t="s">
        <v>8939</v>
      </c>
      <c r="C2348" s="115" t="s">
        <v>9338</v>
      </c>
      <c r="D2348" s="109" t="s">
        <v>10971</v>
      </c>
      <c r="E2348" s="106" t="s">
        <v>10972</v>
      </c>
      <c r="F2348" s="109" t="s">
        <v>9884</v>
      </c>
      <c r="G2348" s="115" t="s">
        <v>9324</v>
      </c>
      <c r="H2348" s="115" t="s">
        <v>9323</v>
      </c>
      <c r="I2348" s="109" t="s">
        <v>10771</v>
      </c>
      <c r="J2348" s="239" t="s">
        <v>10772</v>
      </c>
      <c r="K2348" s="109" t="s">
        <v>9440</v>
      </c>
      <c r="L2348" s="109" t="s">
        <v>9884</v>
      </c>
    </row>
    <row r="2349" spans="1:12" s="58" customFormat="1" ht="14.85" customHeight="1" x14ac:dyDescent="0.25">
      <c r="A2349" s="108" t="s">
        <v>9308</v>
      </c>
      <c r="B2349" s="115" t="s">
        <v>8939</v>
      </c>
      <c r="C2349" s="115" t="s">
        <v>9338</v>
      </c>
      <c r="D2349" s="109" t="s">
        <v>10971</v>
      </c>
      <c r="E2349" s="106" t="s">
        <v>10972</v>
      </c>
      <c r="F2349" s="109" t="s">
        <v>9884</v>
      </c>
      <c r="G2349" s="115" t="s">
        <v>9324</v>
      </c>
      <c r="H2349" s="115" t="s">
        <v>9323</v>
      </c>
      <c r="I2349" s="109" t="s">
        <v>10452</v>
      </c>
      <c r="J2349" s="239" t="s">
        <v>10453</v>
      </c>
      <c r="K2349" s="109" t="s">
        <v>9440</v>
      </c>
      <c r="L2349" s="109" t="s">
        <v>9884</v>
      </c>
    </row>
    <row r="2350" spans="1:12" s="58" customFormat="1" ht="14.85" customHeight="1" x14ac:dyDescent="0.25">
      <c r="A2350" s="108" t="s">
        <v>9308</v>
      </c>
      <c r="B2350" s="115" t="s">
        <v>8939</v>
      </c>
      <c r="C2350" s="115" t="s">
        <v>9338</v>
      </c>
      <c r="D2350" s="109" t="s">
        <v>10971</v>
      </c>
      <c r="E2350" s="106" t="s">
        <v>10972</v>
      </c>
      <c r="F2350" s="109" t="s">
        <v>9884</v>
      </c>
      <c r="G2350" s="115" t="s">
        <v>9324</v>
      </c>
      <c r="H2350" s="115" t="s">
        <v>9323</v>
      </c>
      <c r="I2350" s="109" t="s">
        <v>10454</v>
      </c>
      <c r="J2350" s="239" t="s">
        <v>10455</v>
      </c>
      <c r="K2350" s="109" t="s">
        <v>9440</v>
      </c>
      <c r="L2350" s="109" t="s">
        <v>9884</v>
      </c>
    </row>
    <row r="2351" spans="1:12" s="58" customFormat="1" ht="14.85" customHeight="1" x14ac:dyDescent="0.25">
      <c r="A2351" s="108" t="s">
        <v>9308</v>
      </c>
      <c r="B2351" s="115" t="s">
        <v>8939</v>
      </c>
      <c r="C2351" s="115" t="s">
        <v>9338</v>
      </c>
      <c r="D2351" s="109" t="s">
        <v>10971</v>
      </c>
      <c r="E2351" s="106" t="s">
        <v>10972</v>
      </c>
      <c r="F2351" s="109" t="s">
        <v>9884</v>
      </c>
      <c r="G2351" s="115" t="s">
        <v>9324</v>
      </c>
      <c r="H2351" s="115" t="s">
        <v>9323</v>
      </c>
      <c r="I2351" s="109" t="s">
        <v>10456</v>
      </c>
      <c r="J2351" s="239" t="s">
        <v>10455</v>
      </c>
      <c r="K2351" s="109" t="s">
        <v>9440</v>
      </c>
      <c r="L2351" s="109" t="s">
        <v>9884</v>
      </c>
    </row>
    <row r="2352" spans="1:12" s="58" customFormat="1" ht="14.85" customHeight="1" x14ac:dyDescent="0.25">
      <c r="A2352" s="108" t="s">
        <v>9308</v>
      </c>
      <c r="B2352" s="115" t="s">
        <v>8939</v>
      </c>
      <c r="C2352" s="115" t="s">
        <v>9338</v>
      </c>
      <c r="D2352" s="109" t="s">
        <v>10971</v>
      </c>
      <c r="E2352" s="106" t="s">
        <v>10972</v>
      </c>
      <c r="F2352" s="109" t="s">
        <v>9884</v>
      </c>
      <c r="G2352" s="115" t="s">
        <v>9324</v>
      </c>
      <c r="H2352" s="115" t="s">
        <v>9323</v>
      </c>
      <c r="I2352" s="109" t="s">
        <v>10783</v>
      </c>
      <c r="J2352" s="239" t="s">
        <v>10784</v>
      </c>
      <c r="K2352" s="109" t="s">
        <v>9440</v>
      </c>
      <c r="L2352" s="109" t="s">
        <v>9884</v>
      </c>
    </row>
    <row r="2353" spans="1:12" s="58" customFormat="1" ht="14.85" customHeight="1" x14ac:dyDescent="0.25">
      <c r="A2353" s="108" t="s">
        <v>9308</v>
      </c>
      <c r="B2353" s="115" t="s">
        <v>8939</v>
      </c>
      <c r="C2353" s="115" t="s">
        <v>9338</v>
      </c>
      <c r="D2353" s="109" t="s">
        <v>10971</v>
      </c>
      <c r="E2353" s="106" t="s">
        <v>10972</v>
      </c>
      <c r="F2353" s="109" t="s">
        <v>9884</v>
      </c>
      <c r="G2353" s="115" t="s">
        <v>9324</v>
      </c>
      <c r="H2353" s="115" t="s">
        <v>9323</v>
      </c>
      <c r="I2353" s="109" t="s">
        <v>10785</v>
      </c>
      <c r="J2353" s="239" t="s">
        <v>10786</v>
      </c>
      <c r="K2353" s="109" t="s">
        <v>9440</v>
      </c>
      <c r="L2353" s="109" t="s">
        <v>9884</v>
      </c>
    </row>
    <row r="2354" spans="1:12" s="58" customFormat="1" ht="14.85" customHeight="1" x14ac:dyDescent="0.25">
      <c r="A2354" s="108" t="s">
        <v>9308</v>
      </c>
      <c r="B2354" s="115" t="s">
        <v>8939</v>
      </c>
      <c r="C2354" s="115" t="s">
        <v>9338</v>
      </c>
      <c r="D2354" s="109" t="s">
        <v>10971</v>
      </c>
      <c r="E2354" s="106" t="s">
        <v>10972</v>
      </c>
      <c r="F2354" s="109" t="s">
        <v>9884</v>
      </c>
      <c r="G2354" s="115" t="s">
        <v>9324</v>
      </c>
      <c r="H2354" s="115" t="s">
        <v>9323</v>
      </c>
      <c r="I2354" s="109" t="s">
        <v>10755</v>
      </c>
      <c r="J2354" s="239" t="s">
        <v>10756</v>
      </c>
      <c r="K2354" s="109" t="s">
        <v>9440</v>
      </c>
      <c r="L2354" s="109" t="s">
        <v>9884</v>
      </c>
    </row>
    <row r="2355" spans="1:12" s="58" customFormat="1" ht="14.85" customHeight="1" x14ac:dyDescent="0.25">
      <c r="A2355" s="108" t="s">
        <v>9308</v>
      </c>
      <c r="B2355" s="115" t="s">
        <v>8939</v>
      </c>
      <c r="C2355" s="115" t="s">
        <v>9338</v>
      </c>
      <c r="D2355" s="109" t="s">
        <v>10971</v>
      </c>
      <c r="E2355" s="106" t="s">
        <v>10972</v>
      </c>
      <c r="F2355" s="109" t="s">
        <v>9884</v>
      </c>
      <c r="G2355" s="115" t="s">
        <v>9324</v>
      </c>
      <c r="H2355" s="115" t="s">
        <v>9323</v>
      </c>
      <c r="I2355" s="109" t="s">
        <v>10457</v>
      </c>
      <c r="J2355" s="239" t="s">
        <v>10458</v>
      </c>
      <c r="K2355" s="109" t="s">
        <v>9440</v>
      </c>
      <c r="L2355" s="109" t="s">
        <v>9884</v>
      </c>
    </row>
    <row r="2356" spans="1:12" s="58" customFormat="1" ht="14.85" customHeight="1" x14ac:dyDescent="0.25">
      <c r="A2356" s="108" t="s">
        <v>9308</v>
      </c>
      <c r="B2356" s="115" t="s">
        <v>8939</v>
      </c>
      <c r="C2356" s="115" t="s">
        <v>9338</v>
      </c>
      <c r="D2356" s="109" t="s">
        <v>10973</v>
      </c>
      <c r="E2356" s="106" t="s">
        <v>10974</v>
      </c>
      <c r="F2356" s="109" t="s">
        <v>9884</v>
      </c>
      <c r="G2356" s="115" t="s">
        <v>9324</v>
      </c>
      <c r="H2356" s="115" t="s">
        <v>9323</v>
      </c>
      <c r="I2356" s="109" t="s">
        <v>10324</v>
      </c>
      <c r="J2356" s="239" t="s">
        <v>10325</v>
      </c>
      <c r="K2356" s="109" t="s">
        <v>9440</v>
      </c>
      <c r="L2356" s="109" t="s">
        <v>9884</v>
      </c>
    </row>
    <row r="2357" spans="1:12" s="58" customFormat="1" ht="14.85" customHeight="1" x14ac:dyDescent="0.25">
      <c r="A2357" s="108" t="s">
        <v>9308</v>
      </c>
      <c r="B2357" s="115" t="s">
        <v>8939</v>
      </c>
      <c r="C2357" s="115" t="s">
        <v>9338</v>
      </c>
      <c r="D2357" s="109" t="s">
        <v>10973</v>
      </c>
      <c r="E2357" s="106" t="s">
        <v>10974</v>
      </c>
      <c r="F2357" s="109" t="s">
        <v>9884</v>
      </c>
      <c r="G2357" s="115" t="s">
        <v>9324</v>
      </c>
      <c r="H2357" s="115" t="s">
        <v>9323</v>
      </c>
      <c r="I2357" s="109" t="s">
        <v>10326</v>
      </c>
      <c r="J2357" s="239" t="s">
        <v>10327</v>
      </c>
      <c r="K2357" s="109" t="s">
        <v>9440</v>
      </c>
      <c r="L2357" s="109" t="s">
        <v>9884</v>
      </c>
    </row>
    <row r="2358" spans="1:12" s="58" customFormat="1" ht="14.85" customHeight="1" x14ac:dyDescent="0.25">
      <c r="A2358" s="108" t="s">
        <v>9308</v>
      </c>
      <c r="B2358" s="115" t="s">
        <v>8939</v>
      </c>
      <c r="C2358" s="115" t="s">
        <v>9338</v>
      </c>
      <c r="D2358" s="109" t="s">
        <v>10973</v>
      </c>
      <c r="E2358" s="106" t="s">
        <v>10974</v>
      </c>
      <c r="F2358" s="109" t="s">
        <v>9884</v>
      </c>
      <c r="G2358" s="115" t="s">
        <v>9324</v>
      </c>
      <c r="H2358" s="115" t="s">
        <v>9323</v>
      </c>
      <c r="I2358" s="109" t="s">
        <v>10495</v>
      </c>
      <c r="J2358" s="239" t="s">
        <v>10496</v>
      </c>
      <c r="K2358" s="109" t="s">
        <v>9440</v>
      </c>
      <c r="L2358" s="109" t="s">
        <v>9884</v>
      </c>
    </row>
    <row r="2359" spans="1:12" s="58" customFormat="1" ht="14.85" customHeight="1" x14ac:dyDescent="0.25">
      <c r="A2359" s="108" t="s">
        <v>9308</v>
      </c>
      <c r="B2359" s="115" t="s">
        <v>8939</v>
      </c>
      <c r="C2359" s="115" t="s">
        <v>9338</v>
      </c>
      <c r="D2359" s="109" t="s">
        <v>10973</v>
      </c>
      <c r="E2359" s="106" t="s">
        <v>10974</v>
      </c>
      <c r="F2359" s="109" t="s">
        <v>9884</v>
      </c>
      <c r="G2359" s="115" t="s">
        <v>9324</v>
      </c>
      <c r="H2359" s="115" t="s">
        <v>9323</v>
      </c>
      <c r="I2359" s="109" t="s">
        <v>10497</v>
      </c>
      <c r="J2359" s="239" t="s">
        <v>10498</v>
      </c>
      <c r="K2359" s="109" t="s">
        <v>9440</v>
      </c>
      <c r="L2359" s="109" t="s">
        <v>9884</v>
      </c>
    </row>
    <row r="2360" spans="1:12" s="58" customFormat="1" ht="14.85" customHeight="1" x14ac:dyDescent="0.25">
      <c r="A2360" s="108" t="s">
        <v>9308</v>
      </c>
      <c r="B2360" s="115" t="s">
        <v>8939</v>
      </c>
      <c r="C2360" s="115" t="s">
        <v>9338</v>
      </c>
      <c r="D2360" s="109" t="s">
        <v>10973</v>
      </c>
      <c r="E2360" s="106" t="s">
        <v>10974</v>
      </c>
      <c r="F2360" s="109" t="s">
        <v>9884</v>
      </c>
      <c r="G2360" s="115" t="s">
        <v>9324</v>
      </c>
      <c r="H2360" s="115" t="s">
        <v>9323</v>
      </c>
      <c r="I2360" s="109" t="s">
        <v>10499</v>
      </c>
      <c r="J2360" s="239" t="s">
        <v>10500</v>
      </c>
      <c r="K2360" s="109" t="s">
        <v>9440</v>
      </c>
      <c r="L2360" s="109" t="s">
        <v>9884</v>
      </c>
    </row>
    <row r="2361" spans="1:12" s="58" customFormat="1" ht="14.85" customHeight="1" x14ac:dyDescent="0.25">
      <c r="A2361" s="108" t="s">
        <v>9308</v>
      </c>
      <c r="B2361" s="115" t="s">
        <v>8939</v>
      </c>
      <c r="C2361" s="115" t="s">
        <v>9338</v>
      </c>
      <c r="D2361" s="109" t="s">
        <v>10973</v>
      </c>
      <c r="E2361" s="106" t="s">
        <v>10974</v>
      </c>
      <c r="F2361" s="109" t="s">
        <v>9884</v>
      </c>
      <c r="G2361" s="115" t="s">
        <v>9324</v>
      </c>
      <c r="H2361" s="115" t="s">
        <v>9323</v>
      </c>
      <c r="I2361" s="109" t="s">
        <v>10822</v>
      </c>
      <c r="J2361" s="239" t="s">
        <v>10823</v>
      </c>
      <c r="K2361" s="109" t="s">
        <v>9440</v>
      </c>
      <c r="L2361" s="109" t="s">
        <v>9884</v>
      </c>
    </row>
    <row r="2362" spans="1:12" s="58" customFormat="1" ht="14.85" customHeight="1" x14ac:dyDescent="0.25">
      <c r="A2362" s="108" t="s">
        <v>9308</v>
      </c>
      <c r="B2362" s="115" t="s">
        <v>8939</v>
      </c>
      <c r="C2362" s="115" t="s">
        <v>9338</v>
      </c>
      <c r="D2362" s="109" t="s">
        <v>10973</v>
      </c>
      <c r="E2362" s="106" t="s">
        <v>10974</v>
      </c>
      <c r="F2362" s="109" t="s">
        <v>9884</v>
      </c>
      <c r="G2362" s="115" t="s">
        <v>9324</v>
      </c>
      <c r="H2362" s="115" t="s">
        <v>9323</v>
      </c>
      <c r="I2362" s="109" t="s">
        <v>10814</v>
      </c>
      <c r="J2362" s="239" t="s">
        <v>10815</v>
      </c>
      <c r="K2362" s="109" t="s">
        <v>9440</v>
      </c>
      <c r="L2362" s="109" t="s">
        <v>9884</v>
      </c>
    </row>
    <row r="2363" spans="1:12" s="58" customFormat="1" ht="14.85" customHeight="1" x14ac:dyDescent="0.25">
      <c r="A2363" s="108" t="s">
        <v>9308</v>
      </c>
      <c r="B2363" s="115" t="s">
        <v>8939</v>
      </c>
      <c r="C2363" s="115" t="s">
        <v>9338</v>
      </c>
      <c r="D2363" s="109" t="s">
        <v>10973</v>
      </c>
      <c r="E2363" s="106" t="s">
        <v>10974</v>
      </c>
      <c r="F2363" s="109" t="s">
        <v>9884</v>
      </c>
      <c r="G2363" s="115" t="s">
        <v>9324</v>
      </c>
      <c r="H2363" s="115" t="s">
        <v>9323</v>
      </c>
      <c r="I2363" s="109" t="s">
        <v>10803</v>
      </c>
      <c r="J2363" s="239" t="s">
        <v>10804</v>
      </c>
      <c r="K2363" s="109" t="s">
        <v>9440</v>
      </c>
      <c r="L2363" s="109" t="s">
        <v>9884</v>
      </c>
    </row>
    <row r="2364" spans="1:12" s="58" customFormat="1" ht="14.85" customHeight="1" x14ac:dyDescent="0.25">
      <c r="A2364" s="108" t="s">
        <v>9308</v>
      </c>
      <c r="B2364" s="115" t="s">
        <v>8939</v>
      </c>
      <c r="C2364" s="115" t="s">
        <v>9338</v>
      </c>
      <c r="D2364" s="109" t="s">
        <v>10973</v>
      </c>
      <c r="E2364" s="106" t="s">
        <v>10974</v>
      </c>
      <c r="F2364" s="109" t="s">
        <v>9884</v>
      </c>
      <c r="G2364" s="115" t="s">
        <v>9324</v>
      </c>
      <c r="H2364" s="115" t="s">
        <v>9323</v>
      </c>
      <c r="I2364" s="109" t="s">
        <v>10501</v>
      </c>
      <c r="J2364" s="239" t="s">
        <v>10502</v>
      </c>
      <c r="K2364" s="109" t="s">
        <v>9440</v>
      </c>
      <c r="L2364" s="109" t="s">
        <v>9884</v>
      </c>
    </row>
    <row r="2365" spans="1:12" s="58" customFormat="1" ht="14.85" customHeight="1" x14ac:dyDescent="0.25">
      <c r="A2365" s="108" t="s">
        <v>9308</v>
      </c>
      <c r="B2365" s="115" t="s">
        <v>8939</v>
      </c>
      <c r="C2365" s="115" t="s">
        <v>9338</v>
      </c>
      <c r="D2365" s="109" t="s">
        <v>10973</v>
      </c>
      <c r="E2365" s="106" t="s">
        <v>10974</v>
      </c>
      <c r="F2365" s="109" t="s">
        <v>9884</v>
      </c>
      <c r="G2365" s="115" t="s">
        <v>9324</v>
      </c>
      <c r="H2365" s="115" t="s">
        <v>9323</v>
      </c>
      <c r="I2365" s="109" t="s">
        <v>10503</v>
      </c>
      <c r="J2365" s="239" t="s">
        <v>10504</v>
      </c>
      <c r="K2365" s="109" t="s">
        <v>9440</v>
      </c>
      <c r="L2365" s="109" t="s">
        <v>9884</v>
      </c>
    </row>
    <row r="2366" spans="1:12" s="58" customFormat="1" ht="14.85" customHeight="1" x14ac:dyDescent="0.25">
      <c r="A2366" s="108" t="s">
        <v>9308</v>
      </c>
      <c r="B2366" s="115" t="s">
        <v>8939</v>
      </c>
      <c r="C2366" s="115" t="s">
        <v>9338</v>
      </c>
      <c r="D2366" s="109" t="s">
        <v>10973</v>
      </c>
      <c r="E2366" s="106" t="s">
        <v>10974</v>
      </c>
      <c r="F2366" s="109" t="s">
        <v>9884</v>
      </c>
      <c r="G2366" s="115" t="s">
        <v>9324</v>
      </c>
      <c r="H2366" s="115" t="s">
        <v>9323</v>
      </c>
      <c r="I2366" s="109" t="s">
        <v>10328</v>
      </c>
      <c r="J2366" s="239" t="s">
        <v>10329</v>
      </c>
      <c r="K2366" s="109" t="s">
        <v>9440</v>
      </c>
      <c r="L2366" s="109" t="s">
        <v>9884</v>
      </c>
    </row>
    <row r="2367" spans="1:12" s="58" customFormat="1" ht="14.85" customHeight="1" x14ac:dyDescent="0.25">
      <c r="A2367" s="108" t="s">
        <v>9308</v>
      </c>
      <c r="B2367" s="115" t="s">
        <v>8939</v>
      </c>
      <c r="C2367" s="115" t="s">
        <v>9338</v>
      </c>
      <c r="D2367" s="109" t="s">
        <v>10973</v>
      </c>
      <c r="E2367" s="106" t="s">
        <v>10974</v>
      </c>
      <c r="F2367" s="109" t="s">
        <v>9884</v>
      </c>
      <c r="G2367" s="115" t="s">
        <v>9324</v>
      </c>
      <c r="H2367" s="115" t="s">
        <v>9323</v>
      </c>
      <c r="I2367" s="109" t="s">
        <v>10824</v>
      </c>
      <c r="J2367" s="239" t="s">
        <v>10825</v>
      </c>
      <c r="K2367" s="109" t="s">
        <v>9440</v>
      </c>
      <c r="L2367" s="109" t="s">
        <v>9884</v>
      </c>
    </row>
    <row r="2368" spans="1:12" s="58" customFormat="1" ht="14.85" customHeight="1" x14ac:dyDescent="0.25">
      <c r="A2368" s="108" t="s">
        <v>9308</v>
      </c>
      <c r="B2368" s="115" t="s">
        <v>8939</v>
      </c>
      <c r="C2368" s="115" t="s">
        <v>9338</v>
      </c>
      <c r="D2368" s="109" t="s">
        <v>10973</v>
      </c>
      <c r="E2368" s="106" t="s">
        <v>10974</v>
      </c>
      <c r="F2368" s="109" t="s">
        <v>9884</v>
      </c>
      <c r="G2368" s="115" t="s">
        <v>9324</v>
      </c>
      <c r="H2368" s="115" t="s">
        <v>9323</v>
      </c>
      <c r="I2368" s="109" t="s">
        <v>10330</v>
      </c>
      <c r="J2368" s="239" t="s">
        <v>10331</v>
      </c>
      <c r="K2368" s="109" t="s">
        <v>9440</v>
      </c>
      <c r="L2368" s="109" t="s">
        <v>9884</v>
      </c>
    </row>
    <row r="2369" spans="1:12" s="58" customFormat="1" ht="14.85" customHeight="1" x14ac:dyDescent="0.25">
      <c r="A2369" s="108" t="s">
        <v>9308</v>
      </c>
      <c r="B2369" s="115" t="s">
        <v>8939</v>
      </c>
      <c r="C2369" s="115" t="s">
        <v>9338</v>
      </c>
      <c r="D2369" s="109" t="s">
        <v>10973</v>
      </c>
      <c r="E2369" s="106" t="s">
        <v>10974</v>
      </c>
      <c r="F2369" s="109" t="s">
        <v>9884</v>
      </c>
      <c r="G2369" s="115" t="s">
        <v>9324</v>
      </c>
      <c r="H2369" s="115" t="s">
        <v>9323</v>
      </c>
      <c r="I2369" s="109" t="s">
        <v>10332</v>
      </c>
      <c r="J2369" s="239" t="s">
        <v>10333</v>
      </c>
      <c r="K2369" s="109" t="s">
        <v>9440</v>
      </c>
      <c r="L2369" s="109" t="s">
        <v>9884</v>
      </c>
    </row>
    <row r="2370" spans="1:12" s="58" customFormat="1" ht="14.85" customHeight="1" x14ac:dyDescent="0.25">
      <c r="A2370" s="108" t="s">
        <v>9308</v>
      </c>
      <c r="B2370" s="115" t="s">
        <v>8939</v>
      </c>
      <c r="C2370" s="115" t="s">
        <v>9338</v>
      </c>
      <c r="D2370" s="109" t="s">
        <v>10973</v>
      </c>
      <c r="E2370" s="106" t="s">
        <v>10974</v>
      </c>
      <c r="F2370" s="109" t="s">
        <v>9884</v>
      </c>
      <c r="G2370" s="115" t="s">
        <v>9324</v>
      </c>
      <c r="H2370" s="115" t="s">
        <v>9323</v>
      </c>
      <c r="I2370" s="109" t="s">
        <v>10826</v>
      </c>
      <c r="J2370" s="239" t="s">
        <v>13352</v>
      </c>
      <c r="K2370" s="109" t="s">
        <v>9440</v>
      </c>
      <c r="L2370" s="109" t="s">
        <v>9884</v>
      </c>
    </row>
    <row r="2371" spans="1:12" s="58" customFormat="1" ht="14.85" customHeight="1" x14ac:dyDescent="0.25">
      <c r="A2371" s="108" t="s">
        <v>9308</v>
      </c>
      <c r="B2371" s="115" t="s">
        <v>8939</v>
      </c>
      <c r="C2371" s="115" t="s">
        <v>9338</v>
      </c>
      <c r="D2371" s="109" t="s">
        <v>10975</v>
      </c>
      <c r="E2371" s="106" t="s">
        <v>10976</v>
      </c>
      <c r="F2371" s="109" t="s">
        <v>9884</v>
      </c>
      <c r="G2371" s="115" t="s">
        <v>9324</v>
      </c>
      <c r="H2371" s="115" t="s">
        <v>9323</v>
      </c>
      <c r="I2371" s="109" t="s">
        <v>10372</v>
      </c>
      <c r="J2371" s="239" t="s">
        <v>10373</v>
      </c>
      <c r="K2371" s="109" t="s">
        <v>9440</v>
      </c>
      <c r="L2371" s="109" t="s">
        <v>9884</v>
      </c>
    </row>
    <row r="2372" spans="1:12" s="58" customFormat="1" ht="14.85" customHeight="1" x14ac:dyDescent="0.25">
      <c r="A2372" s="108" t="s">
        <v>9308</v>
      </c>
      <c r="B2372" s="115" t="s">
        <v>8939</v>
      </c>
      <c r="C2372" s="115" t="s">
        <v>9338</v>
      </c>
      <c r="D2372" s="109" t="s">
        <v>10975</v>
      </c>
      <c r="E2372" s="106" t="s">
        <v>10976</v>
      </c>
      <c r="F2372" s="109" t="s">
        <v>9884</v>
      </c>
      <c r="G2372" s="115" t="s">
        <v>9324</v>
      </c>
      <c r="H2372" s="115" t="s">
        <v>9323</v>
      </c>
      <c r="I2372" s="109" t="s">
        <v>10374</v>
      </c>
      <c r="J2372" s="239" t="s">
        <v>10375</v>
      </c>
      <c r="K2372" s="109" t="s">
        <v>9440</v>
      </c>
      <c r="L2372" s="109" t="s">
        <v>9884</v>
      </c>
    </row>
    <row r="2373" spans="1:12" s="58" customFormat="1" ht="14.85" customHeight="1" x14ac:dyDescent="0.25">
      <c r="A2373" s="108" t="s">
        <v>9308</v>
      </c>
      <c r="B2373" s="115" t="s">
        <v>8939</v>
      </c>
      <c r="C2373" s="115" t="s">
        <v>9338</v>
      </c>
      <c r="D2373" s="109" t="s">
        <v>10975</v>
      </c>
      <c r="E2373" s="106" t="s">
        <v>10976</v>
      </c>
      <c r="F2373" s="109" t="s">
        <v>9884</v>
      </c>
      <c r="G2373" s="115" t="s">
        <v>9324</v>
      </c>
      <c r="H2373" s="115" t="s">
        <v>9323</v>
      </c>
      <c r="I2373" s="109" t="s">
        <v>10376</v>
      </c>
      <c r="J2373" s="239" t="s">
        <v>10377</v>
      </c>
      <c r="K2373" s="109" t="s">
        <v>9440</v>
      </c>
      <c r="L2373" s="109" t="s">
        <v>9884</v>
      </c>
    </row>
    <row r="2374" spans="1:12" s="58" customFormat="1" ht="14.85" customHeight="1" x14ac:dyDescent="0.25">
      <c r="A2374" s="108" t="s">
        <v>9308</v>
      </c>
      <c r="B2374" s="115" t="s">
        <v>8939</v>
      </c>
      <c r="C2374" s="115" t="s">
        <v>9338</v>
      </c>
      <c r="D2374" s="109" t="s">
        <v>10975</v>
      </c>
      <c r="E2374" s="106" t="s">
        <v>10976</v>
      </c>
      <c r="F2374" s="109" t="s">
        <v>9884</v>
      </c>
      <c r="G2374" s="115" t="s">
        <v>9324</v>
      </c>
      <c r="H2374" s="115" t="s">
        <v>9323</v>
      </c>
      <c r="I2374" s="109" t="s">
        <v>10378</v>
      </c>
      <c r="J2374" s="239" t="s">
        <v>10379</v>
      </c>
      <c r="K2374" s="109" t="s">
        <v>9440</v>
      </c>
      <c r="L2374" s="109" t="s">
        <v>9884</v>
      </c>
    </row>
    <row r="2375" spans="1:12" s="58" customFormat="1" ht="14.85" customHeight="1" x14ac:dyDescent="0.25">
      <c r="A2375" s="108" t="s">
        <v>9308</v>
      </c>
      <c r="B2375" s="115" t="s">
        <v>8939</v>
      </c>
      <c r="C2375" s="115" t="s">
        <v>9338</v>
      </c>
      <c r="D2375" s="109" t="s">
        <v>10975</v>
      </c>
      <c r="E2375" s="106" t="s">
        <v>10976</v>
      </c>
      <c r="F2375" s="109" t="s">
        <v>9884</v>
      </c>
      <c r="G2375" s="115" t="s">
        <v>9324</v>
      </c>
      <c r="H2375" s="115" t="s">
        <v>9323</v>
      </c>
      <c r="I2375" s="109" t="s">
        <v>10380</v>
      </c>
      <c r="J2375" s="239" t="s">
        <v>10381</v>
      </c>
      <c r="K2375" s="109" t="s">
        <v>9440</v>
      </c>
      <c r="L2375" s="109" t="s">
        <v>9884</v>
      </c>
    </row>
    <row r="2376" spans="1:12" s="58" customFormat="1" ht="14.85" customHeight="1" x14ac:dyDescent="0.25">
      <c r="A2376" s="108" t="s">
        <v>9308</v>
      </c>
      <c r="B2376" s="115" t="s">
        <v>8939</v>
      </c>
      <c r="C2376" s="115" t="s">
        <v>9338</v>
      </c>
      <c r="D2376" s="109" t="s">
        <v>10975</v>
      </c>
      <c r="E2376" s="106" t="s">
        <v>10976</v>
      </c>
      <c r="F2376" s="109" t="s">
        <v>9884</v>
      </c>
      <c r="G2376" s="115" t="s">
        <v>9324</v>
      </c>
      <c r="H2376" s="115" t="s">
        <v>9323</v>
      </c>
      <c r="I2376" s="109" t="s">
        <v>10382</v>
      </c>
      <c r="J2376" s="239" t="s">
        <v>10383</v>
      </c>
      <c r="K2376" s="109" t="s">
        <v>9440</v>
      </c>
      <c r="L2376" s="109" t="s">
        <v>9884</v>
      </c>
    </row>
    <row r="2377" spans="1:12" s="58" customFormat="1" ht="14.85" customHeight="1" x14ac:dyDescent="0.25">
      <c r="A2377" s="108" t="s">
        <v>9308</v>
      </c>
      <c r="B2377" s="115" t="s">
        <v>8939</v>
      </c>
      <c r="C2377" s="115" t="s">
        <v>9338</v>
      </c>
      <c r="D2377" s="109" t="s">
        <v>10975</v>
      </c>
      <c r="E2377" s="106" t="s">
        <v>10976</v>
      </c>
      <c r="F2377" s="109" t="s">
        <v>9884</v>
      </c>
      <c r="G2377" s="115" t="s">
        <v>9324</v>
      </c>
      <c r="H2377" s="115" t="s">
        <v>9323</v>
      </c>
      <c r="I2377" s="109" t="s">
        <v>10384</v>
      </c>
      <c r="J2377" s="239" t="s">
        <v>10385</v>
      </c>
      <c r="K2377" s="109" t="s">
        <v>9440</v>
      </c>
      <c r="L2377" s="109" t="s">
        <v>9884</v>
      </c>
    </row>
    <row r="2378" spans="1:12" s="58" customFormat="1" ht="14.85" customHeight="1" x14ac:dyDescent="0.25">
      <c r="A2378" s="108" t="s">
        <v>9308</v>
      </c>
      <c r="B2378" s="115" t="s">
        <v>8939</v>
      </c>
      <c r="C2378" s="115" t="s">
        <v>9338</v>
      </c>
      <c r="D2378" s="109" t="s">
        <v>10975</v>
      </c>
      <c r="E2378" s="106" t="s">
        <v>10976</v>
      </c>
      <c r="F2378" s="109" t="s">
        <v>9884</v>
      </c>
      <c r="G2378" s="115" t="s">
        <v>9324</v>
      </c>
      <c r="H2378" s="115" t="s">
        <v>9323</v>
      </c>
      <c r="I2378" s="109" t="s">
        <v>10386</v>
      </c>
      <c r="J2378" s="239" t="s">
        <v>10387</v>
      </c>
      <c r="K2378" s="109" t="s">
        <v>9440</v>
      </c>
      <c r="L2378" s="109" t="s">
        <v>9884</v>
      </c>
    </row>
    <row r="2379" spans="1:12" s="58" customFormat="1" ht="14.85" customHeight="1" x14ac:dyDescent="0.25">
      <c r="A2379" s="108" t="s">
        <v>9308</v>
      </c>
      <c r="B2379" s="115" t="s">
        <v>8939</v>
      </c>
      <c r="C2379" s="115" t="s">
        <v>9338</v>
      </c>
      <c r="D2379" s="109" t="s">
        <v>10975</v>
      </c>
      <c r="E2379" s="106" t="s">
        <v>10976</v>
      </c>
      <c r="F2379" s="109" t="s">
        <v>9884</v>
      </c>
      <c r="G2379" s="115" t="s">
        <v>9324</v>
      </c>
      <c r="H2379" s="115" t="s">
        <v>9323</v>
      </c>
      <c r="I2379" s="109" t="s">
        <v>10388</v>
      </c>
      <c r="J2379" s="239" t="s">
        <v>10389</v>
      </c>
      <c r="K2379" s="109" t="s">
        <v>9440</v>
      </c>
      <c r="L2379" s="109" t="s">
        <v>9884</v>
      </c>
    </row>
    <row r="2380" spans="1:12" s="58" customFormat="1" ht="14.85" customHeight="1" x14ac:dyDescent="0.25">
      <c r="A2380" s="108" t="s">
        <v>9308</v>
      </c>
      <c r="B2380" s="115" t="s">
        <v>8939</v>
      </c>
      <c r="C2380" s="115" t="s">
        <v>9338</v>
      </c>
      <c r="D2380" s="109" t="s">
        <v>10975</v>
      </c>
      <c r="E2380" s="106" t="s">
        <v>10976</v>
      </c>
      <c r="F2380" s="109" t="s">
        <v>9884</v>
      </c>
      <c r="G2380" s="115" t="s">
        <v>9324</v>
      </c>
      <c r="H2380" s="115" t="s">
        <v>9323</v>
      </c>
      <c r="I2380" s="109">
        <v>2098</v>
      </c>
      <c r="J2380" s="239" t="s">
        <v>10391</v>
      </c>
      <c r="K2380" s="109" t="s">
        <v>9440</v>
      </c>
      <c r="L2380" s="109" t="s">
        <v>9884</v>
      </c>
    </row>
    <row r="2381" spans="1:12" s="58" customFormat="1" ht="14.85" customHeight="1" x14ac:dyDescent="0.25">
      <c r="A2381" s="108" t="s">
        <v>9308</v>
      </c>
      <c r="B2381" s="115" t="s">
        <v>8939</v>
      </c>
      <c r="C2381" s="115" t="s">
        <v>9338</v>
      </c>
      <c r="D2381" s="109" t="s">
        <v>10975</v>
      </c>
      <c r="E2381" s="106" t="s">
        <v>10976</v>
      </c>
      <c r="F2381" s="109" t="s">
        <v>9884</v>
      </c>
      <c r="G2381" s="115" t="s">
        <v>9324</v>
      </c>
      <c r="H2381" s="115" t="s">
        <v>9323</v>
      </c>
      <c r="I2381" s="109" t="s">
        <v>10434</v>
      </c>
      <c r="J2381" s="239" t="s">
        <v>10435</v>
      </c>
      <c r="K2381" s="109" t="s">
        <v>9440</v>
      </c>
      <c r="L2381" s="109" t="s">
        <v>9884</v>
      </c>
    </row>
    <row r="2382" spans="1:12" s="58" customFormat="1" ht="14.85" customHeight="1" x14ac:dyDescent="0.25">
      <c r="A2382" s="108" t="s">
        <v>9308</v>
      </c>
      <c r="B2382" s="115" t="s">
        <v>8939</v>
      </c>
      <c r="C2382" s="115" t="s">
        <v>9338</v>
      </c>
      <c r="D2382" s="109" t="s">
        <v>10975</v>
      </c>
      <c r="E2382" s="106" t="s">
        <v>10976</v>
      </c>
      <c r="F2382" s="109" t="s">
        <v>9884</v>
      </c>
      <c r="G2382" s="115" t="s">
        <v>9324</v>
      </c>
      <c r="H2382" s="115" t="s">
        <v>9323</v>
      </c>
      <c r="I2382" s="109" t="s">
        <v>10436</v>
      </c>
      <c r="J2382" s="239" t="s">
        <v>10437</v>
      </c>
      <c r="K2382" s="109" t="s">
        <v>9440</v>
      </c>
      <c r="L2382" s="109" t="s">
        <v>9884</v>
      </c>
    </row>
    <row r="2383" spans="1:12" s="58" customFormat="1" ht="14.85" customHeight="1" x14ac:dyDescent="0.25">
      <c r="A2383" s="108" t="s">
        <v>9308</v>
      </c>
      <c r="B2383" s="115" t="s">
        <v>8939</v>
      </c>
      <c r="C2383" s="115" t="s">
        <v>9338</v>
      </c>
      <c r="D2383" s="109" t="s">
        <v>10977</v>
      </c>
      <c r="E2383" s="106" t="s">
        <v>10978</v>
      </c>
      <c r="F2383" s="109" t="s">
        <v>9496</v>
      </c>
      <c r="G2383" s="115" t="s">
        <v>9324</v>
      </c>
      <c r="H2383" s="115" t="s">
        <v>9323</v>
      </c>
      <c r="I2383" s="109" t="s">
        <v>10919</v>
      </c>
      <c r="J2383" s="239" t="s">
        <v>10920</v>
      </c>
      <c r="K2383" s="109" t="s">
        <v>9440</v>
      </c>
      <c r="L2383" s="109" t="s">
        <v>9496</v>
      </c>
    </row>
    <row r="2384" spans="1:12" s="58" customFormat="1" ht="14.85" customHeight="1" x14ac:dyDescent="0.25">
      <c r="A2384" s="108" t="s">
        <v>9308</v>
      </c>
      <c r="B2384" s="115" t="s">
        <v>8939</v>
      </c>
      <c r="C2384" s="115" t="s">
        <v>9338</v>
      </c>
      <c r="D2384" s="109" t="s">
        <v>10979</v>
      </c>
      <c r="E2384" s="106" t="s">
        <v>10980</v>
      </c>
      <c r="F2384" s="109" t="s">
        <v>9496</v>
      </c>
      <c r="G2384" s="115" t="s">
        <v>9324</v>
      </c>
      <c r="H2384" s="115" t="s">
        <v>9323</v>
      </c>
      <c r="I2384" s="109" t="s">
        <v>10919</v>
      </c>
      <c r="J2384" s="239" t="s">
        <v>10920</v>
      </c>
      <c r="K2384" s="109" t="s">
        <v>9440</v>
      </c>
      <c r="L2384" s="109" t="s">
        <v>9496</v>
      </c>
    </row>
    <row r="2385" spans="1:12" s="58" customFormat="1" ht="14.85" customHeight="1" x14ac:dyDescent="0.25">
      <c r="A2385" s="108" t="s">
        <v>9308</v>
      </c>
      <c r="B2385" s="115" t="s">
        <v>8939</v>
      </c>
      <c r="C2385" s="115" t="s">
        <v>9338</v>
      </c>
      <c r="D2385" s="109" t="s">
        <v>10981</v>
      </c>
      <c r="E2385" s="106" t="s">
        <v>10982</v>
      </c>
      <c r="F2385" s="109" t="s">
        <v>9496</v>
      </c>
      <c r="G2385" s="115" t="s">
        <v>9324</v>
      </c>
      <c r="H2385" s="115" t="s">
        <v>9323</v>
      </c>
      <c r="I2385" s="109" t="s">
        <v>10567</v>
      </c>
      <c r="J2385" s="239" t="s">
        <v>10568</v>
      </c>
      <c r="K2385" s="109" t="s">
        <v>9440</v>
      </c>
      <c r="L2385" s="109" t="s">
        <v>9496</v>
      </c>
    </row>
    <row r="2386" spans="1:12" s="58" customFormat="1" ht="14.85" customHeight="1" x14ac:dyDescent="0.25">
      <c r="A2386" s="108" t="s">
        <v>9308</v>
      </c>
      <c r="B2386" s="115" t="s">
        <v>8939</v>
      </c>
      <c r="C2386" s="115" t="s">
        <v>9338</v>
      </c>
      <c r="D2386" s="109" t="s">
        <v>10981</v>
      </c>
      <c r="E2386" s="106" t="s">
        <v>10982</v>
      </c>
      <c r="F2386" s="109" t="s">
        <v>9496</v>
      </c>
      <c r="G2386" s="115" t="s">
        <v>9324</v>
      </c>
      <c r="H2386" s="115" t="s">
        <v>9323</v>
      </c>
      <c r="I2386" s="109" t="s">
        <v>10569</v>
      </c>
      <c r="J2386" s="239" t="s">
        <v>10570</v>
      </c>
      <c r="K2386" s="109" t="s">
        <v>9440</v>
      </c>
      <c r="L2386" s="109" t="s">
        <v>9496</v>
      </c>
    </row>
    <row r="2387" spans="1:12" s="58" customFormat="1" ht="14.85" customHeight="1" x14ac:dyDescent="0.25">
      <c r="A2387" s="108" t="s">
        <v>9308</v>
      </c>
      <c r="B2387" s="115" t="s">
        <v>8939</v>
      </c>
      <c r="C2387" s="115" t="s">
        <v>9338</v>
      </c>
      <c r="D2387" s="109" t="s">
        <v>10981</v>
      </c>
      <c r="E2387" s="106" t="s">
        <v>10982</v>
      </c>
      <c r="F2387" s="109" t="s">
        <v>9496</v>
      </c>
      <c r="G2387" s="115" t="s">
        <v>9324</v>
      </c>
      <c r="H2387" s="115" t="s">
        <v>9323</v>
      </c>
      <c r="I2387" s="109" t="s">
        <v>10571</v>
      </c>
      <c r="J2387" s="239" t="s">
        <v>10572</v>
      </c>
      <c r="K2387" s="109" t="s">
        <v>9440</v>
      </c>
      <c r="L2387" s="109" t="s">
        <v>9496</v>
      </c>
    </row>
    <row r="2388" spans="1:12" s="58" customFormat="1" ht="14.85" customHeight="1" x14ac:dyDescent="0.25">
      <c r="A2388" s="108" t="s">
        <v>9308</v>
      </c>
      <c r="B2388" s="115" t="s">
        <v>8939</v>
      </c>
      <c r="C2388" s="115" t="s">
        <v>9338</v>
      </c>
      <c r="D2388" s="109" t="s">
        <v>10981</v>
      </c>
      <c r="E2388" s="106" t="s">
        <v>10982</v>
      </c>
      <c r="F2388" s="109" t="s">
        <v>9496</v>
      </c>
      <c r="G2388" s="115" t="s">
        <v>9324</v>
      </c>
      <c r="H2388" s="115" t="s">
        <v>9323</v>
      </c>
      <c r="I2388" s="109" t="s">
        <v>10573</v>
      </c>
      <c r="J2388" s="239" t="s">
        <v>10574</v>
      </c>
      <c r="K2388" s="109" t="s">
        <v>9440</v>
      </c>
      <c r="L2388" s="109" t="s">
        <v>9496</v>
      </c>
    </row>
    <row r="2389" spans="1:12" s="58" customFormat="1" ht="14.85" customHeight="1" x14ac:dyDescent="0.25">
      <c r="A2389" s="108" t="s">
        <v>9308</v>
      </c>
      <c r="B2389" s="115" t="s">
        <v>8939</v>
      </c>
      <c r="C2389" s="115" t="s">
        <v>9338</v>
      </c>
      <c r="D2389" s="109" t="s">
        <v>10981</v>
      </c>
      <c r="E2389" s="106" t="s">
        <v>10982</v>
      </c>
      <c r="F2389" s="109" t="s">
        <v>9496</v>
      </c>
      <c r="G2389" s="115" t="s">
        <v>9324</v>
      </c>
      <c r="H2389" s="115" t="s">
        <v>9323</v>
      </c>
      <c r="I2389" s="109" t="s">
        <v>10597</v>
      </c>
      <c r="J2389" s="239" t="s">
        <v>10598</v>
      </c>
      <c r="K2389" s="109" t="s">
        <v>9440</v>
      </c>
      <c r="L2389" s="109" t="s">
        <v>9496</v>
      </c>
    </row>
    <row r="2390" spans="1:12" s="58" customFormat="1" ht="14.85" customHeight="1" x14ac:dyDescent="0.25">
      <c r="A2390" s="108" t="s">
        <v>9308</v>
      </c>
      <c r="B2390" s="115" t="s">
        <v>8939</v>
      </c>
      <c r="C2390" s="115" t="s">
        <v>9338</v>
      </c>
      <c r="D2390" s="109" t="s">
        <v>10981</v>
      </c>
      <c r="E2390" s="106" t="s">
        <v>10982</v>
      </c>
      <c r="F2390" s="109" t="s">
        <v>9496</v>
      </c>
      <c r="G2390" s="115" t="s">
        <v>9324</v>
      </c>
      <c r="H2390" s="115" t="s">
        <v>9323</v>
      </c>
      <c r="I2390" s="109" t="s">
        <v>10599</v>
      </c>
      <c r="J2390" s="239" t="s">
        <v>10600</v>
      </c>
      <c r="K2390" s="109" t="s">
        <v>9440</v>
      </c>
      <c r="L2390" s="109" t="s">
        <v>9496</v>
      </c>
    </row>
    <row r="2391" spans="1:12" s="58" customFormat="1" ht="14.85" customHeight="1" x14ac:dyDescent="0.25">
      <c r="A2391" s="108" t="s">
        <v>9308</v>
      </c>
      <c r="B2391" s="115" t="s">
        <v>8939</v>
      </c>
      <c r="C2391" s="115" t="s">
        <v>9338</v>
      </c>
      <c r="D2391" s="109" t="s">
        <v>10981</v>
      </c>
      <c r="E2391" s="106" t="s">
        <v>10982</v>
      </c>
      <c r="F2391" s="109" t="s">
        <v>9496</v>
      </c>
      <c r="G2391" s="115" t="s">
        <v>9324</v>
      </c>
      <c r="H2391" s="115" t="s">
        <v>9323</v>
      </c>
      <c r="I2391" s="109" t="s">
        <v>10575</v>
      </c>
      <c r="J2391" s="239" t="s">
        <v>10576</v>
      </c>
      <c r="K2391" s="109" t="s">
        <v>9440</v>
      </c>
      <c r="L2391" s="109" t="s">
        <v>9496</v>
      </c>
    </row>
    <row r="2392" spans="1:12" s="58" customFormat="1" ht="14.85" customHeight="1" x14ac:dyDescent="0.25">
      <c r="A2392" s="108" t="s">
        <v>9308</v>
      </c>
      <c r="B2392" s="115" t="s">
        <v>8939</v>
      </c>
      <c r="C2392" s="115" t="s">
        <v>9338</v>
      </c>
      <c r="D2392" s="109" t="s">
        <v>10981</v>
      </c>
      <c r="E2392" s="106" t="s">
        <v>10982</v>
      </c>
      <c r="F2392" s="109" t="s">
        <v>9496</v>
      </c>
      <c r="G2392" s="115" t="s">
        <v>9324</v>
      </c>
      <c r="H2392" s="115" t="s">
        <v>9323</v>
      </c>
      <c r="I2392" s="109" t="s">
        <v>10577</v>
      </c>
      <c r="J2392" s="239" t="s">
        <v>10578</v>
      </c>
      <c r="K2392" s="109" t="s">
        <v>9440</v>
      </c>
      <c r="L2392" s="109" t="s">
        <v>9496</v>
      </c>
    </row>
    <row r="2393" spans="1:12" s="58" customFormat="1" ht="14.85" customHeight="1" x14ac:dyDescent="0.25">
      <c r="A2393" s="108" t="s">
        <v>9308</v>
      </c>
      <c r="B2393" s="115" t="s">
        <v>8939</v>
      </c>
      <c r="C2393" s="115" t="s">
        <v>9338</v>
      </c>
      <c r="D2393" s="109" t="s">
        <v>10981</v>
      </c>
      <c r="E2393" s="106" t="s">
        <v>10982</v>
      </c>
      <c r="F2393" s="109" t="s">
        <v>9496</v>
      </c>
      <c r="G2393" s="115" t="s">
        <v>9324</v>
      </c>
      <c r="H2393" s="115" t="s">
        <v>9323</v>
      </c>
      <c r="I2393" s="109" t="s">
        <v>10601</v>
      </c>
      <c r="J2393" s="239" t="s">
        <v>10602</v>
      </c>
      <c r="K2393" s="109" t="s">
        <v>9440</v>
      </c>
      <c r="L2393" s="109" t="s">
        <v>9496</v>
      </c>
    </row>
    <row r="2394" spans="1:12" s="58" customFormat="1" ht="14.85" customHeight="1" x14ac:dyDescent="0.25">
      <c r="A2394" s="108" t="s">
        <v>9308</v>
      </c>
      <c r="B2394" s="115" t="s">
        <v>8939</v>
      </c>
      <c r="C2394" s="115" t="s">
        <v>9338</v>
      </c>
      <c r="D2394" s="109" t="s">
        <v>10981</v>
      </c>
      <c r="E2394" s="106" t="s">
        <v>10982</v>
      </c>
      <c r="F2394" s="109" t="s">
        <v>9496</v>
      </c>
      <c r="G2394" s="115" t="s">
        <v>9324</v>
      </c>
      <c r="H2394" s="115" t="s">
        <v>9323</v>
      </c>
      <c r="I2394" s="109" t="s">
        <v>10603</v>
      </c>
      <c r="J2394" s="239" t="s">
        <v>10604</v>
      </c>
      <c r="K2394" s="109" t="s">
        <v>9440</v>
      </c>
      <c r="L2394" s="109" t="s">
        <v>9496</v>
      </c>
    </row>
    <row r="2395" spans="1:12" s="58" customFormat="1" ht="14.85" customHeight="1" x14ac:dyDescent="0.25">
      <c r="A2395" s="108" t="s">
        <v>9308</v>
      </c>
      <c r="B2395" s="115" t="s">
        <v>8939</v>
      </c>
      <c r="C2395" s="115" t="s">
        <v>9338</v>
      </c>
      <c r="D2395" s="109" t="s">
        <v>10981</v>
      </c>
      <c r="E2395" s="106" t="s">
        <v>10982</v>
      </c>
      <c r="F2395" s="109" t="s">
        <v>9496</v>
      </c>
      <c r="G2395" s="115" t="s">
        <v>9324</v>
      </c>
      <c r="H2395" s="115" t="s">
        <v>9323</v>
      </c>
      <c r="I2395" s="109" t="s">
        <v>10579</v>
      </c>
      <c r="J2395" s="239" t="s">
        <v>10580</v>
      </c>
      <c r="K2395" s="109" t="s">
        <v>9440</v>
      </c>
      <c r="L2395" s="109" t="s">
        <v>9496</v>
      </c>
    </row>
    <row r="2396" spans="1:12" s="58" customFormat="1" ht="14.85" customHeight="1" x14ac:dyDescent="0.25">
      <c r="A2396" s="108" t="s">
        <v>9308</v>
      </c>
      <c r="B2396" s="115" t="s">
        <v>8939</v>
      </c>
      <c r="C2396" s="115" t="s">
        <v>9338</v>
      </c>
      <c r="D2396" s="109" t="s">
        <v>10981</v>
      </c>
      <c r="E2396" s="106" t="s">
        <v>10982</v>
      </c>
      <c r="F2396" s="109" t="s">
        <v>9496</v>
      </c>
      <c r="G2396" s="115" t="s">
        <v>9324</v>
      </c>
      <c r="H2396" s="115" t="s">
        <v>9323</v>
      </c>
      <c r="I2396" s="109" t="s">
        <v>10617</v>
      </c>
      <c r="J2396" s="239" t="s">
        <v>10618</v>
      </c>
      <c r="K2396" s="109" t="s">
        <v>9440</v>
      </c>
      <c r="L2396" s="109" t="s">
        <v>9496</v>
      </c>
    </row>
    <row r="2397" spans="1:12" s="58" customFormat="1" ht="14.85" customHeight="1" x14ac:dyDescent="0.25">
      <c r="A2397" s="108" t="s">
        <v>9308</v>
      </c>
      <c r="B2397" s="115" t="s">
        <v>8939</v>
      </c>
      <c r="C2397" s="115" t="s">
        <v>9338</v>
      </c>
      <c r="D2397" s="109" t="s">
        <v>10981</v>
      </c>
      <c r="E2397" s="106" t="s">
        <v>10982</v>
      </c>
      <c r="F2397" s="109" t="s">
        <v>9496</v>
      </c>
      <c r="G2397" s="115" t="s">
        <v>9324</v>
      </c>
      <c r="H2397" s="115" t="s">
        <v>9323</v>
      </c>
      <c r="I2397" s="109" t="s">
        <v>10581</v>
      </c>
      <c r="J2397" s="239" t="s">
        <v>10582</v>
      </c>
      <c r="K2397" s="109" t="s">
        <v>9440</v>
      </c>
      <c r="L2397" s="109" t="s">
        <v>9496</v>
      </c>
    </row>
    <row r="2398" spans="1:12" s="58" customFormat="1" ht="14.85" customHeight="1" x14ac:dyDescent="0.25">
      <c r="A2398" s="108" t="s">
        <v>9308</v>
      </c>
      <c r="B2398" s="115" t="s">
        <v>8939</v>
      </c>
      <c r="C2398" s="115" t="s">
        <v>9338</v>
      </c>
      <c r="D2398" s="109" t="s">
        <v>10981</v>
      </c>
      <c r="E2398" s="106" t="s">
        <v>10982</v>
      </c>
      <c r="F2398" s="109" t="s">
        <v>9496</v>
      </c>
      <c r="G2398" s="115" t="s">
        <v>9324</v>
      </c>
      <c r="H2398" s="115" t="s">
        <v>9323</v>
      </c>
      <c r="I2398" s="109" t="s">
        <v>10583</v>
      </c>
      <c r="J2398" s="239" t="s">
        <v>10584</v>
      </c>
      <c r="K2398" s="109" t="s">
        <v>9440</v>
      </c>
      <c r="L2398" s="109" t="s">
        <v>9496</v>
      </c>
    </row>
    <row r="2399" spans="1:12" s="58" customFormat="1" ht="14.85" customHeight="1" x14ac:dyDescent="0.25">
      <c r="A2399" s="108" t="s">
        <v>9308</v>
      </c>
      <c r="B2399" s="115" t="s">
        <v>8939</v>
      </c>
      <c r="C2399" s="115" t="s">
        <v>9338</v>
      </c>
      <c r="D2399" s="109" t="s">
        <v>10981</v>
      </c>
      <c r="E2399" s="106" t="s">
        <v>10982</v>
      </c>
      <c r="F2399" s="109" t="s">
        <v>9496</v>
      </c>
      <c r="G2399" s="115" t="s">
        <v>9324</v>
      </c>
      <c r="H2399" s="115" t="s">
        <v>9323</v>
      </c>
      <c r="I2399" s="109" t="s">
        <v>10585</v>
      </c>
      <c r="J2399" s="239" t="s">
        <v>10586</v>
      </c>
      <c r="K2399" s="109" t="s">
        <v>9440</v>
      </c>
      <c r="L2399" s="109" t="s">
        <v>9496</v>
      </c>
    </row>
    <row r="2400" spans="1:12" s="58" customFormat="1" ht="14.85" customHeight="1" x14ac:dyDescent="0.25">
      <c r="A2400" s="108" t="s">
        <v>9308</v>
      </c>
      <c r="B2400" s="115" t="s">
        <v>8939</v>
      </c>
      <c r="C2400" s="115" t="s">
        <v>9338</v>
      </c>
      <c r="D2400" s="109" t="s">
        <v>10981</v>
      </c>
      <c r="E2400" s="106" t="s">
        <v>10982</v>
      </c>
      <c r="F2400" s="109" t="s">
        <v>9496</v>
      </c>
      <c r="G2400" s="115" t="s">
        <v>9324</v>
      </c>
      <c r="H2400" s="115" t="s">
        <v>9323</v>
      </c>
      <c r="I2400" s="109" t="s">
        <v>10587</v>
      </c>
      <c r="J2400" s="239" t="s">
        <v>10588</v>
      </c>
      <c r="K2400" s="109" t="s">
        <v>9440</v>
      </c>
      <c r="L2400" s="109" t="s">
        <v>9496</v>
      </c>
    </row>
    <row r="2401" spans="1:12" s="58" customFormat="1" ht="14.85" customHeight="1" x14ac:dyDescent="0.25">
      <c r="A2401" s="108" t="s">
        <v>9308</v>
      </c>
      <c r="B2401" s="115" t="s">
        <v>8939</v>
      </c>
      <c r="C2401" s="115" t="s">
        <v>9338</v>
      </c>
      <c r="D2401" s="109" t="s">
        <v>10981</v>
      </c>
      <c r="E2401" s="106" t="s">
        <v>10982</v>
      </c>
      <c r="F2401" s="109" t="s">
        <v>9496</v>
      </c>
      <c r="G2401" s="115" t="s">
        <v>9324</v>
      </c>
      <c r="H2401" s="115" t="s">
        <v>9323</v>
      </c>
      <c r="I2401" s="109" t="s">
        <v>10589</v>
      </c>
      <c r="J2401" s="239" t="s">
        <v>10590</v>
      </c>
      <c r="K2401" s="109" t="s">
        <v>9440</v>
      </c>
      <c r="L2401" s="109" t="s">
        <v>9496</v>
      </c>
    </row>
    <row r="2402" spans="1:12" s="58" customFormat="1" ht="14.85" customHeight="1" x14ac:dyDescent="0.25">
      <c r="A2402" s="108" t="s">
        <v>9308</v>
      </c>
      <c r="B2402" s="115" t="s">
        <v>8939</v>
      </c>
      <c r="C2402" s="115" t="s">
        <v>9338</v>
      </c>
      <c r="D2402" s="109" t="s">
        <v>10981</v>
      </c>
      <c r="E2402" s="106" t="s">
        <v>10982</v>
      </c>
      <c r="F2402" s="109" t="s">
        <v>9496</v>
      </c>
      <c r="G2402" s="115" t="s">
        <v>9324</v>
      </c>
      <c r="H2402" s="115" t="s">
        <v>9323</v>
      </c>
      <c r="I2402" s="109" t="s">
        <v>10332</v>
      </c>
      <c r="J2402" s="239" t="s">
        <v>10333</v>
      </c>
      <c r="K2402" s="109" t="s">
        <v>9440</v>
      </c>
      <c r="L2402" s="109" t="s">
        <v>9496</v>
      </c>
    </row>
    <row r="2403" spans="1:12" s="58" customFormat="1" ht="14.85" customHeight="1" x14ac:dyDescent="0.25">
      <c r="A2403" s="108" t="s">
        <v>9308</v>
      </c>
      <c r="B2403" s="115" t="s">
        <v>8939</v>
      </c>
      <c r="C2403" s="115" t="s">
        <v>9338</v>
      </c>
      <c r="D2403" s="109" t="s">
        <v>10981</v>
      </c>
      <c r="E2403" s="106" t="s">
        <v>10982</v>
      </c>
      <c r="F2403" s="109" t="s">
        <v>9496</v>
      </c>
      <c r="G2403" s="115" t="s">
        <v>9324</v>
      </c>
      <c r="H2403" s="115" t="s">
        <v>9323</v>
      </c>
      <c r="I2403" s="109" t="s">
        <v>10703</v>
      </c>
      <c r="J2403" s="239" t="s">
        <v>10704</v>
      </c>
      <c r="K2403" s="109" t="s">
        <v>9440</v>
      </c>
      <c r="L2403" s="109" t="s">
        <v>9884</v>
      </c>
    </row>
    <row r="2404" spans="1:12" s="58" customFormat="1" ht="14.85" customHeight="1" x14ac:dyDescent="0.25">
      <c r="A2404" s="108" t="s">
        <v>9308</v>
      </c>
      <c r="B2404" s="115" t="s">
        <v>8939</v>
      </c>
      <c r="C2404" s="115" t="s">
        <v>9338</v>
      </c>
      <c r="D2404" s="109" t="s">
        <v>10981</v>
      </c>
      <c r="E2404" s="106" t="s">
        <v>10982</v>
      </c>
      <c r="F2404" s="109" t="s">
        <v>9496</v>
      </c>
      <c r="G2404" s="115" t="s">
        <v>9324</v>
      </c>
      <c r="H2404" s="115" t="s">
        <v>9323</v>
      </c>
      <c r="I2404" s="109" t="s">
        <v>10591</v>
      </c>
      <c r="J2404" s="239" t="s">
        <v>10592</v>
      </c>
      <c r="K2404" s="109" t="s">
        <v>9440</v>
      </c>
      <c r="L2404" s="109" t="s">
        <v>9496</v>
      </c>
    </row>
    <row r="2405" spans="1:12" s="58" customFormat="1" ht="14.85" customHeight="1" x14ac:dyDescent="0.25">
      <c r="A2405" s="108" t="s">
        <v>9308</v>
      </c>
      <c r="B2405" s="115" t="s">
        <v>8939</v>
      </c>
      <c r="C2405" s="115" t="s">
        <v>9338</v>
      </c>
      <c r="D2405" s="109" t="s">
        <v>10983</v>
      </c>
      <c r="E2405" s="106" t="s">
        <v>10984</v>
      </c>
      <c r="F2405" s="109" t="s">
        <v>9496</v>
      </c>
      <c r="G2405" s="115" t="s">
        <v>9324</v>
      </c>
      <c r="H2405" s="115" t="s">
        <v>9323</v>
      </c>
      <c r="I2405" s="109" t="s">
        <v>10226</v>
      </c>
      <c r="J2405" s="239" t="s">
        <v>10227</v>
      </c>
      <c r="K2405" s="109" t="s">
        <v>9440</v>
      </c>
      <c r="L2405" s="109" t="s">
        <v>9496</v>
      </c>
    </row>
    <row r="2406" spans="1:12" s="58" customFormat="1" ht="14.85" customHeight="1" x14ac:dyDescent="0.25">
      <c r="A2406" s="108" t="s">
        <v>9308</v>
      </c>
      <c r="B2406" s="115" t="s">
        <v>8939</v>
      </c>
      <c r="C2406" s="115" t="s">
        <v>9338</v>
      </c>
      <c r="D2406" s="109" t="s">
        <v>10983</v>
      </c>
      <c r="E2406" s="106" t="s">
        <v>10984</v>
      </c>
      <c r="F2406" s="109" t="s">
        <v>9496</v>
      </c>
      <c r="G2406" s="115" t="s">
        <v>9324</v>
      </c>
      <c r="H2406" s="115" t="s">
        <v>9323</v>
      </c>
      <c r="I2406" s="109" t="s">
        <v>10049</v>
      </c>
      <c r="J2406" s="239" t="s">
        <v>10050</v>
      </c>
      <c r="K2406" s="109" t="s">
        <v>9440</v>
      </c>
      <c r="L2406" s="109" t="s">
        <v>9496</v>
      </c>
    </row>
    <row r="2407" spans="1:12" s="58" customFormat="1" ht="14.85" customHeight="1" x14ac:dyDescent="0.25">
      <c r="A2407" s="108" t="s">
        <v>9308</v>
      </c>
      <c r="B2407" s="115" t="s">
        <v>8939</v>
      </c>
      <c r="C2407" s="115" t="s">
        <v>9338</v>
      </c>
      <c r="D2407" s="109" t="s">
        <v>10983</v>
      </c>
      <c r="E2407" s="106" t="s">
        <v>10984</v>
      </c>
      <c r="F2407" s="109" t="s">
        <v>9496</v>
      </c>
      <c r="G2407" s="115" t="s">
        <v>9324</v>
      </c>
      <c r="H2407" s="115" t="s">
        <v>9323</v>
      </c>
      <c r="I2407" s="109" t="s">
        <v>10051</v>
      </c>
      <c r="J2407" s="239" t="s">
        <v>10052</v>
      </c>
      <c r="K2407" s="109" t="s">
        <v>9440</v>
      </c>
      <c r="L2407" s="109" t="s">
        <v>9496</v>
      </c>
    </row>
    <row r="2408" spans="1:12" s="58" customFormat="1" ht="14.85" customHeight="1" x14ac:dyDescent="0.25">
      <c r="A2408" s="108" t="s">
        <v>9308</v>
      </c>
      <c r="B2408" s="115" t="s">
        <v>8939</v>
      </c>
      <c r="C2408" s="115" t="s">
        <v>9338</v>
      </c>
      <c r="D2408" s="109" t="s">
        <v>10983</v>
      </c>
      <c r="E2408" s="106" t="s">
        <v>10984</v>
      </c>
      <c r="F2408" s="109" t="s">
        <v>9496</v>
      </c>
      <c r="G2408" s="115" t="s">
        <v>9324</v>
      </c>
      <c r="H2408" s="115" t="s">
        <v>9323</v>
      </c>
      <c r="I2408" s="109" t="s">
        <v>10023</v>
      </c>
      <c r="J2408" s="239" t="s">
        <v>10024</v>
      </c>
      <c r="K2408" s="109" t="s">
        <v>9440</v>
      </c>
      <c r="L2408" s="109" t="s">
        <v>9496</v>
      </c>
    </row>
    <row r="2409" spans="1:12" s="58" customFormat="1" ht="14.85" customHeight="1" x14ac:dyDescent="0.25">
      <c r="A2409" s="108" t="s">
        <v>9308</v>
      </c>
      <c r="B2409" s="115" t="s">
        <v>8939</v>
      </c>
      <c r="C2409" s="115" t="s">
        <v>9338</v>
      </c>
      <c r="D2409" s="109" t="s">
        <v>10983</v>
      </c>
      <c r="E2409" s="106" t="s">
        <v>10984</v>
      </c>
      <c r="F2409" s="109" t="s">
        <v>9496</v>
      </c>
      <c r="G2409" s="115" t="s">
        <v>9324</v>
      </c>
      <c r="H2409" s="115" t="s">
        <v>9323</v>
      </c>
      <c r="I2409" s="109" t="s">
        <v>10053</v>
      </c>
      <c r="J2409" s="239" t="s">
        <v>10054</v>
      </c>
      <c r="K2409" s="109" t="s">
        <v>9440</v>
      </c>
      <c r="L2409" s="109" t="s">
        <v>9496</v>
      </c>
    </row>
    <row r="2410" spans="1:12" s="58" customFormat="1" ht="14.85" customHeight="1" x14ac:dyDescent="0.25">
      <c r="A2410" s="108" t="s">
        <v>9308</v>
      </c>
      <c r="B2410" s="115" t="s">
        <v>8939</v>
      </c>
      <c r="C2410" s="115" t="s">
        <v>9338</v>
      </c>
      <c r="D2410" s="109" t="s">
        <v>10983</v>
      </c>
      <c r="E2410" s="106" t="s">
        <v>10984</v>
      </c>
      <c r="F2410" s="109" t="s">
        <v>9496</v>
      </c>
      <c r="G2410" s="115" t="s">
        <v>9324</v>
      </c>
      <c r="H2410" s="115" t="s">
        <v>9323</v>
      </c>
      <c r="I2410" s="109" t="s">
        <v>10055</v>
      </c>
      <c r="J2410" s="239" t="s">
        <v>10056</v>
      </c>
      <c r="K2410" s="109" t="s">
        <v>9440</v>
      </c>
      <c r="L2410" s="109" t="s">
        <v>9496</v>
      </c>
    </row>
    <row r="2411" spans="1:12" s="58" customFormat="1" ht="14.85" customHeight="1" x14ac:dyDescent="0.25">
      <c r="A2411" s="108" t="s">
        <v>9308</v>
      </c>
      <c r="B2411" s="115" t="s">
        <v>8939</v>
      </c>
      <c r="C2411" s="115" t="s">
        <v>9338</v>
      </c>
      <c r="D2411" s="109" t="s">
        <v>10983</v>
      </c>
      <c r="E2411" s="106" t="s">
        <v>10984</v>
      </c>
      <c r="F2411" s="109" t="s">
        <v>9496</v>
      </c>
      <c r="G2411" s="115" t="s">
        <v>9324</v>
      </c>
      <c r="H2411" s="115" t="s">
        <v>9323</v>
      </c>
      <c r="I2411" s="109" t="s">
        <v>10057</v>
      </c>
      <c r="J2411" s="239" t="s">
        <v>10058</v>
      </c>
      <c r="K2411" s="109" t="s">
        <v>9440</v>
      </c>
      <c r="L2411" s="109" t="s">
        <v>9496</v>
      </c>
    </row>
    <row r="2412" spans="1:12" s="58" customFormat="1" ht="14.85" customHeight="1" x14ac:dyDescent="0.25">
      <c r="A2412" s="108" t="s">
        <v>9308</v>
      </c>
      <c r="B2412" s="115" t="s">
        <v>8939</v>
      </c>
      <c r="C2412" s="115" t="s">
        <v>9338</v>
      </c>
      <c r="D2412" s="109" t="s">
        <v>10983</v>
      </c>
      <c r="E2412" s="106" t="s">
        <v>10984</v>
      </c>
      <c r="F2412" s="109" t="s">
        <v>9496</v>
      </c>
      <c r="G2412" s="115" t="s">
        <v>9324</v>
      </c>
      <c r="H2412" s="115" t="s">
        <v>9323</v>
      </c>
      <c r="I2412" s="109" t="s">
        <v>10025</v>
      </c>
      <c r="J2412" s="239" t="s">
        <v>10026</v>
      </c>
      <c r="K2412" s="109" t="s">
        <v>9440</v>
      </c>
      <c r="L2412" s="109" t="s">
        <v>9496</v>
      </c>
    </row>
    <row r="2413" spans="1:12" s="58" customFormat="1" ht="14.85" customHeight="1" x14ac:dyDescent="0.25">
      <c r="A2413" s="108" t="s">
        <v>9308</v>
      </c>
      <c r="B2413" s="115" t="s">
        <v>8939</v>
      </c>
      <c r="C2413" s="115" t="s">
        <v>9338</v>
      </c>
      <c r="D2413" s="109" t="s">
        <v>10983</v>
      </c>
      <c r="E2413" s="106" t="s">
        <v>10984</v>
      </c>
      <c r="F2413" s="109" t="s">
        <v>9496</v>
      </c>
      <c r="G2413" s="115" t="s">
        <v>9324</v>
      </c>
      <c r="H2413" s="115" t="s">
        <v>9323</v>
      </c>
      <c r="I2413" s="109" t="s">
        <v>10059</v>
      </c>
      <c r="J2413" s="239" t="s">
        <v>10060</v>
      </c>
      <c r="K2413" s="109" t="s">
        <v>9440</v>
      </c>
      <c r="L2413" s="109" t="s">
        <v>9496</v>
      </c>
    </row>
    <row r="2414" spans="1:12" s="58" customFormat="1" ht="14.85" customHeight="1" x14ac:dyDescent="0.25">
      <c r="A2414" s="108" t="s">
        <v>9308</v>
      </c>
      <c r="B2414" s="115" t="s">
        <v>8939</v>
      </c>
      <c r="C2414" s="115" t="s">
        <v>9338</v>
      </c>
      <c r="D2414" s="109" t="s">
        <v>10983</v>
      </c>
      <c r="E2414" s="106" t="s">
        <v>10984</v>
      </c>
      <c r="F2414" s="109" t="s">
        <v>9496</v>
      </c>
      <c r="G2414" s="115" t="s">
        <v>9324</v>
      </c>
      <c r="H2414" s="115" t="s">
        <v>9323</v>
      </c>
      <c r="I2414" s="109" t="s">
        <v>10061</v>
      </c>
      <c r="J2414" s="239" t="s">
        <v>10062</v>
      </c>
      <c r="K2414" s="109" t="s">
        <v>9440</v>
      </c>
      <c r="L2414" s="109" t="s">
        <v>9496</v>
      </c>
    </row>
    <row r="2415" spans="1:12" s="58" customFormat="1" ht="14.85" customHeight="1" x14ac:dyDescent="0.25">
      <c r="A2415" s="108" t="s">
        <v>9308</v>
      </c>
      <c r="B2415" s="115" t="s">
        <v>8939</v>
      </c>
      <c r="C2415" s="115" t="s">
        <v>9338</v>
      </c>
      <c r="D2415" s="109" t="s">
        <v>10983</v>
      </c>
      <c r="E2415" s="106" t="s">
        <v>10984</v>
      </c>
      <c r="F2415" s="109" t="s">
        <v>9496</v>
      </c>
      <c r="G2415" s="115" t="s">
        <v>9324</v>
      </c>
      <c r="H2415" s="115" t="s">
        <v>9323</v>
      </c>
      <c r="I2415" s="109" t="s">
        <v>10027</v>
      </c>
      <c r="J2415" s="239" t="s">
        <v>10028</v>
      </c>
      <c r="K2415" s="109" t="s">
        <v>9440</v>
      </c>
      <c r="L2415" s="109" t="s">
        <v>9496</v>
      </c>
    </row>
    <row r="2416" spans="1:12" s="58" customFormat="1" ht="14.85" customHeight="1" x14ac:dyDescent="0.25">
      <c r="A2416" s="108" t="s">
        <v>9308</v>
      </c>
      <c r="B2416" s="115" t="s">
        <v>8939</v>
      </c>
      <c r="C2416" s="115" t="s">
        <v>9338</v>
      </c>
      <c r="D2416" s="109" t="s">
        <v>10985</v>
      </c>
      <c r="E2416" s="106" t="s">
        <v>10986</v>
      </c>
      <c r="F2416" s="109" t="s">
        <v>9496</v>
      </c>
      <c r="G2416" s="115" t="s">
        <v>9324</v>
      </c>
      <c r="H2416" s="115" t="s">
        <v>9323</v>
      </c>
      <c r="I2416" s="109" t="s">
        <v>10857</v>
      </c>
      <c r="J2416" s="239" t="s">
        <v>10858</v>
      </c>
      <c r="K2416" s="109" t="s">
        <v>9440</v>
      </c>
      <c r="L2416" s="109" t="s">
        <v>9496</v>
      </c>
    </row>
    <row r="2417" spans="1:12" s="58" customFormat="1" ht="14.85" customHeight="1" x14ac:dyDescent="0.25">
      <c r="A2417" s="108" t="s">
        <v>9308</v>
      </c>
      <c r="B2417" s="115" t="s">
        <v>8939</v>
      </c>
      <c r="C2417" s="115" t="s">
        <v>9338</v>
      </c>
      <c r="D2417" s="109" t="s">
        <v>10985</v>
      </c>
      <c r="E2417" s="106" t="s">
        <v>10986</v>
      </c>
      <c r="F2417" s="109" t="s">
        <v>9496</v>
      </c>
      <c r="G2417" s="115" t="s">
        <v>9324</v>
      </c>
      <c r="H2417" s="115" t="s">
        <v>9323</v>
      </c>
      <c r="I2417" s="109" t="s">
        <v>10894</v>
      </c>
      <c r="J2417" s="239" t="s">
        <v>10895</v>
      </c>
      <c r="K2417" s="109" t="s">
        <v>9440</v>
      </c>
      <c r="L2417" s="109" t="s">
        <v>9496</v>
      </c>
    </row>
    <row r="2418" spans="1:12" s="58" customFormat="1" ht="14.85" customHeight="1" x14ac:dyDescent="0.25">
      <c r="A2418" s="108" t="s">
        <v>9308</v>
      </c>
      <c r="B2418" s="115" t="s">
        <v>8939</v>
      </c>
      <c r="C2418" s="115" t="s">
        <v>9338</v>
      </c>
      <c r="D2418" s="109" t="s">
        <v>10985</v>
      </c>
      <c r="E2418" s="106" t="s">
        <v>10986</v>
      </c>
      <c r="F2418" s="109" t="s">
        <v>9496</v>
      </c>
      <c r="G2418" s="115" t="s">
        <v>9324</v>
      </c>
      <c r="H2418" s="115" t="s">
        <v>9323</v>
      </c>
      <c r="I2418" s="109">
        <v>6131</v>
      </c>
      <c r="J2418" s="239" t="s">
        <v>10899</v>
      </c>
      <c r="K2418" s="109" t="s">
        <v>9440</v>
      </c>
      <c r="L2418" s="109" t="s">
        <v>9496</v>
      </c>
    </row>
    <row r="2419" spans="1:12" s="58" customFormat="1" ht="14.85" customHeight="1" x14ac:dyDescent="0.25">
      <c r="A2419" s="108" t="s">
        <v>9308</v>
      </c>
      <c r="B2419" s="115" t="s">
        <v>8939</v>
      </c>
      <c r="C2419" s="115" t="s">
        <v>9338</v>
      </c>
      <c r="D2419" s="109" t="s">
        <v>10985</v>
      </c>
      <c r="E2419" s="106" t="s">
        <v>10986</v>
      </c>
      <c r="F2419" s="109" t="s">
        <v>9496</v>
      </c>
      <c r="G2419" s="115" t="s">
        <v>9324</v>
      </c>
      <c r="H2419" s="115" t="s">
        <v>9323</v>
      </c>
      <c r="I2419" s="109">
        <v>6132</v>
      </c>
      <c r="J2419" s="239" t="s">
        <v>10901</v>
      </c>
      <c r="K2419" s="109" t="s">
        <v>9440</v>
      </c>
      <c r="L2419" s="109" t="s">
        <v>9496</v>
      </c>
    </row>
    <row r="2420" spans="1:12" s="58" customFormat="1" ht="14.85" customHeight="1" x14ac:dyDescent="0.25">
      <c r="A2420" s="108" t="s">
        <v>9308</v>
      </c>
      <c r="B2420" s="115" t="s">
        <v>8939</v>
      </c>
      <c r="C2420" s="115" t="s">
        <v>9338</v>
      </c>
      <c r="D2420" s="109" t="s">
        <v>10985</v>
      </c>
      <c r="E2420" s="106" t="s">
        <v>10986</v>
      </c>
      <c r="F2420" s="109" t="s">
        <v>9496</v>
      </c>
      <c r="G2420" s="115" t="s">
        <v>9324</v>
      </c>
      <c r="H2420" s="115" t="s">
        <v>9323</v>
      </c>
      <c r="I2420" s="109" t="s">
        <v>10033</v>
      </c>
      <c r="J2420" s="239" t="s">
        <v>10034</v>
      </c>
      <c r="K2420" s="109" t="s">
        <v>9440</v>
      </c>
      <c r="L2420" s="109" t="s">
        <v>9496</v>
      </c>
    </row>
    <row r="2421" spans="1:12" s="58" customFormat="1" ht="14.85" customHeight="1" x14ac:dyDescent="0.25">
      <c r="A2421" s="108" t="s">
        <v>9308</v>
      </c>
      <c r="B2421" s="115" t="s">
        <v>8939</v>
      </c>
      <c r="C2421" s="115" t="s">
        <v>9338</v>
      </c>
      <c r="D2421" s="109" t="s">
        <v>10985</v>
      </c>
      <c r="E2421" s="106" t="s">
        <v>10986</v>
      </c>
      <c r="F2421" s="109" t="s">
        <v>9496</v>
      </c>
      <c r="G2421" s="115" t="s">
        <v>9324</v>
      </c>
      <c r="H2421" s="115" t="s">
        <v>9323</v>
      </c>
      <c r="I2421" s="109" t="s">
        <v>10035</v>
      </c>
      <c r="J2421" s="239" t="s">
        <v>10036</v>
      </c>
      <c r="K2421" s="109" t="s">
        <v>9440</v>
      </c>
      <c r="L2421" s="109" t="s">
        <v>9496</v>
      </c>
    </row>
    <row r="2422" spans="1:12" s="58" customFormat="1" ht="14.85" customHeight="1" x14ac:dyDescent="0.25">
      <c r="A2422" s="108" t="s">
        <v>9308</v>
      </c>
      <c r="B2422" s="115" t="s">
        <v>8939</v>
      </c>
      <c r="C2422" s="115" t="s">
        <v>9338</v>
      </c>
      <c r="D2422" s="109" t="s">
        <v>10985</v>
      </c>
      <c r="E2422" s="106" t="s">
        <v>10986</v>
      </c>
      <c r="F2422" s="109" t="s">
        <v>9496</v>
      </c>
      <c r="G2422" s="115" t="s">
        <v>9324</v>
      </c>
      <c r="H2422" s="115" t="s">
        <v>9323</v>
      </c>
      <c r="I2422" s="109" t="s">
        <v>10037</v>
      </c>
      <c r="J2422" s="239" t="s">
        <v>10038</v>
      </c>
      <c r="K2422" s="109" t="s">
        <v>9440</v>
      </c>
      <c r="L2422" s="109" t="s">
        <v>9496</v>
      </c>
    </row>
    <row r="2423" spans="1:12" s="58" customFormat="1" ht="14.85" customHeight="1" x14ac:dyDescent="0.25">
      <c r="A2423" s="108" t="s">
        <v>9308</v>
      </c>
      <c r="B2423" s="115" t="s">
        <v>8939</v>
      </c>
      <c r="C2423" s="115" t="s">
        <v>9338</v>
      </c>
      <c r="D2423" s="109" t="s">
        <v>10985</v>
      </c>
      <c r="E2423" s="106" t="s">
        <v>10986</v>
      </c>
      <c r="F2423" s="109" t="s">
        <v>9496</v>
      </c>
      <c r="G2423" s="115" t="s">
        <v>9324</v>
      </c>
      <c r="H2423" s="115" t="s">
        <v>9323</v>
      </c>
      <c r="I2423" s="109">
        <v>6155</v>
      </c>
      <c r="J2423" s="239" t="s">
        <v>10077</v>
      </c>
      <c r="K2423" s="109" t="s">
        <v>9440</v>
      </c>
      <c r="L2423" s="109" t="s">
        <v>9496</v>
      </c>
    </row>
    <row r="2424" spans="1:12" s="58" customFormat="1" ht="14.85" customHeight="1" x14ac:dyDescent="0.25">
      <c r="A2424" s="108" t="s">
        <v>9308</v>
      </c>
      <c r="B2424" s="115" t="s">
        <v>8939</v>
      </c>
      <c r="C2424" s="115" t="s">
        <v>9338</v>
      </c>
      <c r="D2424" s="109" t="s">
        <v>10985</v>
      </c>
      <c r="E2424" s="106" t="s">
        <v>10986</v>
      </c>
      <c r="F2424" s="109" t="s">
        <v>9496</v>
      </c>
      <c r="G2424" s="115" t="s">
        <v>9324</v>
      </c>
      <c r="H2424" s="115" t="s">
        <v>9323</v>
      </c>
      <c r="I2424" s="109" t="s">
        <v>10039</v>
      </c>
      <c r="J2424" s="239" t="s">
        <v>10040</v>
      </c>
      <c r="K2424" s="109" t="s">
        <v>9440</v>
      </c>
      <c r="L2424" s="109" t="s">
        <v>9496</v>
      </c>
    </row>
    <row r="2425" spans="1:12" s="58" customFormat="1" ht="14.85" customHeight="1" x14ac:dyDescent="0.25">
      <c r="A2425" s="108" t="s">
        <v>9308</v>
      </c>
      <c r="B2425" s="115" t="s">
        <v>8939</v>
      </c>
      <c r="C2425" s="115" t="s">
        <v>9338</v>
      </c>
      <c r="D2425" s="109" t="s">
        <v>10985</v>
      </c>
      <c r="E2425" s="106" t="s">
        <v>10986</v>
      </c>
      <c r="F2425" s="109" t="s">
        <v>9496</v>
      </c>
      <c r="G2425" s="115" t="s">
        <v>9324</v>
      </c>
      <c r="H2425" s="115" t="s">
        <v>9323</v>
      </c>
      <c r="I2425" s="109" t="s">
        <v>10041</v>
      </c>
      <c r="J2425" s="239" t="s">
        <v>10042</v>
      </c>
      <c r="K2425" s="109" t="s">
        <v>9440</v>
      </c>
      <c r="L2425" s="109" t="s">
        <v>9496</v>
      </c>
    </row>
    <row r="2426" spans="1:12" s="58" customFormat="1" ht="14.85" customHeight="1" x14ac:dyDescent="0.25">
      <c r="A2426" s="108" t="s">
        <v>9308</v>
      </c>
      <c r="B2426" s="115" t="s">
        <v>8939</v>
      </c>
      <c r="C2426" s="115" t="s">
        <v>9338</v>
      </c>
      <c r="D2426" s="109" t="s">
        <v>10985</v>
      </c>
      <c r="E2426" s="106" t="s">
        <v>10986</v>
      </c>
      <c r="F2426" s="109" t="s">
        <v>9496</v>
      </c>
      <c r="G2426" s="115" t="s">
        <v>9324</v>
      </c>
      <c r="H2426" s="115" t="s">
        <v>9323</v>
      </c>
      <c r="I2426" s="109" t="s">
        <v>10043</v>
      </c>
      <c r="J2426" s="239" t="s">
        <v>10044</v>
      </c>
      <c r="K2426" s="109" t="s">
        <v>9440</v>
      </c>
      <c r="L2426" s="109" t="s">
        <v>9496</v>
      </c>
    </row>
    <row r="2427" spans="1:12" s="58" customFormat="1" ht="14.85" customHeight="1" x14ac:dyDescent="0.25">
      <c r="A2427" s="108" t="s">
        <v>9308</v>
      </c>
      <c r="B2427" s="115" t="s">
        <v>8939</v>
      </c>
      <c r="C2427" s="115" t="s">
        <v>9338</v>
      </c>
      <c r="D2427" s="109" t="s">
        <v>10985</v>
      </c>
      <c r="E2427" s="106" t="s">
        <v>10986</v>
      </c>
      <c r="F2427" s="109" t="s">
        <v>9496</v>
      </c>
      <c r="G2427" s="115" t="s">
        <v>9324</v>
      </c>
      <c r="H2427" s="115" t="s">
        <v>9323</v>
      </c>
      <c r="I2427" s="109" t="s">
        <v>10148</v>
      </c>
      <c r="J2427" s="239" t="s">
        <v>10149</v>
      </c>
      <c r="K2427" s="109" t="s">
        <v>9440</v>
      </c>
      <c r="L2427" s="109" t="s">
        <v>9496</v>
      </c>
    </row>
    <row r="2428" spans="1:12" s="58" customFormat="1" ht="14.85" customHeight="1" x14ac:dyDescent="0.25">
      <c r="A2428" s="108" t="s">
        <v>9308</v>
      </c>
      <c r="B2428" s="115" t="s">
        <v>8939</v>
      </c>
      <c r="C2428" s="115" t="s">
        <v>9338</v>
      </c>
      <c r="D2428" s="109" t="s">
        <v>10985</v>
      </c>
      <c r="E2428" s="106" t="s">
        <v>10986</v>
      </c>
      <c r="F2428" s="109" t="s">
        <v>9496</v>
      </c>
      <c r="G2428" s="115" t="s">
        <v>9324</v>
      </c>
      <c r="H2428" s="115" t="s">
        <v>9323</v>
      </c>
      <c r="I2428" s="109" t="s">
        <v>10168</v>
      </c>
      <c r="J2428" s="239" t="s">
        <v>10169</v>
      </c>
      <c r="K2428" s="109" t="s">
        <v>9440</v>
      </c>
      <c r="L2428" s="109" t="s">
        <v>9496</v>
      </c>
    </row>
    <row r="2429" spans="1:12" s="58" customFormat="1" ht="14.85" customHeight="1" x14ac:dyDescent="0.25">
      <c r="A2429" s="108" t="s">
        <v>9308</v>
      </c>
      <c r="B2429" s="115" t="s">
        <v>8939</v>
      </c>
      <c r="C2429" s="115" t="s">
        <v>9338</v>
      </c>
      <c r="D2429" s="109" t="s">
        <v>10985</v>
      </c>
      <c r="E2429" s="106" t="s">
        <v>10986</v>
      </c>
      <c r="F2429" s="109" t="s">
        <v>9496</v>
      </c>
      <c r="G2429" s="115" t="s">
        <v>9324</v>
      </c>
      <c r="H2429" s="115" t="s">
        <v>9323</v>
      </c>
      <c r="I2429" s="109" t="s">
        <v>10170</v>
      </c>
      <c r="J2429" s="239" t="s">
        <v>10171</v>
      </c>
      <c r="K2429" s="109" t="s">
        <v>9440</v>
      </c>
      <c r="L2429" s="109" t="s">
        <v>9496</v>
      </c>
    </row>
    <row r="2430" spans="1:12" s="58" customFormat="1" ht="14.85" customHeight="1" x14ac:dyDescent="0.25">
      <c r="A2430" s="108" t="s">
        <v>9308</v>
      </c>
      <c r="B2430" s="115" t="s">
        <v>8939</v>
      </c>
      <c r="C2430" s="115" t="s">
        <v>9338</v>
      </c>
      <c r="D2430" s="109" t="s">
        <v>10985</v>
      </c>
      <c r="E2430" s="106" t="s">
        <v>10986</v>
      </c>
      <c r="F2430" s="109" t="s">
        <v>9496</v>
      </c>
      <c r="G2430" s="115" t="s">
        <v>9324</v>
      </c>
      <c r="H2430" s="115" t="s">
        <v>9323</v>
      </c>
      <c r="I2430" s="109" t="s">
        <v>10172</v>
      </c>
      <c r="J2430" s="239" t="s">
        <v>10173</v>
      </c>
      <c r="K2430" s="109" t="s">
        <v>9440</v>
      </c>
      <c r="L2430" s="109" t="s">
        <v>9496</v>
      </c>
    </row>
    <row r="2431" spans="1:12" s="58" customFormat="1" ht="14.85" customHeight="1" x14ac:dyDescent="0.25">
      <c r="A2431" s="108" t="s">
        <v>9308</v>
      </c>
      <c r="B2431" s="115" t="s">
        <v>8939</v>
      </c>
      <c r="C2431" s="115" t="s">
        <v>9338</v>
      </c>
      <c r="D2431" s="109" t="s">
        <v>10985</v>
      </c>
      <c r="E2431" s="106" t="s">
        <v>10986</v>
      </c>
      <c r="F2431" s="109" t="s">
        <v>9496</v>
      </c>
      <c r="G2431" s="115" t="s">
        <v>9324</v>
      </c>
      <c r="H2431" s="115" t="s">
        <v>9323</v>
      </c>
      <c r="I2431" s="109" t="s">
        <v>10174</v>
      </c>
      <c r="J2431" s="239" t="s">
        <v>10175</v>
      </c>
      <c r="K2431" s="109" t="s">
        <v>9440</v>
      </c>
      <c r="L2431" s="109" t="s">
        <v>9496</v>
      </c>
    </row>
    <row r="2432" spans="1:12" s="58" customFormat="1" ht="14.85" customHeight="1" x14ac:dyDescent="0.25">
      <c r="A2432" s="108" t="s">
        <v>9308</v>
      </c>
      <c r="B2432" s="115" t="s">
        <v>8939</v>
      </c>
      <c r="C2432" s="115" t="s">
        <v>9338</v>
      </c>
      <c r="D2432" s="109" t="s">
        <v>10985</v>
      </c>
      <c r="E2432" s="106" t="s">
        <v>10986</v>
      </c>
      <c r="F2432" s="109" t="s">
        <v>9496</v>
      </c>
      <c r="G2432" s="115" t="s">
        <v>9324</v>
      </c>
      <c r="H2432" s="115" t="s">
        <v>9323</v>
      </c>
      <c r="I2432" s="109" t="s">
        <v>10045</v>
      </c>
      <c r="J2432" s="239" t="s">
        <v>10046</v>
      </c>
      <c r="K2432" s="109" t="s">
        <v>9440</v>
      </c>
      <c r="L2432" s="109" t="s">
        <v>9496</v>
      </c>
    </row>
    <row r="2433" spans="1:12" s="58" customFormat="1" ht="14.85" customHeight="1" x14ac:dyDescent="0.25">
      <c r="A2433" s="108" t="s">
        <v>9308</v>
      </c>
      <c r="B2433" s="115" t="s">
        <v>8939</v>
      </c>
      <c r="C2433" s="115" t="s">
        <v>9338</v>
      </c>
      <c r="D2433" s="109" t="s">
        <v>10985</v>
      </c>
      <c r="E2433" s="106" t="s">
        <v>10986</v>
      </c>
      <c r="F2433" s="109" t="s">
        <v>9496</v>
      </c>
      <c r="G2433" s="115" t="s">
        <v>9324</v>
      </c>
      <c r="H2433" s="115" t="s">
        <v>9323</v>
      </c>
      <c r="I2433" s="109" t="s">
        <v>10859</v>
      </c>
      <c r="J2433" s="239" t="s">
        <v>10860</v>
      </c>
      <c r="K2433" s="109" t="s">
        <v>9440</v>
      </c>
      <c r="L2433" s="109" t="s">
        <v>9496</v>
      </c>
    </row>
    <row r="2434" spans="1:12" s="58" customFormat="1" ht="14.85" customHeight="1" x14ac:dyDescent="0.25">
      <c r="A2434" s="108" t="s">
        <v>9308</v>
      </c>
      <c r="B2434" s="115" t="s">
        <v>8939</v>
      </c>
      <c r="C2434" s="115" t="s">
        <v>9338</v>
      </c>
      <c r="D2434" s="109" t="s">
        <v>10985</v>
      </c>
      <c r="E2434" s="106" t="s">
        <v>10986</v>
      </c>
      <c r="F2434" s="109" t="s">
        <v>9496</v>
      </c>
      <c r="G2434" s="115" t="s">
        <v>9324</v>
      </c>
      <c r="H2434" s="115" t="s">
        <v>9323</v>
      </c>
      <c r="I2434" s="109" t="s">
        <v>10150</v>
      </c>
      <c r="J2434" s="239" t="s">
        <v>10151</v>
      </c>
      <c r="K2434" s="109" t="s">
        <v>9440</v>
      </c>
      <c r="L2434" s="109" t="s">
        <v>9496</v>
      </c>
    </row>
    <row r="2435" spans="1:12" s="58" customFormat="1" ht="14.85" customHeight="1" x14ac:dyDescent="0.25">
      <c r="A2435" s="108" t="s">
        <v>9308</v>
      </c>
      <c r="B2435" s="115" t="s">
        <v>8939</v>
      </c>
      <c r="C2435" s="115" t="s">
        <v>9338</v>
      </c>
      <c r="D2435" s="109" t="s">
        <v>10985</v>
      </c>
      <c r="E2435" s="106" t="s">
        <v>10986</v>
      </c>
      <c r="F2435" s="109" t="s">
        <v>9496</v>
      </c>
      <c r="G2435" s="115" t="s">
        <v>9324</v>
      </c>
      <c r="H2435" s="115" t="s">
        <v>9323</v>
      </c>
      <c r="I2435" s="109" t="s">
        <v>10162</v>
      </c>
      <c r="J2435" s="239" t="s">
        <v>10163</v>
      </c>
      <c r="K2435" s="109" t="s">
        <v>9440</v>
      </c>
      <c r="L2435" s="109" t="s">
        <v>9496</v>
      </c>
    </row>
    <row r="2436" spans="1:12" s="58" customFormat="1" ht="14.85" customHeight="1" x14ac:dyDescent="0.25">
      <c r="A2436" s="108" t="s">
        <v>9308</v>
      </c>
      <c r="B2436" s="115" t="s">
        <v>8939</v>
      </c>
      <c r="C2436" s="115" t="s">
        <v>9338</v>
      </c>
      <c r="D2436" s="109" t="s">
        <v>10987</v>
      </c>
      <c r="E2436" s="106" t="s">
        <v>10988</v>
      </c>
      <c r="F2436" s="109" t="s">
        <v>9496</v>
      </c>
      <c r="G2436" s="115" t="s">
        <v>9324</v>
      </c>
      <c r="H2436" s="115" t="s">
        <v>9323</v>
      </c>
      <c r="I2436" s="109" t="s">
        <v>10471</v>
      </c>
      <c r="J2436" s="239" t="s">
        <v>10472</v>
      </c>
      <c r="K2436" s="109" t="s">
        <v>9440</v>
      </c>
      <c r="L2436" s="109" t="s">
        <v>9496</v>
      </c>
    </row>
    <row r="2437" spans="1:12" s="58" customFormat="1" ht="14.85" customHeight="1" x14ac:dyDescent="0.25">
      <c r="A2437" s="108" t="s">
        <v>9308</v>
      </c>
      <c r="B2437" s="115" t="s">
        <v>8939</v>
      </c>
      <c r="C2437" s="115" t="s">
        <v>9338</v>
      </c>
      <c r="D2437" s="109" t="s">
        <v>10987</v>
      </c>
      <c r="E2437" s="106" t="s">
        <v>10988</v>
      </c>
      <c r="F2437" s="109" t="s">
        <v>9496</v>
      </c>
      <c r="G2437" s="115" t="s">
        <v>9324</v>
      </c>
      <c r="H2437" s="115" t="s">
        <v>9323</v>
      </c>
      <c r="I2437" s="109" t="s">
        <v>10376</v>
      </c>
      <c r="J2437" s="239" t="s">
        <v>10377</v>
      </c>
      <c r="K2437" s="109" t="s">
        <v>9440</v>
      </c>
      <c r="L2437" s="109" t="s">
        <v>9496</v>
      </c>
    </row>
    <row r="2438" spans="1:12" s="58" customFormat="1" ht="14.85" customHeight="1" x14ac:dyDescent="0.25">
      <c r="A2438" s="108" t="s">
        <v>9308</v>
      </c>
      <c r="B2438" s="115" t="s">
        <v>8939</v>
      </c>
      <c r="C2438" s="115" t="s">
        <v>9338</v>
      </c>
      <c r="D2438" s="109" t="s">
        <v>10987</v>
      </c>
      <c r="E2438" s="106" t="s">
        <v>10988</v>
      </c>
      <c r="F2438" s="109" t="s">
        <v>9496</v>
      </c>
      <c r="G2438" s="115" t="s">
        <v>9324</v>
      </c>
      <c r="H2438" s="115" t="s">
        <v>9323</v>
      </c>
      <c r="I2438" s="109" t="s">
        <v>10769</v>
      </c>
      <c r="J2438" s="239" t="s">
        <v>10770</v>
      </c>
      <c r="K2438" s="109" t="s">
        <v>9440</v>
      </c>
      <c r="L2438" s="109" t="s">
        <v>9496</v>
      </c>
    </row>
    <row r="2439" spans="1:12" s="58" customFormat="1" ht="14.85" customHeight="1" x14ac:dyDescent="0.25">
      <c r="A2439" s="108" t="s">
        <v>9308</v>
      </c>
      <c r="B2439" s="115" t="s">
        <v>8939</v>
      </c>
      <c r="C2439" s="115" t="s">
        <v>9338</v>
      </c>
      <c r="D2439" s="109" t="s">
        <v>10987</v>
      </c>
      <c r="E2439" s="106" t="s">
        <v>10988</v>
      </c>
      <c r="F2439" s="109" t="s">
        <v>9496</v>
      </c>
      <c r="G2439" s="115" t="s">
        <v>9324</v>
      </c>
      <c r="H2439" s="115" t="s">
        <v>9323</v>
      </c>
      <c r="I2439" s="109" t="s">
        <v>10771</v>
      </c>
      <c r="J2439" s="239" t="s">
        <v>10772</v>
      </c>
      <c r="K2439" s="109" t="s">
        <v>9440</v>
      </c>
      <c r="L2439" s="109" t="s">
        <v>9496</v>
      </c>
    </row>
    <row r="2440" spans="1:12" s="58" customFormat="1" ht="14.85" customHeight="1" x14ac:dyDescent="0.25">
      <c r="A2440" s="108" t="s">
        <v>9308</v>
      </c>
      <c r="B2440" s="115" t="s">
        <v>8939</v>
      </c>
      <c r="C2440" s="115" t="s">
        <v>9338</v>
      </c>
      <c r="D2440" s="109" t="s">
        <v>10987</v>
      </c>
      <c r="E2440" s="106" t="s">
        <v>10988</v>
      </c>
      <c r="F2440" s="109" t="s">
        <v>9496</v>
      </c>
      <c r="G2440" s="115" t="s">
        <v>9324</v>
      </c>
      <c r="H2440" s="115" t="s">
        <v>9323</v>
      </c>
      <c r="I2440" s="109" t="s">
        <v>10452</v>
      </c>
      <c r="J2440" s="239" t="s">
        <v>10453</v>
      </c>
      <c r="K2440" s="109" t="s">
        <v>9440</v>
      </c>
      <c r="L2440" s="109" t="s">
        <v>9496</v>
      </c>
    </row>
    <row r="2441" spans="1:12" s="58" customFormat="1" ht="14.85" customHeight="1" x14ac:dyDescent="0.25">
      <c r="A2441" s="108" t="s">
        <v>9308</v>
      </c>
      <c r="B2441" s="115" t="s">
        <v>8939</v>
      </c>
      <c r="C2441" s="115" t="s">
        <v>9338</v>
      </c>
      <c r="D2441" s="109" t="s">
        <v>10987</v>
      </c>
      <c r="E2441" s="106" t="s">
        <v>10988</v>
      </c>
      <c r="F2441" s="109" t="s">
        <v>9496</v>
      </c>
      <c r="G2441" s="115" t="s">
        <v>9324</v>
      </c>
      <c r="H2441" s="115" t="s">
        <v>9323</v>
      </c>
      <c r="I2441" s="109" t="s">
        <v>10454</v>
      </c>
      <c r="J2441" s="239" t="s">
        <v>10455</v>
      </c>
      <c r="K2441" s="109" t="s">
        <v>9440</v>
      </c>
      <c r="L2441" s="109" t="s">
        <v>9496</v>
      </c>
    </row>
    <row r="2442" spans="1:12" s="58" customFormat="1" ht="14.85" customHeight="1" x14ac:dyDescent="0.25">
      <c r="A2442" s="108" t="s">
        <v>9308</v>
      </c>
      <c r="B2442" s="115" t="s">
        <v>8939</v>
      </c>
      <c r="C2442" s="115" t="s">
        <v>9338</v>
      </c>
      <c r="D2442" s="109" t="s">
        <v>10987</v>
      </c>
      <c r="E2442" s="106" t="s">
        <v>10988</v>
      </c>
      <c r="F2442" s="109" t="s">
        <v>9496</v>
      </c>
      <c r="G2442" s="115" t="s">
        <v>9324</v>
      </c>
      <c r="H2442" s="115" t="s">
        <v>9323</v>
      </c>
      <c r="I2442" s="109" t="s">
        <v>10456</v>
      </c>
      <c r="J2442" s="239" t="s">
        <v>10455</v>
      </c>
      <c r="K2442" s="109" t="s">
        <v>9440</v>
      </c>
      <c r="L2442" s="109" t="s">
        <v>9496</v>
      </c>
    </row>
    <row r="2443" spans="1:12" s="58" customFormat="1" ht="14.85" customHeight="1" x14ac:dyDescent="0.25">
      <c r="A2443" s="108" t="s">
        <v>9308</v>
      </c>
      <c r="B2443" s="115" t="s">
        <v>8939</v>
      </c>
      <c r="C2443" s="115" t="s">
        <v>9338</v>
      </c>
      <c r="D2443" s="109" t="s">
        <v>10987</v>
      </c>
      <c r="E2443" s="106" t="s">
        <v>10988</v>
      </c>
      <c r="F2443" s="109" t="s">
        <v>9496</v>
      </c>
      <c r="G2443" s="115" t="s">
        <v>9324</v>
      </c>
      <c r="H2443" s="115" t="s">
        <v>9323</v>
      </c>
      <c r="I2443" s="109" t="s">
        <v>10783</v>
      </c>
      <c r="J2443" s="239" t="s">
        <v>10784</v>
      </c>
      <c r="K2443" s="109" t="s">
        <v>9440</v>
      </c>
      <c r="L2443" s="109" t="s">
        <v>9496</v>
      </c>
    </row>
    <row r="2444" spans="1:12" ht="14.85" customHeight="1" x14ac:dyDescent="0.25">
      <c r="A2444" s="108" t="s">
        <v>9308</v>
      </c>
      <c r="B2444" s="115" t="s">
        <v>8939</v>
      </c>
      <c r="C2444" s="115" t="s">
        <v>9338</v>
      </c>
      <c r="D2444" s="109" t="s">
        <v>10987</v>
      </c>
      <c r="E2444" s="106" t="s">
        <v>10988</v>
      </c>
      <c r="F2444" s="109" t="s">
        <v>9496</v>
      </c>
      <c r="G2444" s="115" t="s">
        <v>9324</v>
      </c>
      <c r="H2444" s="115" t="s">
        <v>9323</v>
      </c>
      <c r="I2444" s="109" t="s">
        <v>10785</v>
      </c>
      <c r="J2444" s="239" t="s">
        <v>10786</v>
      </c>
      <c r="K2444" s="109" t="s">
        <v>9440</v>
      </c>
      <c r="L2444" s="109" t="s">
        <v>9496</v>
      </c>
    </row>
    <row r="2445" spans="1:12" ht="14.85" customHeight="1" x14ac:dyDescent="0.25">
      <c r="A2445" s="108" t="s">
        <v>9308</v>
      </c>
      <c r="B2445" s="115" t="s">
        <v>8939</v>
      </c>
      <c r="C2445" s="115" t="s">
        <v>9338</v>
      </c>
      <c r="D2445" s="109" t="s">
        <v>10987</v>
      </c>
      <c r="E2445" s="106" t="s">
        <v>10988</v>
      </c>
      <c r="F2445" s="109" t="s">
        <v>9496</v>
      </c>
      <c r="G2445" s="115" t="s">
        <v>9324</v>
      </c>
      <c r="H2445" s="115" t="s">
        <v>9323</v>
      </c>
      <c r="I2445" s="109" t="s">
        <v>10755</v>
      </c>
      <c r="J2445" s="239" t="s">
        <v>10756</v>
      </c>
      <c r="K2445" s="109" t="s">
        <v>9440</v>
      </c>
      <c r="L2445" s="109" t="s">
        <v>9496</v>
      </c>
    </row>
    <row r="2446" spans="1:12" ht="14.85" customHeight="1" x14ac:dyDescent="0.25">
      <c r="A2446" s="108" t="s">
        <v>9308</v>
      </c>
      <c r="B2446" s="115" t="s">
        <v>8939</v>
      </c>
      <c r="C2446" s="115" t="s">
        <v>9338</v>
      </c>
      <c r="D2446" s="109" t="s">
        <v>10987</v>
      </c>
      <c r="E2446" s="106" t="s">
        <v>10988</v>
      </c>
      <c r="F2446" s="109" t="s">
        <v>9496</v>
      </c>
      <c r="G2446" s="115" t="s">
        <v>9324</v>
      </c>
      <c r="H2446" s="115" t="s">
        <v>9323</v>
      </c>
      <c r="I2446" s="109" t="s">
        <v>10457</v>
      </c>
      <c r="J2446" s="239" t="s">
        <v>10458</v>
      </c>
      <c r="K2446" s="109" t="s">
        <v>9440</v>
      </c>
      <c r="L2446" s="109" t="s">
        <v>9496</v>
      </c>
    </row>
    <row r="2447" spans="1:12" ht="14.85" customHeight="1" x14ac:dyDescent="0.25">
      <c r="A2447" s="108" t="s">
        <v>9308</v>
      </c>
      <c r="B2447" s="115" t="s">
        <v>8939</v>
      </c>
      <c r="C2447" s="115" t="s">
        <v>9338</v>
      </c>
      <c r="D2447" s="109" t="s">
        <v>10989</v>
      </c>
      <c r="E2447" s="106" t="s">
        <v>10990</v>
      </c>
      <c r="F2447" s="109" t="s">
        <v>9496</v>
      </c>
      <c r="G2447" s="115" t="s">
        <v>9324</v>
      </c>
      <c r="H2447" s="115" t="s">
        <v>9323</v>
      </c>
      <c r="I2447" s="109" t="s">
        <v>10324</v>
      </c>
      <c r="J2447" s="239" t="s">
        <v>10325</v>
      </c>
      <c r="K2447" s="109" t="s">
        <v>9440</v>
      </c>
      <c r="L2447" s="109" t="s">
        <v>9496</v>
      </c>
    </row>
    <row r="2448" spans="1:12" ht="14.85" customHeight="1" x14ac:dyDescent="0.25">
      <c r="A2448" s="108" t="s">
        <v>9308</v>
      </c>
      <c r="B2448" s="115" t="s">
        <v>8939</v>
      </c>
      <c r="C2448" s="115" t="s">
        <v>9338</v>
      </c>
      <c r="D2448" s="109" t="s">
        <v>10989</v>
      </c>
      <c r="E2448" s="106" t="s">
        <v>10990</v>
      </c>
      <c r="F2448" s="109" t="s">
        <v>9496</v>
      </c>
      <c r="G2448" s="115" t="s">
        <v>9324</v>
      </c>
      <c r="H2448" s="115" t="s">
        <v>9323</v>
      </c>
      <c r="I2448" s="109" t="s">
        <v>10326</v>
      </c>
      <c r="J2448" s="239" t="s">
        <v>10327</v>
      </c>
      <c r="K2448" s="109" t="s">
        <v>9440</v>
      </c>
      <c r="L2448" s="109" t="s">
        <v>9496</v>
      </c>
    </row>
    <row r="2449" spans="1:12" ht="14.85" customHeight="1" x14ac:dyDescent="0.25">
      <c r="A2449" s="108" t="s">
        <v>9308</v>
      </c>
      <c r="B2449" s="115" t="s">
        <v>8939</v>
      </c>
      <c r="C2449" s="115" t="s">
        <v>9338</v>
      </c>
      <c r="D2449" s="109" t="s">
        <v>10989</v>
      </c>
      <c r="E2449" s="106" t="s">
        <v>10990</v>
      </c>
      <c r="F2449" s="109" t="s">
        <v>9496</v>
      </c>
      <c r="G2449" s="115" t="s">
        <v>9324</v>
      </c>
      <c r="H2449" s="115" t="s">
        <v>9323</v>
      </c>
      <c r="I2449" s="109" t="s">
        <v>10495</v>
      </c>
      <c r="J2449" s="239" t="s">
        <v>10496</v>
      </c>
      <c r="K2449" s="109" t="s">
        <v>9440</v>
      </c>
      <c r="L2449" s="109" t="s">
        <v>9496</v>
      </c>
    </row>
    <row r="2450" spans="1:12" ht="14.85" customHeight="1" x14ac:dyDescent="0.25">
      <c r="A2450" s="108" t="s">
        <v>9308</v>
      </c>
      <c r="B2450" s="115" t="s">
        <v>8939</v>
      </c>
      <c r="C2450" s="115" t="s">
        <v>9338</v>
      </c>
      <c r="D2450" s="109" t="s">
        <v>10989</v>
      </c>
      <c r="E2450" s="106" t="s">
        <v>10990</v>
      </c>
      <c r="F2450" s="109" t="s">
        <v>9496</v>
      </c>
      <c r="G2450" s="115" t="s">
        <v>9324</v>
      </c>
      <c r="H2450" s="115" t="s">
        <v>9323</v>
      </c>
      <c r="I2450" s="109" t="s">
        <v>10497</v>
      </c>
      <c r="J2450" s="239" t="s">
        <v>10498</v>
      </c>
      <c r="K2450" s="109" t="s">
        <v>9440</v>
      </c>
      <c r="L2450" s="109" t="s">
        <v>9496</v>
      </c>
    </row>
    <row r="2451" spans="1:12" ht="14.85" customHeight="1" x14ac:dyDescent="0.25">
      <c r="A2451" s="108" t="s">
        <v>9308</v>
      </c>
      <c r="B2451" s="115" t="s">
        <v>8939</v>
      </c>
      <c r="C2451" s="115" t="s">
        <v>9338</v>
      </c>
      <c r="D2451" s="109" t="s">
        <v>10989</v>
      </c>
      <c r="E2451" s="106" t="s">
        <v>10990</v>
      </c>
      <c r="F2451" s="109" t="s">
        <v>9496</v>
      </c>
      <c r="G2451" s="115" t="s">
        <v>9324</v>
      </c>
      <c r="H2451" s="115" t="s">
        <v>9323</v>
      </c>
      <c r="I2451" s="109" t="s">
        <v>10499</v>
      </c>
      <c r="J2451" s="239" t="s">
        <v>10500</v>
      </c>
      <c r="K2451" s="109" t="s">
        <v>9440</v>
      </c>
      <c r="L2451" s="109" t="s">
        <v>9496</v>
      </c>
    </row>
    <row r="2452" spans="1:12" ht="14.85" customHeight="1" x14ac:dyDescent="0.25">
      <c r="A2452" s="108" t="s">
        <v>9308</v>
      </c>
      <c r="B2452" s="115" t="s">
        <v>8939</v>
      </c>
      <c r="C2452" s="115" t="s">
        <v>9338</v>
      </c>
      <c r="D2452" s="109" t="s">
        <v>10989</v>
      </c>
      <c r="E2452" s="106" t="s">
        <v>10990</v>
      </c>
      <c r="F2452" s="109" t="s">
        <v>9496</v>
      </c>
      <c r="G2452" s="115" t="s">
        <v>9324</v>
      </c>
      <c r="H2452" s="115" t="s">
        <v>9323</v>
      </c>
      <c r="I2452" s="109" t="s">
        <v>10822</v>
      </c>
      <c r="J2452" s="239" t="s">
        <v>10823</v>
      </c>
      <c r="K2452" s="109" t="s">
        <v>9440</v>
      </c>
      <c r="L2452" s="109" t="s">
        <v>9496</v>
      </c>
    </row>
    <row r="2453" spans="1:12" ht="14.85" customHeight="1" x14ac:dyDescent="0.25">
      <c r="A2453" s="108" t="s">
        <v>9308</v>
      </c>
      <c r="B2453" s="115" t="s">
        <v>8939</v>
      </c>
      <c r="C2453" s="115" t="s">
        <v>9338</v>
      </c>
      <c r="D2453" s="109" t="s">
        <v>10989</v>
      </c>
      <c r="E2453" s="106" t="s">
        <v>10990</v>
      </c>
      <c r="F2453" s="109" t="s">
        <v>9496</v>
      </c>
      <c r="G2453" s="115" t="s">
        <v>9324</v>
      </c>
      <c r="H2453" s="115" t="s">
        <v>9323</v>
      </c>
      <c r="I2453" s="109" t="s">
        <v>10814</v>
      </c>
      <c r="J2453" s="239" t="s">
        <v>10815</v>
      </c>
      <c r="K2453" s="109" t="s">
        <v>9440</v>
      </c>
      <c r="L2453" s="109" t="s">
        <v>9496</v>
      </c>
    </row>
    <row r="2454" spans="1:12" ht="14.85" customHeight="1" x14ac:dyDescent="0.25">
      <c r="A2454" s="108" t="s">
        <v>9308</v>
      </c>
      <c r="B2454" s="115" t="s">
        <v>8939</v>
      </c>
      <c r="C2454" s="115" t="s">
        <v>9338</v>
      </c>
      <c r="D2454" s="109" t="s">
        <v>10989</v>
      </c>
      <c r="E2454" s="106" t="s">
        <v>10990</v>
      </c>
      <c r="F2454" s="109" t="s">
        <v>9496</v>
      </c>
      <c r="G2454" s="115" t="s">
        <v>9324</v>
      </c>
      <c r="H2454" s="115" t="s">
        <v>9323</v>
      </c>
      <c r="I2454" s="109" t="s">
        <v>10803</v>
      </c>
      <c r="J2454" s="239" t="s">
        <v>10804</v>
      </c>
      <c r="K2454" s="109" t="s">
        <v>9440</v>
      </c>
      <c r="L2454" s="109" t="s">
        <v>9496</v>
      </c>
    </row>
    <row r="2455" spans="1:12" ht="14.85" customHeight="1" x14ac:dyDescent="0.25">
      <c r="A2455" s="108" t="s">
        <v>9308</v>
      </c>
      <c r="B2455" s="115" t="s">
        <v>8939</v>
      </c>
      <c r="C2455" s="115" t="s">
        <v>9338</v>
      </c>
      <c r="D2455" s="109" t="s">
        <v>10989</v>
      </c>
      <c r="E2455" s="106" t="s">
        <v>10990</v>
      </c>
      <c r="F2455" s="109" t="s">
        <v>9496</v>
      </c>
      <c r="G2455" s="115" t="s">
        <v>9324</v>
      </c>
      <c r="H2455" s="115" t="s">
        <v>9323</v>
      </c>
      <c r="I2455" s="109" t="s">
        <v>10501</v>
      </c>
      <c r="J2455" s="239" t="s">
        <v>10502</v>
      </c>
      <c r="K2455" s="109" t="s">
        <v>9440</v>
      </c>
      <c r="L2455" s="109" t="s">
        <v>9496</v>
      </c>
    </row>
    <row r="2456" spans="1:12" ht="14.85" customHeight="1" x14ac:dyDescent="0.25">
      <c r="A2456" s="108" t="s">
        <v>9308</v>
      </c>
      <c r="B2456" s="115" t="s">
        <v>8939</v>
      </c>
      <c r="C2456" s="115" t="s">
        <v>9338</v>
      </c>
      <c r="D2456" s="109" t="s">
        <v>10989</v>
      </c>
      <c r="E2456" s="106" t="s">
        <v>10990</v>
      </c>
      <c r="F2456" s="109" t="s">
        <v>9496</v>
      </c>
      <c r="G2456" s="115" t="s">
        <v>9324</v>
      </c>
      <c r="H2456" s="115" t="s">
        <v>9323</v>
      </c>
      <c r="I2456" s="109" t="s">
        <v>10503</v>
      </c>
      <c r="J2456" s="239" t="s">
        <v>10504</v>
      </c>
      <c r="K2456" s="109" t="s">
        <v>9440</v>
      </c>
      <c r="L2456" s="109" t="s">
        <v>9496</v>
      </c>
    </row>
    <row r="2457" spans="1:12" s="58" customFormat="1" ht="14.85" customHeight="1" x14ac:dyDescent="0.25">
      <c r="A2457" s="108" t="s">
        <v>9308</v>
      </c>
      <c r="B2457" s="115" t="s">
        <v>8939</v>
      </c>
      <c r="C2457" s="115" t="s">
        <v>9338</v>
      </c>
      <c r="D2457" s="109" t="s">
        <v>10989</v>
      </c>
      <c r="E2457" s="106" t="s">
        <v>10990</v>
      </c>
      <c r="F2457" s="109" t="s">
        <v>9496</v>
      </c>
      <c r="G2457" s="115" t="s">
        <v>9324</v>
      </c>
      <c r="H2457" s="115" t="s">
        <v>9323</v>
      </c>
      <c r="I2457" s="109" t="s">
        <v>10328</v>
      </c>
      <c r="J2457" s="239" t="s">
        <v>10329</v>
      </c>
      <c r="K2457" s="109" t="s">
        <v>9440</v>
      </c>
      <c r="L2457" s="109" t="s">
        <v>9496</v>
      </c>
    </row>
    <row r="2458" spans="1:12" ht="14.85" customHeight="1" x14ac:dyDescent="0.25">
      <c r="A2458" s="108" t="s">
        <v>9308</v>
      </c>
      <c r="B2458" s="115" t="s">
        <v>8939</v>
      </c>
      <c r="C2458" s="115" t="s">
        <v>9338</v>
      </c>
      <c r="D2458" s="109" t="s">
        <v>10989</v>
      </c>
      <c r="E2458" s="106" t="s">
        <v>10990</v>
      </c>
      <c r="F2458" s="109" t="s">
        <v>9496</v>
      </c>
      <c r="G2458" s="115" t="s">
        <v>9324</v>
      </c>
      <c r="H2458" s="115" t="s">
        <v>9323</v>
      </c>
      <c r="I2458" s="109" t="s">
        <v>10824</v>
      </c>
      <c r="J2458" s="239" t="s">
        <v>10825</v>
      </c>
      <c r="K2458" s="109" t="s">
        <v>9440</v>
      </c>
      <c r="L2458" s="109" t="s">
        <v>9496</v>
      </c>
    </row>
    <row r="2459" spans="1:12" ht="14.85" customHeight="1" x14ac:dyDescent="0.25">
      <c r="A2459" s="108" t="s">
        <v>9308</v>
      </c>
      <c r="B2459" s="115" t="s">
        <v>8939</v>
      </c>
      <c r="C2459" s="115" t="s">
        <v>9338</v>
      </c>
      <c r="D2459" s="109" t="s">
        <v>10989</v>
      </c>
      <c r="E2459" s="106" t="s">
        <v>10990</v>
      </c>
      <c r="F2459" s="109" t="s">
        <v>9496</v>
      </c>
      <c r="G2459" s="115" t="s">
        <v>9324</v>
      </c>
      <c r="H2459" s="115" t="s">
        <v>9323</v>
      </c>
      <c r="I2459" s="109" t="s">
        <v>10330</v>
      </c>
      <c r="J2459" s="239" t="s">
        <v>10331</v>
      </c>
      <c r="K2459" s="109" t="s">
        <v>9440</v>
      </c>
      <c r="L2459" s="109" t="s">
        <v>9496</v>
      </c>
    </row>
    <row r="2460" spans="1:12" ht="14.85" customHeight="1" x14ac:dyDescent="0.25">
      <c r="A2460" s="108" t="s">
        <v>9308</v>
      </c>
      <c r="B2460" s="115" t="s">
        <v>8939</v>
      </c>
      <c r="C2460" s="115" t="s">
        <v>9338</v>
      </c>
      <c r="D2460" s="109" t="s">
        <v>10989</v>
      </c>
      <c r="E2460" s="106" t="s">
        <v>10990</v>
      </c>
      <c r="F2460" s="109" t="s">
        <v>9496</v>
      </c>
      <c r="G2460" s="115" t="s">
        <v>9324</v>
      </c>
      <c r="H2460" s="115" t="s">
        <v>9323</v>
      </c>
      <c r="I2460" s="109" t="s">
        <v>10332</v>
      </c>
      <c r="J2460" s="239" t="s">
        <v>10333</v>
      </c>
      <c r="K2460" s="109" t="s">
        <v>9440</v>
      </c>
      <c r="L2460" s="109" t="s">
        <v>9496</v>
      </c>
    </row>
    <row r="2461" spans="1:12" ht="14.85" customHeight="1" x14ac:dyDescent="0.25">
      <c r="A2461" s="108" t="s">
        <v>9308</v>
      </c>
      <c r="B2461" s="115" t="s">
        <v>8939</v>
      </c>
      <c r="C2461" s="115" t="s">
        <v>9338</v>
      </c>
      <c r="D2461" s="109" t="s">
        <v>10989</v>
      </c>
      <c r="E2461" s="106" t="s">
        <v>10990</v>
      </c>
      <c r="F2461" s="109" t="s">
        <v>9496</v>
      </c>
      <c r="G2461" s="115" t="s">
        <v>9324</v>
      </c>
      <c r="H2461" s="115" t="s">
        <v>9323</v>
      </c>
      <c r="I2461" s="109" t="s">
        <v>10826</v>
      </c>
      <c r="J2461" s="239" t="s">
        <v>13352</v>
      </c>
      <c r="K2461" s="109" t="s">
        <v>9440</v>
      </c>
      <c r="L2461" s="109" t="s">
        <v>9496</v>
      </c>
    </row>
    <row r="2462" spans="1:12" ht="14.85" customHeight="1" x14ac:dyDescent="0.25">
      <c r="A2462" s="108" t="s">
        <v>9308</v>
      </c>
      <c r="B2462" s="115" t="s">
        <v>8939</v>
      </c>
      <c r="C2462" s="115" t="s">
        <v>9338</v>
      </c>
      <c r="D2462" s="109" t="s">
        <v>10991</v>
      </c>
      <c r="E2462" s="106" t="s">
        <v>10992</v>
      </c>
      <c r="F2462" s="109" t="s">
        <v>9496</v>
      </c>
      <c r="G2462" s="115" t="s">
        <v>9324</v>
      </c>
      <c r="H2462" s="115" t="s">
        <v>9323</v>
      </c>
      <c r="I2462" s="109" t="s">
        <v>10372</v>
      </c>
      <c r="J2462" s="239" t="s">
        <v>10373</v>
      </c>
      <c r="K2462" s="109" t="s">
        <v>9440</v>
      </c>
      <c r="L2462" s="109" t="s">
        <v>9496</v>
      </c>
    </row>
    <row r="2463" spans="1:12" ht="14.85" customHeight="1" x14ac:dyDescent="0.25">
      <c r="A2463" s="108" t="s">
        <v>9308</v>
      </c>
      <c r="B2463" s="115" t="s">
        <v>8939</v>
      </c>
      <c r="C2463" s="115" t="s">
        <v>9338</v>
      </c>
      <c r="D2463" s="109" t="s">
        <v>10991</v>
      </c>
      <c r="E2463" s="106" t="s">
        <v>10992</v>
      </c>
      <c r="F2463" s="109" t="s">
        <v>9496</v>
      </c>
      <c r="G2463" s="115" t="s">
        <v>9324</v>
      </c>
      <c r="H2463" s="115" t="s">
        <v>9323</v>
      </c>
      <c r="I2463" s="109" t="s">
        <v>10374</v>
      </c>
      <c r="J2463" s="239" t="s">
        <v>10375</v>
      </c>
      <c r="K2463" s="109" t="s">
        <v>9440</v>
      </c>
      <c r="L2463" s="109" t="s">
        <v>9496</v>
      </c>
    </row>
    <row r="2464" spans="1:12" ht="14.85" customHeight="1" x14ac:dyDescent="0.25">
      <c r="A2464" s="108" t="s">
        <v>9308</v>
      </c>
      <c r="B2464" s="115" t="s">
        <v>8939</v>
      </c>
      <c r="C2464" s="115" t="s">
        <v>9338</v>
      </c>
      <c r="D2464" s="109" t="s">
        <v>10991</v>
      </c>
      <c r="E2464" s="106" t="s">
        <v>10992</v>
      </c>
      <c r="F2464" s="109" t="s">
        <v>9496</v>
      </c>
      <c r="G2464" s="115" t="s">
        <v>9324</v>
      </c>
      <c r="H2464" s="115" t="s">
        <v>9323</v>
      </c>
      <c r="I2464" s="109" t="s">
        <v>10376</v>
      </c>
      <c r="J2464" s="239" t="s">
        <v>10377</v>
      </c>
      <c r="K2464" s="109" t="s">
        <v>9440</v>
      </c>
      <c r="L2464" s="109" t="s">
        <v>9496</v>
      </c>
    </row>
    <row r="2465" spans="1:12" ht="14.85" customHeight="1" x14ac:dyDescent="0.25">
      <c r="A2465" s="108" t="s">
        <v>9308</v>
      </c>
      <c r="B2465" s="115" t="s">
        <v>8939</v>
      </c>
      <c r="C2465" s="115" t="s">
        <v>9338</v>
      </c>
      <c r="D2465" s="109" t="s">
        <v>10991</v>
      </c>
      <c r="E2465" s="106" t="s">
        <v>10992</v>
      </c>
      <c r="F2465" s="109" t="s">
        <v>9496</v>
      </c>
      <c r="G2465" s="115" t="s">
        <v>9324</v>
      </c>
      <c r="H2465" s="115" t="s">
        <v>9323</v>
      </c>
      <c r="I2465" s="109" t="s">
        <v>10378</v>
      </c>
      <c r="J2465" s="239" t="s">
        <v>10379</v>
      </c>
      <c r="K2465" s="109" t="s">
        <v>9440</v>
      </c>
      <c r="L2465" s="109" t="s">
        <v>9496</v>
      </c>
    </row>
    <row r="2466" spans="1:12" ht="14.85" customHeight="1" x14ac:dyDescent="0.25">
      <c r="A2466" s="108" t="s">
        <v>9308</v>
      </c>
      <c r="B2466" s="115" t="s">
        <v>8939</v>
      </c>
      <c r="C2466" s="115" t="s">
        <v>9338</v>
      </c>
      <c r="D2466" s="109" t="s">
        <v>10991</v>
      </c>
      <c r="E2466" s="106" t="s">
        <v>10992</v>
      </c>
      <c r="F2466" s="109" t="s">
        <v>9496</v>
      </c>
      <c r="G2466" s="115" t="s">
        <v>9324</v>
      </c>
      <c r="H2466" s="115" t="s">
        <v>9323</v>
      </c>
      <c r="I2466" s="109" t="s">
        <v>10380</v>
      </c>
      <c r="J2466" s="239" t="s">
        <v>10381</v>
      </c>
      <c r="K2466" s="109" t="s">
        <v>9440</v>
      </c>
      <c r="L2466" s="109" t="s">
        <v>9496</v>
      </c>
    </row>
    <row r="2467" spans="1:12" ht="14.85" customHeight="1" x14ac:dyDescent="0.25">
      <c r="A2467" s="108" t="s">
        <v>9308</v>
      </c>
      <c r="B2467" s="115" t="s">
        <v>8939</v>
      </c>
      <c r="C2467" s="115" t="s">
        <v>9338</v>
      </c>
      <c r="D2467" s="109" t="s">
        <v>10991</v>
      </c>
      <c r="E2467" s="106" t="s">
        <v>10992</v>
      </c>
      <c r="F2467" s="109" t="s">
        <v>9496</v>
      </c>
      <c r="G2467" s="115" t="s">
        <v>9324</v>
      </c>
      <c r="H2467" s="115" t="s">
        <v>9323</v>
      </c>
      <c r="I2467" s="109" t="s">
        <v>10382</v>
      </c>
      <c r="J2467" s="239" t="s">
        <v>10383</v>
      </c>
      <c r="K2467" s="109" t="s">
        <v>9440</v>
      </c>
      <c r="L2467" s="109" t="s">
        <v>9496</v>
      </c>
    </row>
    <row r="2468" spans="1:12" ht="14.85" customHeight="1" x14ac:dyDescent="0.25">
      <c r="A2468" s="108" t="s">
        <v>9308</v>
      </c>
      <c r="B2468" s="115" t="s">
        <v>8939</v>
      </c>
      <c r="C2468" s="115" t="s">
        <v>9338</v>
      </c>
      <c r="D2468" s="109" t="s">
        <v>10991</v>
      </c>
      <c r="E2468" s="106" t="s">
        <v>10992</v>
      </c>
      <c r="F2468" s="109" t="s">
        <v>9496</v>
      </c>
      <c r="G2468" s="115" t="s">
        <v>9324</v>
      </c>
      <c r="H2468" s="115" t="s">
        <v>9323</v>
      </c>
      <c r="I2468" s="109" t="s">
        <v>10384</v>
      </c>
      <c r="J2468" s="239" t="s">
        <v>10385</v>
      </c>
      <c r="K2468" s="109" t="s">
        <v>9440</v>
      </c>
      <c r="L2468" s="109" t="s">
        <v>9496</v>
      </c>
    </row>
    <row r="2469" spans="1:12" ht="14.85" customHeight="1" x14ac:dyDescent="0.25">
      <c r="A2469" s="108" t="s">
        <v>9308</v>
      </c>
      <c r="B2469" s="115" t="s">
        <v>8939</v>
      </c>
      <c r="C2469" s="115" t="s">
        <v>9338</v>
      </c>
      <c r="D2469" s="109" t="s">
        <v>10991</v>
      </c>
      <c r="E2469" s="106" t="s">
        <v>10992</v>
      </c>
      <c r="F2469" s="109" t="s">
        <v>9496</v>
      </c>
      <c r="G2469" s="115" t="s">
        <v>9324</v>
      </c>
      <c r="H2469" s="115" t="s">
        <v>9323</v>
      </c>
      <c r="I2469" s="109" t="s">
        <v>10386</v>
      </c>
      <c r="J2469" s="239" t="s">
        <v>10387</v>
      </c>
      <c r="K2469" s="109" t="s">
        <v>9440</v>
      </c>
      <c r="L2469" s="109" t="s">
        <v>9496</v>
      </c>
    </row>
    <row r="2470" spans="1:12" ht="14.85" customHeight="1" x14ac:dyDescent="0.25">
      <c r="A2470" s="108" t="s">
        <v>9308</v>
      </c>
      <c r="B2470" s="115" t="s">
        <v>8939</v>
      </c>
      <c r="C2470" s="115" t="s">
        <v>9338</v>
      </c>
      <c r="D2470" s="109" t="s">
        <v>10991</v>
      </c>
      <c r="E2470" s="106" t="s">
        <v>10992</v>
      </c>
      <c r="F2470" s="109" t="s">
        <v>9496</v>
      </c>
      <c r="G2470" s="115" t="s">
        <v>9324</v>
      </c>
      <c r="H2470" s="115" t="s">
        <v>9323</v>
      </c>
      <c r="I2470" s="109" t="s">
        <v>10388</v>
      </c>
      <c r="J2470" s="239" t="s">
        <v>10389</v>
      </c>
      <c r="K2470" s="109" t="s">
        <v>9440</v>
      </c>
      <c r="L2470" s="109" t="s">
        <v>9496</v>
      </c>
    </row>
    <row r="2471" spans="1:12" ht="14.85" customHeight="1" x14ac:dyDescent="0.25">
      <c r="A2471" s="108" t="s">
        <v>9308</v>
      </c>
      <c r="B2471" s="115" t="s">
        <v>8939</v>
      </c>
      <c r="C2471" s="115" t="s">
        <v>9338</v>
      </c>
      <c r="D2471" s="109" t="s">
        <v>10991</v>
      </c>
      <c r="E2471" s="106" t="s">
        <v>10992</v>
      </c>
      <c r="F2471" s="109" t="s">
        <v>9496</v>
      </c>
      <c r="G2471" s="115" t="s">
        <v>9324</v>
      </c>
      <c r="H2471" s="115" t="s">
        <v>9323</v>
      </c>
      <c r="I2471" s="109">
        <v>2098</v>
      </c>
      <c r="J2471" s="239" t="s">
        <v>10391</v>
      </c>
      <c r="K2471" s="109" t="s">
        <v>9440</v>
      </c>
      <c r="L2471" s="109" t="s">
        <v>9496</v>
      </c>
    </row>
    <row r="2472" spans="1:12" ht="14.85" customHeight="1" x14ac:dyDescent="0.25">
      <c r="A2472" s="108" t="s">
        <v>9308</v>
      </c>
      <c r="B2472" s="115" t="s">
        <v>8939</v>
      </c>
      <c r="C2472" s="115" t="s">
        <v>9338</v>
      </c>
      <c r="D2472" s="109" t="s">
        <v>10991</v>
      </c>
      <c r="E2472" s="106" t="s">
        <v>10992</v>
      </c>
      <c r="F2472" s="109" t="s">
        <v>9496</v>
      </c>
      <c r="G2472" s="115" t="s">
        <v>9324</v>
      </c>
      <c r="H2472" s="115" t="s">
        <v>9323</v>
      </c>
      <c r="I2472" s="109" t="s">
        <v>10434</v>
      </c>
      <c r="J2472" s="239" t="s">
        <v>10435</v>
      </c>
      <c r="K2472" s="109" t="s">
        <v>9440</v>
      </c>
      <c r="L2472" s="109" t="s">
        <v>9496</v>
      </c>
    </row>
    <row r="2473" spans="1:12" ht="14.85" customHeight="1" x14ac:dyDescent="0.25">
      <c r="A2473" s="108" t="s">
        <v>9308</v>
      </c>
      <c r="B2473" s="115" t="s">
        <v>8939</v>
      </c>
      <c r="C2473" s="115" t="s">
        <v>9338</v>
      </c>
      <c r="D2473" s="109" t="s">
        <v>10991</v>
      </c>
      <c r="E2473" s="106" t="s">
        <v>10992</v>
      </c>
      <c r="F2473" s="109" t="s">
        <v>9496</v>
      </c>
      <c r="G2473" s="115" t="s">
        <v>9324</v>
      </c>
      <c r="H2473" s="115" t="s">
        <v>9323</v>
      </c>
      <c r="I2473" s="109" t="s">
        <v>10436</v>
      </c>
      <c r="J2473" s="239" t="s">
        <v>10437</v>
      </c>
      <c r="K2473" s="109" t="s">
        <v>9440</v>
      </c>
      <c r="L2473" s="109" t="s">
        <v>9496</v>
      </c>
    </row>
  </sheetData>
  <autoFilter ref="A1:L2473" xr:uid="{00000000-0001-0000-0700-000000000000}"/>
  <sortState xmlns:xlrd2="http://schemas.microsoft.com/office/spreadsheetml/2017/richdata2" ref="I1115:J1119">
    <sortCondition ref="I1115:I1119"/>
  </sortState>
  <phoneticPr fontId="62"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52B1-D73D-4F34-BAF1-18C75EF7600E}">
  <dimension ref="A1:C2473"/>
  <sheetViews>
    <sheetView workbookViewId="0">
      <pane ySplit="1" topLeftCell="A2" activePane="bottomLeft" state="frozen"/>
      <selection pane="bottomLeft"/>
    </sheetView>
  </sheetViews>
  <sheetFormatPr defaultRowHeight="13.2" x14ac:dyDescent="0.25"/>
  <cols>
    <col min="1" max="1" width="11.77734375" style="115" bestFit="1" customWidth="1"/>
    <col min="2" max="2" width="10.5546875" style="109" bestFit="1" customWidth="1"/>
    <col min="3" max="3" width="75" style="110" customWidth="1"/>
  </cols>
  <sheetData>
    <row r="1" spans="1:3" ht="13.8" thickBot="1" x14ac:dyDescent="0.3">
      <c r="A1" s="59" t="s">
        <v>9326</v>
      </c>
      <c r="B1" s="76" t="s">
        <v>9328</v>
      </c>
      <c r="C1" s="19" t="s">
        <v>9329</v>
      </c>
    </row>
    <row r="2" spans="1:3" x14ac:dyDescent="0.25">
      <c r="A2" s="115" t="s">
        <v>9337</v>
      </c>
      <c r="B2" s="109" t="s">
        <v>9339</v>
      </c>
      <c r="C2" s="110" t="s">
        <v>9340</v>
      </c>
    </row>
    <row r="3" spans="1:3" x14ac:dyDescent="0.25">
      <c r="A3" s="115" t="s">
        <v>9337</v>
      </c>
      <c r="B3" s="109" t="s">
        <v>9354</v>
      </c>
      <c r="C3" s="110" t="s">
        <v>9355</v>
      </c>
    </row>
    <row r="4" spans="1:3" x14ac:dyDescent="0.25">
      <c r="A4" s="115" t="s">
        <v>9337</v>
      </c>
      <c r="B4" s="109" t="s">
        <v>9357</v>
      </c>
      <c r="C4" s="110" t="s">
        <v>9358</v>
      </c>
    </row>
    <row r="5" spans="1:3" x14ac:dyDescent="0.25">
      <c r="A5" s="115" t="s">
        <v>9337</v>
      </c>
      <c r="B5" s="109" t="s">
        <v>9360</v>
      </c>
      <c r="C5" s="110" t="s">
        <v>9361</v>
      </c>
    </row>
    <row r="6" spans="1:3" x14ac:dyDescent="0.25">
      <c r="A6" s="115" t="s">
        <v>9337</v>
      </c>
      <c r="B6" s="109" t="s">
        <v>9364</v>
      </c>
      <c r="C6" s="110" t="s">
        <v>9365</v>
      </c>
    </row>
    <row r="7" spans="1:3" x14ac:dyDescent="0.25">
      <c r="A7" s="115" t="s">
        <v>9337</v>
      </c>
      <c r="B7" s="109" t="s">
        <v>9401</v>
      </c>
      <c r="C7" s="110" t="s">
        <v>9402</v>
      </c>
    </row>
    <row r="8" spans="1:3" x14ac:dyDescent="0.25">
      <c r="A8" s="115" t="s">
        <v>9337</v>
      </c>
      <c r="B8" s="109" t="s">
        <v>9404</v>
      </c>
      <c r="C8" s="110" t="s">
        <v>9405</v>
      </c>
    </row>
    <row r="9" spans="1:3" x14ac:dyDescent="0.25">
      <c r="A9" s="115" t="s">
        <v>9337</v>
      </c>
      <c r="B9" s="109" t="s">
        <v>9407</v>
      </c>
      <c r="C9" s="110" t="s">
        <v>9408</v>
      </c>
    </row>
    <row r="10" spans="1:3" x14ac:dyDescent="0.25">
      <c r="A10" s="115" t="s">
        <v>9337</v>
      </c>
      <c r="B10" s="109" t="s">
        <v>9411</v>
      </c>
      <c r="C10" s="110" t="s">
        <v>9412</v>
      </c>
    </row>
    <row r="11" spans="1:3" x14ac:dyDescent="0.25">
      <c r="A11" s="115" t="s">
        <v>9337</v>
      </c>
      <c r="B11" s="109" t="s">
        <v>9415</v>
      </c>
      <c r="C11" s="110" t="s">
        <v>13393</v>
      </c>
    </row>
    <row r="12" spans="1:3" x14ac:dyDescent="0.25">
      <c r="A12" s="115" t="s">
        <v>9337</v>
      </c>
      <c r="B12" s="109" t="s">
        <v>9417</v>
      </c>
      <c r="C12" s="110" t="s">
        <v>13432</v>
      </c>
    </row>
    <row r="13" spans="1:3" x14ac:dyDescent="0.25">
      <c r="A13" s="115" t="s">
        <v>9337</v>
      </c>
      <c r="B13" s="109" t="s">
        <v>9420</v>
      </c>
      <c r="C13" s="110" t="s">
        <v>9421</v>
      </c>
    </row>
    <row r="14" spans="1:3" x14ac:dyDescent="0.25">
      <c r="A14" s="115" t="s">
        <v>9337</v>
      </c>
      <c r="B14" s="109" t="s">
        <v>9426</v>
      </c>
      <c r="C14" s="110" t="s">
        <v>9427</v>
      </c>
    </row>
    <row r="15" spans="1:3" x14ac:dyDescent="0.25">
      <c r="A15" s="115" t="s">
        <v>9337</v>
      </c>
      <c r="B15" s="109" t="s">
        <v>9428</v>
      </c>
      <c r="C15" s="110" t="s">
        <v>9429</v>
      </c>
    </row>
    <row r="16" spans="1:3" x14ac:dyDescent="0.25">
      <c r="A16" s="115" t="s">
        <v>9337</v>
      </c>
      <c r="B16" s="109" t="s">
        <v>9432</v>
      </c>
      <c r="C16" s="110" t="s">
        <v>9433</v>
      </c>
    </row>
    <row r="17" spans="1:3" x14ac:dyDescent="0.25">
      <c r="A17" s="115" t="s">
        <v>9337</v>
      </c>
      <c r="B17" s="109" t="s">
        <v>9434</v>
      </c>
      <c r="C17" s="110" t="s">
        <v>9435</v>
      </c>
    </row>
    <row r="18" spans="1:3" x14ac:dyDescent="0.25">
      <c r="A18" s="115" t="s">
        <v>9337</v>
      </c>
      <c r="B18" s="109" t="s">
        <v>9436</v>
      </c>
      <c r="C18" s="110" t="s">
        <v>9437</v>
      </c>
    </row>
    <row r="19" spans="1:3" x14ac:dyDescent="0.25">
      <c r="A19" s="115" t="s">
        <v>9337</v>
      </c>
      <c r="B19" s="109" t="s">
        <v>9444</v>
      </c>
      <c r="C19" s="110" t="s">
        <v>9445</v>
      </c>
    </row>
    <row r="20" spans="1:3" x14ac:dyDescent="0.25">
      <c r="A20" s="115" t="s">
        <v>9337</v>
      </c>
      <c r="B20" s="109" t="s">
        <v>9446</v>
      </c>
      <c r="C20" s="110" t="s">
        <v>9447</v>
      </c>
    </row>
    <row r="21" spans="1:3" x14ac:dyDescent="0.25">
      <c r="A21" s="115" t="s">
        <v>9337</v>
      </c>
      <c r="B21" s="109" t="s">
        <v>9448</v>
      </c>
      <c r="C21" s="110" t="s">
        <v>9449</v>
      </c>
    </row>
    <row r="22" spans="1:3" x14ac:dyDescent="0.25">
      <c r="A22" s="161" t="s">
        <v>9337</v>
      </c>
      <c r="B22" s="109" t="s">
        <v>9450</v>
      </c>
      <c r="C22" s="323" t="s">
        <v>13441</v>
      </c>
    </row>
    <row r="23" spans="1:3" x14ac:dyDescent="0.25">
      <c r="A23" s="161" t="s">
        <v>9337</v>
      </c>
      <c r="B23" s="109" t="s">
        <v>9452</v>
      </c>
      <c r="C23" s="323" t="s">
        <v>13442</v>
      </c>
    </row>
    <row r="24" spans="1:3" x14ac:dyDescent="0.25">
      <c r="A24" s="161" t="s">
        <v>9337</v>
      </c>
      <c r="B24" s="109" t="s">
        <v>9453</v>
      </c>
      <c r="C24" s="323" t="s">
        <v>13443</v>
      </c>
    </row>
    <row r="25" spans="1:3" x14ac:dyDescent="0.25">
      <c r="A25" s="115" t="s">
        <v>9337</v>
      </c>
      <c r="B25" s="109" t="s">
        <v>9454</v>
      </c>
      <c r="C25" s="110" t="s">
        <v>9455</v>
      </c>
    </row>
    <row r="26" spans="1:3" x14ac:dyDescent="0.25">
      <c r="A26" s="115" t="s">
        <v>9337</v>
      </c>
      <c r="B26" s="109" t="s">
        <v>9460</v>
      </c>
      <c r="C26" s="110" t="s">
        <v>9461</v>
      </c>
    </row>
    <row r="27" spans="1:3" x14ac:dyDescent="0.25">
      <c r="A27" s="115" t="s">
        <v>9337</v>
      </c>
      <c r="B27" s="109" t="s">
        <v>9462</v>
      </c>
      <c r="C27" s="110" t="s">
        <v>9457</v>
      </c>
    </row>
    <row r="28" spans="1:3" x14ac:dyDescent="0.25">
      <c r="A28" s="115" t="s">
        <v>9337</v>
      </c>
      <c r="B28" s="109" t="s">
        <v>9463</v>
      </c>
      <c r="C28" s="110" t="s">
        <v>9464</v>
      </c>
    </row>
    <row r="29" spans="1:3" x14ac:dyDescent="0.25">
      <c r="A29" s="115" t="s">
        <v>9337</v>
      </c>
      <c r="B29" s="109" t="s">
        <v>9465</v>
      </c>
      <c r="C29" s="110" t="s">
        <v>9466</v>
      </c>
    </row>
    <row r="30" spans="1:3" x14ac:dyDescent="0.25">
      <c r="A30" s="115" t="s">
        <v>9337</v>
      </c>
      <c r="B30" s="109" t="s">
        <v>9468</v>
      </c>
      <c r="C30" s="110" t="s">
        <v>9469</v>
      </c>
    </row>
    <row r="31" spans="1:3" x14ac:dyDescent="0.25">
      <c r="A31" s="115" t="s">
        <v>9337</v>
      </c>
      <c r="B31" s="109" t="s">
        <v>9470</v>
      </c>
      <c r="C31" s="110" t="s">
        <v>9471</v>
      </c>
    </row>
    <row r="32" spans="1:3" x14ac:dyDescent="0.25">
      <c r="A32" s="115" t="s">
        <v>9337</v>
      </c>
      <c r="B32" s="109" t="s">
        <v>9480</v>
      </c>
      <c r="C32" s="110" t="s">
        <v>9481</v>
      </c>
    </row>
    <row r="33" spans="1:3" x14ac:dyDescent="0.25">
      <c r="A33" s="115" t="s">
        <v>9337</v>
      </c>
      <c r="B33" s="109" t="s">
        <v>9482</v>
      </c>
      <c r="C33" s="110" t="s">
        <v>9483</v>
      </c>
    </row>
    <row r="34" spans="1:3" x14ac:dyDescent="0.25">
      <c r="A34" s="115" t="s">
        <v>9337</v>
      </c>
      <c r="B34" s="109" t="s">
        <v>9489</v>
      </c>
      <c r="C34" s="110" t="s">
        <v>9490</v>
      </c>
    </row>
    <row r="35" spans="1:3" x14ac:dyDescent="0.25">
      <c r="A35" s="115" t="s">
        <v>9337</v>
      </c>
      <c r="B35" s="109" t="s">
        <v>9491</v>
      </c>
      <c r="C35" s="110" t="s">
        <v>9492</v>
      </c>
    </row>
    <row r="36" spans="1:3" x14ac:dyDescent="0.25">
      <c r="A36" s="115" t="s">
        <v>9337</v>
      </c>
      <c r="B36" s="109" t="s">
        <v>9493</v>
      </c>
      <c r="C36" s="110" t="s">
        <v>9494</v>
      </c>
    </row>
    <row r="37" spans="1:3" x14ac:dyDescent="0.25">
      <c r="A37" s="161" t="s">
        <v>9337</v>
      </c>
      <c r="B37" s="109" t="s">
        <v>9495</v>
      </c>
      <c r="C37" s="323" t="s">
        <v>13444</v>
      </c>
    </row>
    <row r="38" spans="1:3" x14ac:dyDescent="0.25">
      <c r="A38" s="161" t="s">
        <v>9337</v>
      </c>
      <c r="B38" s="109" t="s">
        <v>9497</v>
      </c>
      <c r="C38" s="323" t="s">
        <v>13445</v>
      </c>
    </row>
    <row r="39" spans="1:3" x14ac:dyDescent="0.25">
      <c r="A39" s="161" t="s">
        <v>9337</v>
      </c>
      <c r="B39" s="109" t="s">
        <v>9498</v>
      </c>
      <c r="C39" s="323" t="s">
        <v>13446</v>
      </c>
    </row>
    <row r="40" spans="1:3" x14ac:dyDescent="0.25">
      <c r="A40" s="161" t="s">
        <v>9337</v>
      </c>
      <c r="B40" s="109" t="s">
        <v>9499</v>
      </c>
      <c r="C40" s="323" t="s">
        <v>13447</v>
      </c>
    </row>
    <row r="41" spans="1:3" x14ac:dyDescent="0.25">
      <c r="A41" s="161" t="s">
        <v>9337</v>
      </c>
      <c r="B41" s="109" t="s">
        <v>9500</v>
      </c>
      <c r="C41" s="323" t="s">
        <v>13448</v>
      </c>
    </row>
    <row r="42" spans="1:3" x14ac:dyDescent="0.25">
      <c r="A42" s="161" t="s">
        <v>9337</v>
      </c>
      <c r="B42" s="109" t="s">
        <v>9501</v>
      </c>
      <c r="C42" s="323" t="s">
        <v>13449</v>
      </c>
    </row>
    <row r="43" spans="1:3" x14ac:dyDescent="0.25">
      <c r="A43" s="161" t="s">
        <v>9337</v>
      </c>
      <c r="B43" s="109" t="s">
        <v>9502</v>
      </c>
      <c r="C43" s="323" t="s">
        <v>13450</v>
      </c>
    </row>
    <row r="44" spans="1:3" x14ac:dyDescent="0.25">
      <c r="A44" s="161" t="s">
        <v>9337</v>
      </c>
      <c r="B44" s="109" t="s">
        <v>9503</v>
      </c>
      <c r="C44" s="323" t="s">
        <v>13451</v>
      </c>
    </row>
    <row r="45" spans="1:3" x14ac:dyDescent="0.25">
      <c r="A45" s="161" t="s">
        <v>9337</v>
      </c>
      <c r="B45" s="109" t="s">
        <v>9504</v>
      </c>
      <c r="C45" s="323" t="s">
        <v>13452</v>
      </c>
    </row>
    <row r="46" spans="1:3" x14ac:dyDescent="0.25">
      <c r="A46" s="161" t="s">
        <v>9337</v>
      </c>
      <c r="B46" s="109" t="s">
        <v>9506</v>
      </c>
      <c r="C46" s="323" t="s">
        <v>13453</v>
      </c>
    </row>
    <row r="47" spans="1:3" x14ac:dyDescent="0.25">
      <c r="A47" s="161" t="s">
        <v>9337</v>
      </c>
      <c r="B47" s="109" t="s">
        <v>9507</v>
      </c>
      <c r="C47" s="323" t="s">
        <v>13454</v>
      </c>
    </row>
    <row r="48" spans="1:3" x14ac:dyDescent="0.25">
      <c r="A48" s="161" t="s">
        <v>9337</v>
      </c>
      <c r="B48" s="109" t="s">
        <v>9508</v>
      </c>
      <c r="C48" s="323" t="s">
        <v>13455</v>
      </c>
    </row>
    <row r="49" spans="1:3" x14ac:dyDescent="0.25">
      <c r="A49" s="161" t="s">
        <v>9337</v>
      </c>
      <c r="B49" s="109" t="s">
        <v>9509</v>
      </c>
      <c r="C49" s="323" t="s">
        <v>13456</v>
      </c>
    </row>
    <row r="50" spans="1:3" x14ac:dyDescent="0.25">
      <c r="A50" s="161" t="s">
        <v>9337</v>
      </c>
      <c r="B50" s="109" t="s">
        <v>9510</v>
      </c>
      <c r="C50" s="323" t="s">
        <v>13457</v>
      </c>
    </row>
    <row r="51" spans="1:3" x14ac:dyDescent="0.25">
      <c r="A51" s="161" t="s">
        <v>9337</v>
      </c>
      <c r="B51" s="109" t="s">
        <v>9511</v>
      </c>
      <c r="C51" s="323" t="s">
        <v>13458</v>
      </c>
    </row>
    <row r="52" spans="1:3" x14ac:dyDescent="0.25">
      <c r="A52" s="115" t="s">
        <v>9337</v>
      </c>
      <c r="B52" s="109" t="s">
        <v>9512</v>
      </c>
      <c r="C52" s="110" t="s">
        <v>9513</v>
      </c>
    </row>
    <row r="53" spans="1:3" x14ac:dyDescent="0.25">
      <c r="A53" s="161" t="s">
        <v>9337</v>
      </c>
      <c r="B53" s="109" t="s">
        <v>9514</v>
      </c>
      <c r="C53" s="323" t="s">
        <v>13438</v>
      </c>
    </row>
    <row r="54" spans="1:3" x14ac:dyDescent="0.25">
      <c r="A54" s="164" t="s">
        <v>9337</v>
      </c>
      <c r="B54" s="167" t="s">
        <v>13498</v>
      </c>
      <c r="C54" s="320" t="s">
        <v>13433</v>
      </c>
    </row>
    <row r="55" spans="1:3" x14ac:dyDescent="0.25">
      <c r="A55" s="161" t="s">
        <v>9337</v>
      </c>
      <c r="B55" s="109" t="s">
        <v>9515</v>
      </c>
      <c r="C55" s="323" t="s">
        <v>13440</v>
      </c>
    </row>
    <row r="56" spans="1:3" x14ac:dyDescent="0.25">
      <c r="A56" s="161" t="s">
        <v>9337</v>
      </c>
      <c r="B56" s="109" t="s">
        <v>9516</v>
      </c>
      <c r="C56" s="323" t="s">
        <v>13439</v>
      </c>
    </row>
    <row r="57" spans="1:3" x14ac:dyDescent="0.25">
      <c r="A57" s="115" t="s">
        <v>9337</v>
      </c>
      <c r="B57" s="109" t="s">
        <v>9517</v>
      </c>
      <c r="C57" s="110" t="s">
        <v>9518</v>
      </c>
    </row>
    <row r="58" spans="1:3" x14ac:dyDescent="0.25">
      <c r="A58" s="115" t="s">
        <v>9337</v>
      </c>
      <c r="B58" s="109" t="s">
        <v>9521</v>
      </c>
      <c r="C58" s="110" t="s">
        <v>10993</v>
      </c>
    </row>
    <row r="59" spans="1:3" x14ac:dyDescent="0.25">
      <c r="A59" s="115" t="s">
        <v>9337</v>
      </c>
      <c r="B59" s="109" t="s">
        <v>9524</v>
      </c>
      <c r="C59" s="110" t="s">
        <v>9525</v>
      </c>
    </row>
    <row r="60" spans="1:3" x14ac:dyDescent="0.25">
      <c r="A60" s="115" t="s">
        <v>9337</v>
      </c>
      <c r="B60" s="109" t="s">
        <v>9538</v>
      </c>
      <c r="C60" s="110" t="s">
        <v>9539</v>
      </c>
    </row>
    <row r="61" spans="1:3" x14ac:dyDescent="0.25">
      <c r="A61" s="115" t="s">
        <v>9337</v>
      </c>
      <c r="B61" s="109" t="s">
        <v>9540</v>
      </c>
      <c r="C61" s="110" t="s">
        <v>9541</v>
      </c>
    </row>
    <row r="62" spans="1:3" x14ac:dyDescent="0.25">
      <c r="A62" s="115" t="s">
        <v>9337</v>
      </c>
      <c r="B62" s="109" t="s">
        <v>9554</v>
      </c>
      <c r="C62" s="110" t="s">
        <v>9555</v>
      </c>
    </row>
    <row r="63" spans="1:3" x14ac:dyDescent="0.25">
      <c r="A63" s="161" t="s">
        <v>9337</v>
      </c>
      <c r="B63" s="109" t="s">
        <v>9560</v>
      </c>
      <c r="C63" s="323" t="s">
        <v>13459</v>
      </c>
    </row>
    <row r="64" spans="1:3" x14ac:dyDescent="0.25">
      <c r="A64" s="161" t="s">
        <v>9337</v>
      </c>
      <c r="B64" s="109" t="s">
        <v>9561</v>
      </c>
      <c r="C64" s="323" t="s">
        <v>13460</v>
      </c>
    </row>
    <row r="65" spans="1:3" x14ac:dyDescent="0.25">
      <c r="A65" s="115" t="s">
        <v>9337</v>
      </c>
      <c r="B65" s="109" t="s">
        <v>9562</v>
      </c>
      <c r="C65" s="110" t="s">
        <v>9563</v>
      </c>
    </row>
    <row r="66" spans="1:3" x14ac:dyDescent="0.25">
      <c r="A66" s="161" t="s">
        <v>9337</v>
      </c>
      <c r="B66" s="109" t="s">
        <v>9564</v>
      </c>
      <c r="C66" s="323" t="s">
        <v>13461</v>
      </c>
    </row>
    <row r="67" spans="1:3" x14ac:dyDescent="0.25">
      <c r="A67" s="161" t="s">
        <v>9337</v>
      </c>
      <c r="B67" s="109" t="s">
        <v>9565</v>
      </c>
      <c r="C67" s="323" t="s">
        <v>13462</v>
      </c>
    </row>
    <row r="68" spans="1:3" x14ac:dyDescent="0.25">
      <c r="A68" s="115" t="s">
        <v>9337</v>
      </c>
      <c r="B68" s="109" t="s">
        <v>9566</v>
      </c>
      <c r="C68" s="110" t="s">
        <v>9567</v>
      </c>
    </row>
    <row r="69" spans="1:3" x14ac:dyDescent="0.25">
      <c r="A69" s="161" t="s">
        <v>9337</v>
      </c>
      <c r="B69" s="109" t="s">
        <v>9568</v>
      </c>
      <c r="C69" s="323" t="s">
        <v>13463</v>
      </c>
    </row>
    <row r="70" spans="1:3" x14ac:dyDescent="0.25">
      <c r="A70" s="161" t="s">
        <v>9337</v>
      </c>
      <c r="B70" s="109" t="s">
        <v>9569</v>
      </c>
      <c r="C70" s="323" t="s">
        <v>13464</v>
      </c>
    </row>
    <row r="71" spans="1:3" x14ac:dyDescent="0.25">
      <c r="A71" s="115" t="s">
        <v>9337</v>
      </c>
      <c r="B71" s="109" t="s">
        <v>9570</v>
      </c>
      <c r="C71" s="110" t="s">
        <v>9571</v>
      </c>
    </row>
    <row r="72" spans="1:3" x14ac:dyDescent="0.25">
      <c r="A72" s="161" t="s">
        <v>9337</v>
      </c>
      <c r="B72" s="109" t="s">
        <v>9572</v>
      </c>
      <c r="C72" s="323" t="s">
        <v>13465</v>
      </c>
    </row>
    <row r="73" spans="1:3" x14ac:dyDescent="0.25">
      <c r="A73" s="161" t="s">
        <v>9337</v>
      </c>
      <c r="B73" s="109" t="s">
        <v>9573</v>
      </c>
      <c r="C73" s="323" t="s">
        <v>13466</v>
      </c>
    </row>
    <row r="74" spans="1:3" x14ac:dyDescent="0.25">
      <c r="A74" s="161" t="s">
        <v>9337</v>
      </c>
      <c r="B74" s="109" t="s">
        <v>9574</v>
      </c>
      <c r="C74" s="323" t="s">
        <v>13467</v>
      </c>
    </row>
    <row r="75" spans="1:3" x14ac:dyDescent="0.25">
      <c r="A75" s="161" t="s">
        <v>9337</v>
      </c>
      <c r="B75" s="109" t="s">
        <v>9575</v>
      </c>
      <c r="C75" s="323" t="s">
        <v>13468</v>
      </c>
    </row>
    <row r="76" spans="1:3" x14ac:dyDescent="0.25">
      <c r="A76" s="115" t="s">
        <v>9337</v>
      </c>
      <c r="B76" s="109" t="s">
        <v>9576</v>
      </c>
      <c r="C76" s="110" t="s">
        <v>9577</v>
      </c>
    </row>
    <row r="77" spans="1:3" x14ac:dyDescent="0.25">
      <c r="A77" s="115" t="s">
        <v>9337</v>
      </c>
      <c r="B77" s="109" t="s">
        <v>9578</v>
      </c>
      <c r="C77" s="110" t="s">
        <v>9579</v>
      </c>
    </row>
    <row r="78" spans="1:3" x14ac:dyDescent="0.25">
      <c r="A78" s="115" t="s">
        <v>9337</v>
      </c>
      <c r="B78" s="109" t="s">
        <v>9580</v>
      </c>
      <c r="C78" s="110" t="s">
        <v>9581</v>
      </c>
    </row>
    <row r="79" spans="1:3" x14ac:dyDescent="0.25">
      <c r="A79" s="161" t="s">
        <v>9337</v>
      </c>
      <c r="B79" s="109" t="s">
        <v>9590</v>
      </c>
      <c r="C79" s="323" t="s">
        <v>13469</v>
      </c>
    </row>
    <row r="80" spans="1:3" x14ac:dyDescent="0.25">
      <c r="A80" s="161" t="s">
        <v>9337</v>
      </c>
      <c r="B80" s="109" t="s">
        <v>9591</v>
      </c>
      <c r="C80" s="323" t="s">
        <v>13470</v>
      </c>
    </row>
    <row r="81" spans="1:3" x14ac:dyDescent="0.25">
      <c r="A81" s="115" t="s">
        <v>9337</v>
      </c>
      <c r="B81" s="109" t="s">
        <v>9592</v>
      </c>
      <c r="C81" s="110" t="s">
        <v>9593</v>
      </c>
    </row>
    <row r="82" spans="1:3" x14ac:dyDescent="0.25">
      <c r="A82" s="161" t="s">
        <v>9337</v>
      </c>
      <c r="B82" s="109" t="s">
        <v>9598</v>
      </c>
      <c r="C82" s="323" t="s">
        <v>13471</v>
      </c>
    </row>
    <row r="83" spans="1:3" x14ac:dyDescent="0.25">
      <c r="A83" s="161" t="s">
        <v>9337</v>
      </c>
      <c r="B83" s="109" t="s">
        <v>9599</v>
      </c>
      <c r="C83" s="323" t="s">
        <v>13472</v>
      </c>
    </row>
    <row r="84" spans="1:3" x14ac:dyDescent="0.25">
      <c r="A84" s="115" t="s">
        <v>9337</v>
      </c>
      <c r="B84" s="109" t="s">
        <v>9600</v>
      </c>
      <c r="C84" s="110" t="s">
        <v>9601</v>
      </c>
    </row>
    <row r="85" spans="1:3" x14ac:dyDescent="0.25">
      <c r="A85" s="161" t="s">
        <v>9337</v>
      </c>
      <c r="B85" s="109" t="s">
        <v>9602</v>
      </c>
      <c r="C85" s="323" t="s">
        <v>13496</v>
      </c>
    </row>
    <row r="86" spans="1:3" x14ac:dyDescent="0.25">
      <c r="A86" s="115" t="s">
        <v>9337</v>
      </c>
      <c r="B86" s="109" t="s">
        <v>9603</v>
      </c>
      <c r="C86" s="110" t="s">
        <v>9604</v>
      </c>
    </row>
    <row r="87" spans="1:3" x14ac:dyDescent="0.25">
      <c r="A87" s="161" t="s">
        <v>9337</v>
      </c>
      <c r="B87" s="109" t="s">
        <v>9609</v>
      </c>
      <c r="C87" s="323" t="s">
        <v>13473</v>
      </c>
    </row>
    <row r="88" spans="1:3" x14ac:dyDescent="0.25">
      <c r="A88" s="161" t="s">
        <v>9337</v>
      </c>
      <c r="B88" s="109" t="s">
        <v>9610</v>
      </c>
      <c r="C88" s="323" t="s">
        <v>13474</v>
      </c>
    </row>
    <row r="89" spans="1:3" x14ac:dyDescent="0.25">
      <c r="A89" s="161" t="s">
        <v>9337</v>
      </c>
      <c r="B89" s="109" t="s">
        <v>9611</v>
      </c>
      <c r="C89" s="323" t="s">
        <v>13475</v>
      </c>
    </row>
    <row r="90" spans="1:3" x14ac:dyDescent="0.25">
      <c r="A90" s="161" t="s">
        <v>9337</v>
      </c>
      <c r="B90" s="109" t="s">
        <v>9614</v>
      </c>
      <c r="C90" s="323" t="s">
        <v>13476</v>
      </c>
    </row>
    <row r="91" spans="1:3" x14ac:dyDescent="0.25">
      <c r="A91" s="115" t="s">
        <v>9337</v>
      </c>
      <c r="B91" s="109" t="s">
        <v>9619</v>
      </c>
      <c r="C91" s="110" t="s">
        <v>9620</v>
      </c>
    </row>
    <row r="92" spans="1:3" x14ac:dyDescent="0.25">
      <c r="A92" s="161" t="s">
        <v>9337</v>
      </c>
      <c r="B92" s="109" t="s">
        <v>9621</v>
      </c>
      <c r="C92" s="323" t="s">
        <v>13477</v>
      </c>
    </row>
    <row r="93" spans="1:3" x14ac:dyDescent="0.25">
      <c r="A93" s="161" t="s">
        <v>9337</v>
      </c>
      <c r="B93" s="109" t="s">
        <v>9622</v>
      </c>
      <c r="C93" s="323" t="s">
        <v>13478</v>
      </c>
    </row>
    <row r="94" spans="1:3" x14ac:dyDescent="0.25">
      <c r="A94" s="161" t="s">
        <v>9337</v>
      </c>
      <c r="B94" s="109" t="s">
        <v>9623</v>
      </c>
      <c r="C94" s="323" t="s">
        <v>13479</v>
      </c>
    </row>
    <row r="95" spans="1:3" x14ac:dyDescent="0.25">
      <c r="A95" s="161" t="s">
        <v>9337</v>
      </c>
      <c r="B95" s="109" t="s">
        <v>9624</v>
      </c>
      <c r="C95" s="323" t="s">
        <v>13480</v>
      </c>
    </row>
    <row r="96" spans="1:3" x14ac:dyDescent="0.25">
      <c r="A96" s="115" t="s">
        <v>9337</v>
      </c>
      <c r="B96" s="109" t="s">
        <v>9625</v>
      </c>
      <c r="C96" s="110" t="s">
        <v>9626</v>
      </c>
    </row>
    <row r="97" spans="1:3" x14ac:dyDescent="0.25">
      <c r="A97" s="161" t="s">
        <v>9337</v>
      </c>
      <c r="B97" s="109" t="s">
        <v>9631</v>
      </c>
      <c r="C97" s="323" t="s">
        <v>13481</v>
      </c>
    </row>
    <row r="98" spans="1:3" x14ac:dyDescent="0.25">
      <c r="A98" s="115" t="s">
        <v>9337</v>
      </c>
      <c r="B98" s="109" t="s">
        <v>9632</v>
      </c>
      <c r="C98" s="110" t="s">
        <v>9633</v>
      </c>
    </row>
    <row r="99" spans="1:3" x14ac:dyDescent="0.25">
      <c r="A99" s="161" t="s">
        <v>9337</v>
      </c>
      <c r="B99" s="109" t="s">
        <v>9638</v>
      </c>
      <c r="C99" s="323" t="s">
        <v>13482</v>
      </c>
    </row>
    <row r="100" spans="1:3" x14ac:dyDescent="0.25">
      <c r="A100" s="161" t="s">
        <v>9337</v>
      </c>
      <c r="B100" s="109" t="s">
        <v>9639</v>
      </c>
      <c r="C100" s="323" t="s">
        <v>13483</v>
      </c>
    </row>
    <row r="101" spans="1:3" x14ac:dyDescent="0.25">
      <c r="A101" s="115" t="s">
        <v>9337</v>
      </c>
      <c r="B101" s="109" t="s">
        <v>9640</v>
      </c>
      <c r="C101" s="110" t="s">
        <v>9641</v>
      </c>
    </row>
    <row r="102" spans="1:3" x14ac:dyDescent="0.25">
      <c r="A102" s="115" t="s">
        <v>9337</v>
      </c>
      <c r="B102" s="109" t="s">
        <v>9646</v>
      </c>
      <c r="C102" s="110" t="s">
        <v>9647</v>
      </c>
    </row>
    <row r="103" spans="1:3" x14ac:dyDescent="0.25">
      <c r="A103" s="115" t="s">
        <v>9337</v>
      </c>
      <c r="B103" s="109" t="s">
        <v>9674</v>
      </c>
      <c r="C103" s="110" t="s">
        <v>9675</v>
      </c>
    </row>
    <row r="104" spans="1:3" x14ac:dyDescent="0.25">
      <c r="A104" s="161" t="s">
        <v>9337</v>
      </c>
      <c r="B104" s="109" t="s">
        <v>9680</v>
      </c>
      <c r="C104" s="323" t="s">
        <v>13484</v>
      </c>
    </row>
    <row r="105" spans="1:3" x14ac:dyDescent="0.25">
      <c r="A105" s="161" t="s">
        <v>9337</v>
      </c>
      <c r="B105" s="109" t="s">
        <v>9681</v>
      </c>
      <c r="C105" s="323" t="s">
        <v>13485</v>
      </c>
    </row>
    <row r="106" spans="1:3" x14ac:dyDescent="0.25">
      <c r="A106" s="115" t="s">
        <v>9337</v>
      </c>
      <c r="B106" s="109" t="s">
        <v>9682</v>
      </c>
      <c r="C106" s="110" t="s">
        <v>9683</v>
      </c>
    </row>
    <row r="107" spans="1:3" x14ac:dyDescent="0.25">
      <c r="A107" s="161" t="s">
        <v>9337</v>
      </c>
      <c r="B107" s="109" t="s">
        <v>9686</v>
      </c>
      <c r="C107" s="323" t="s">
        <v>13486</v>
      </c>
    </row>
    <row r="108" spans="1:3" x14ac:dyDescent="0.25">
      <c r="A108" s="161" t="s">
        <v>9337</v>
      </c>
      <c r="B108" s="109" t="s">
        <v>9687</v>
      </c>
      <c r="C108" s="323" t="s">
        <v>13487</v>
      </c>
    </row>
    <row r="109" spans="1:3" x14ac:dyDescent="0.25">
      <c r="A109" s="115" t="s">
        <v>9337</v>
      </c>
      <c r="B109" s="109" t="s">
        <v>9688</v>
      </c>
      <c r="C109" s="110" t="s">
        <v>9689</v>
      </c>
    </row>
    <row r="110" spans="1:3" x14ac:dyDescent="0.25">
      <c r="A110" s="115" t="s">
        <v>9337</v>
      </c>
      <c r="B110" s="109" t="s">
        <v>9692</v>
      </c>
      <c r="C110" s="110" t="s">
        <v>9693</v>
      </c>
    </row>
    <row r="111" spans="1:3" x14ac:dyDescent="0.25">
      <c r="A111" s="115" t="s">
        <v>9337</v>
      </c>
      <c r="B111" s="109" t="s">
        <v>9698</v>
      </c>
      <c r="C111" s="110" t="s">
        <v>9699</v>
      </c>
    </row>
    <row r="112" spans="1:3" x14ac:dyDescent="0.25">
      <c r="A112" s="115" t="s">
        <v>9337</v>
      </c>
      <c r="B112" s="109" t="s">
        <v>9704</v>
      </c>
      <c r="C112" s="110" t="s">
        <v>9705</v>
      </c>
    </row>
    <row r="113" spans="1:3" x14ac:dyDescent="0.25">
      <c r="A113" s="115" t="s">
        <v>9337</v>
      </c>
      <c r="B113" s="109" t="s">
        <v>9708</v>
      </c>
      <c r="C113" s="110" t="s">
        <v>9709</v>
      </c>
    </row>
    <row r="114" spans="1:3" x14ac:dyDescent="0.25">
      <c r="A114" s="164" t="s">
        <v>9337</v>
      </c>
      <c r="B114" s="167" t="s">
        <v>13430</v>
      </c>
      <c r="C114" s="320" t="s">
        <v>13497</v>
      </c>
    </row>
    <row r="115" spans="1:3" x14ac:dyDescent="0.25">
      <c r="A115" s="164" t="s">
        <v>9337</v>
      </c>
      <c r="B115" s="167" t="s">
        <v>13431</v>
      </c>
      <c r="C115" s="320" t="s">
        <v>13437</v>
      </c>
    </row>
    <row r="116" spans="1:3" x14ac:dyDescent="0.25">
      <c r="A116" s="115" t="s">
        <v>9337</v>
      </c>
      <c r="B116" s="109" t="s">
        <v>9710</v>
      </c>
      <c r="C116" s="110" t="s">
        <v>9711</v>
      </c>
    </row>
    <row r="117" spans="1:3" x14ac:dyDescent="0.25">
      <c r="A117" s="161" t="s">
        <v>9337</v>
      </c>
      <c r="B117" s="109" t="s">
        <v>9714</v>
      </c>
      <c r="C117" s="323" t="s">
        <v>13488</v>
      </c>
    </row>
    <row r="118" spans="1:3" x14ac:dyDescent="0.25">
      <c r="A118" s="115" t="s">
        <v>9337</v>
      </c>
      <c r="B118" s="109" t="s">
        <v>9715</v>
      </c>
      <c r="C118" s="110" t="s">
        <v>9716</v>
      </c>
    </row>
    <row r="119" spans="1:3" x14ac:dyDescent="0.25">
      <c r="A119" s="115" t="s">
        <v>9337</v>
      </c>
      <c r="B119" s="109" t="s">
        <v>9717</v>
      </c>
      <c r="C119" s="110" t="s">
        <v>9718</v>
      </c>
    </row>
    <row r="120" spans="1:3" x14ac:dyDescent="0.25">
      <c r="A120" s="161" t="s">
        <v>9337</v>
      </c>
      <c r="B120" s="109" t="s">
        <v>9719</v>
      </c>
      <c r="C120" s="323" t="s">
        <v>13434</v>
      </c>
    </row>
    <row r="121" spans="1:3" x14ac:dyDescent="0.25">
      <c r="A121" s="115" t="s">
        <v>9337</v>
      </c>
      <c r="B121" s="109" t="s">
        <v>9720</v>
      </c>
      <c r="C121" s="110" t="s">
        <v>9721</v>
      </c>
    </row>
    <row r="122" spans="1:3" x14ac:dyDescent="0.25">
      <c r="A122" s="115" t="s">
        <v>9337</v>
      </c>
      <c r="B122" s="109" t="s">
        <v>9724</v>
      </c>
      <c r="C122" s="110" t="s">
        <v>9725</v>
      </c>
    </row>
    <row r="123" spans="1:3" x14ac:dyDescent="0.25">
      <c r="A123" s="115" t="s">
        <v>9337</v>
      </c>
      <c r="B123" s="109" t="s">
        <v>9726</v>
      </c>
      <c r="C123" s="110" t="s">
        <v>9727</v>
      </c>
    </row>
    <row r="124" spans="1:3" x14ac:dyDescent="0.25">
      <c r="A124" s="115" t="s">
        <v>9337</v>
      </c>
      <c r="B124" s="109" t="s">
        <v>9728</v>
      </c>
      <c r="C124" s="110" t="s">
        <v>9729</v>
      </c>
    </row>
    <row r="125" spans="1:3" x14ac:dyDescent="0.25">
      <c r="A125" s="115" t="s">
        <v>9337</v>
      </c>
      <c r="B125" s="109" t="s">
        <v>9732</v>
      </c>
      <c r="C125" s="110" t="s">
        <v>9733</v>
      </c>
    </row>
    <row r="126" spans="1:3" x14ac:dyDescent="0.25">
      <c r="A126" s="115" t="s">
        <v>9337</v>
      </c>
      <c r="B126" s="109" t="s">
        <v>9734</v>
      </c>
      <c r="C126" s="110" t="s">
        <v>9735</v>
      </c>
    </row>
    <row r="127" spans="1:3" x14ac:dyDescent="0.25">
      <c r="A127" s="115" t="s">
        <v>9337</v>
      </c>
      <c r="B127" s="109" t="s">
        <v>9736</v>
      </c>
      <c r="C127" s="110" t="s">
        <v>9737</v>
      </c>
    </row>
    <row r="128" spans="1:3" x14ac:dyDescent="0.25">
      <c r="A128" s="115" t="s">
        <v>9337</v>
      </c>
      <c r="B128" s="109" t="s">
        <v>9738</v>
      </c>
      <c r="C128" s="110" t="s">
        <v>9739</v>
      </c>
    </row>
    <row r="129" spans="1:3" x14ac:dyDescent="0.25">
      <c r="A129" s="115" t="s">
        <v>9337</v>
      </c>
      <c r="B129" s="109" t="s">
        <v>9740</v>
      </c>
      <c r="C129" s="110" t="s">
        <v>1489</v>
      </c>
    </row>
    <row r="130" spans="1:3" x14ac:dyDescent="0.25">
      <c r="A130" s="115" t="s">
        <v>9337</v>
      </c>
      <c r="B130" s="109" t="s">
        <v>9741</v>
      </c>
      <c r="C130" s="110" t="s">
        <v>6639</v>
      </c>
    </row>
    <row r="131" spans="1:3" x14ac:dyDescent="0.25">
      <c r="A131" s="115" t="s">
        <v>9337</v>
      </c>
      <c r="B131" s="109" t="s">
        <v>9742</v>
      </c>
      <c r="C131" s="110" t="s">
        <v>6641</v>
      </c>
    </row>
    <row r="132" spans="1:3" x14ac:dyDescent="0.25">
      <c r="A132" s="115" t="s">
        <v>9337</v>
      </c>
      <c r="B132" s="109" t="s">
        <v>9743</v>
      </c>
      <c r="C132" s="110" t="s">
        <v>6643</v>
      </c>
    </row>
    <row r="133" spans="1:3" x14ac:dyDescent="0.25">
      <c r="A133" s="115" t="s">
        <v>9337</v>
      </c>
      <c r="B133" s="109" t="s">
        <v>9744</v>
      </c>
      <c r="C133" s="110" t="s">
        <v>6645</v>
      </c>
    </row>
    <row r="134" spans="1:3" x14ac:dyDescent="0.25">
      <c r="A134" s="115" t="s">
        <v>9337</v>
      </c>
      <c r="B134" s="109" t="s">
        <v>9745</v>
      </c>
      <c r="C134" s="110" t="s">
        <v>6647</v>
      </c>
    </row>
    <row r="135" spans="1:3" x14ac:dyDescent="0.25">
      <c r="A135" s="115" t="s">
        <v>9337</v>
      </c>
      <c r="B135" s="109" t="s">
        <v>9746</v>
      </c>
      <c r="C135" s="110" t="s">
        <v>6649</v>
      </c>
    </row>
    <row r="136" spans="1:3" x14ac:dyDescent="0.25">
      <c r="A136" s="115" t="s">
        <v>9337</v>
      </c>
      <c r="B136" s="109" t="s">
        <v>9747</v>
      </c>
      <c r="C136" s="110" t="s">
        <v>9748</v>
      </c>
    </row>
    <row r="137" spans="1:3" x14ac:dyDescent="0.25">
      <c r="A137" s="115" t="s">
        <v>9337</v>
      </c>
      <c r="B137" s="109" t="s">
        <v>9749</v>
      </c>
      <c r="C137" s="110" t="s">
        <v>9750</v>
      </c>
    </row>
    <row r="138" spans="1:3" x14ac:dyDescent="0.25">
      <c r="A138" s="161" t="s">
        <v>9337</v>
      </c>
      <c r="B138" s="109" t="s">
        <v>9755</v>
      </c>
      <c r="C138" s="323" t="s">
        <v>13489</v>
      </c>
    </row>
    <row r="139" spans="1:3" x14ac:dyDescent="0.25">
      <c r="A139" s="161" t="s">
        <v>9337</v>
      </c>
      <c r="B139" s="109" t="s">
        <v>9756</v>
      </c>
      <c r="C139" s="323" t="s">
        <v>13490</v>
      </c>
    </row>
    <row r="140" spans="1:3" x14ac:dyDescent="0.25">
      <c r="A140" s="161" t="s">
        <v>9337</v>
      </c>
      <c r="B140" s="109" t="s">
        <v>9757</v>
      </c>
      <c r="C140" s="323" t="s">
        <v>13491</v>
      </c>
    </row>
    <row r="141" spans="1:3" x14ac:dyDescent="0.25">
      <c r="A141" s="115" t="s">
        <v>9337</v>
      </c>
      <c r="B141" s="109" t="s">
        <v>9758</v>
      </c>
      <c r="C141" s="110" t="s">
        <v>9759</v>
      </c>
    </row>
    <row r="142" spans="1:3" x14ac:dyDescent="0.25">
      <c r="A142" s="115" t="s">
        <v>9337</v>
      </c>
      <c r="B142" s="109" t="s">
        <v>9760</v>
      </c>
      <c r="C142" s="110" t="s">
        <v>9761</v>
      </c>
    </row>
    <row r="143" spans="1:3" x14ac:dyDescent="0.25">
      <c r="A143" s="161" t="s">
        <v>9337</v>
      </c>
      <c r="B143" s="109" t="s">
        <v>9764</v>
      </c>
      <c r="C143" s="323" t="s">
        <v>13492</v>
      </c>
    </row>
    <row r="144" spans="1:3" x14ac:dyDescent="0.25">
      <c r="A144" s="161" t="s">
        <v>9337</v>
      </c>
      <c r="B144" s="109" t="s">
        <v>9765</v>
      </c>
      <c r="C144" s="323" t="s">
        <v>13493</v>
      </c>
    </row>
    <row r="145" spans="1:3" x14ac:dyDescent="0.25">
      <c r="A145" s="161" t="s">
        <v>9337</v>
      </c>
      <c r="B145" s="109" t="s">
        <v>9766</v>
      </c>
      <c r="C145" s="323" t="s">
        <v>13494</v>
      </c>
    </row>
    <row r="146" spans="1:3" x14ac:dyDescent="0.25">
      <c r="A146" s="115" t="s">
        <v>9337</v>
      </c>
      <c r="B146" s="109" t="s">
        <v>9767</v>
      </c>
      <c r="C146" s="110" t="s">
        <v>9768</v>
      </c>
    </row>
    <row r="147" spans="1:3" x14ac:dyDescent="0.25">
      <c r="A147" s="115" t="s">
        <v>9337</v>
      </c>
      <c r="B147" s="109" t="s">
        <v>9769</v>
      </c>
      <c r="C147" s="110" t="s">
        <v>9770</v>
      </c>
    </row>
    <row r="148" spans="1:3" x14ac:dyDescent="0.25">
      <c r="A148" s="161" t="s">
        <v>9337</v>
      </c>
      <c r="B148" s="109" t="s">
        <v>9773</v>
      </c>
      <c r="C148" s="323" t="s">
        <v>13495</v>
      </c>
    </row>
    <row r="149" spans="1:3" x14ac:dyDescent="0.25">
      <c r="A149" s="115" t="s">
        <v>9337</v>
      </c>
      <c r="B149" s="109" t="s">
        <v>9774</v>
      </c>
      <c r="C149" s="110" t="s">
        <v>9775</v>
      </c>
    </row>
    <row r="150" spans="1:3" x14ac:dyDescent="0.25">
      <c r="A150" s="115" t="s">
        <v>9337</v>
      </c>
      <c r="B150" s="109" t="s">
        <v>9776</v>
      </c>
      <c r="C150" s="110" t="s">
        <v>9777</v>
      </c>
    </row>
    <row r="151" spans="1:3" x14ac:dyDescent="0.25">
      <c r="A151" s="115" t="s">
        <v>9337</v>
      </c>
      <c r="B151" s="109" t="s">
        <v>9778</v>
      </c>
      <c r="C151" s="110" t="s">
        <v>9779</v>
      </c>
    </row>
    <row r="152" spans="1:3" x14ac:dyDescent="0.25">
      <c r="A152" s="115" t="s">
        <v>9337</v>
      </c>
      <c r="B152" s="109" t="s">
        <v>9783</v>
      </c>
      <c r="C152" s="110" t="s">
        <v>9784</v>
      </c>
    </row>
    <row r="153" spans="1:3" x14ac:dyDescent="0.25">
      <c r="A153" s="115" t="s">
        <v>9337</v>
      </c>
      <c r="B153" s="109" t="s">
        <v>9787</v>
      </c>
      <c r="C153" s="110" t="s">
        <v>9788</v>
      </c>
    </row>
    <row r="154" spans="1:3" x14ac:dyDescent="0.25">
      <c r="A154" s="115" t="s">
        <v>9337</v>
      </c>
      <c r="B154" s="109" t="s">
        <v>9797</v>
      </c>
      <c r="C154" s="110" t="s">
        <v>9798</v>
      </c>
    </row>
    <row r="155" spans="1:3" x14ac:dyDescent="0.25">
      <c r="A155" s="115" t="s">
        <v>9337</v>
      </c>
      <c r="B155" s="109" t="s">
        <v>9805</v>
      </c>
      <c r="C155" s="110" t="s">
        <v>9806</v>
      </c>
    </row>
    <row r="156" spans="1:3" x14ac:dyDescent="0.25">
      <c r="A156" s="115" t="s">
        <v>9337</v>
      </c>
      <c r="B156" s="109" t="s">
        <v>9807</v>
      </c>
      <c r="C156" s="110" t="s">
        <v>10994</v>
      </c>
    </row>
    <row r="157" spans="1:3" x14ac:dyDescent="0.25">
      <c r="A157" s="115" t="s">
        <v>9337</v>
      </c>
      <c r="B157" s="109" t="s">
        <v>9808</v>
      </c>
      <c r="C157" s="110" t="s">
        <v>9809</v>
      </c>
    </row>
    <row r="158" spans="1:3" x14ac:dyDescent="0.25">
      <c r="A158" s="115" t="s">
        <v>9337</v>
      </c>
      <c r="B158" s="109" t="s">
        <v>9810</v>
      </c>
      <c r="C158" s="110" t="s">
        <v>9811</v>
      </c>
    </row>
    <row r="159" spans="1:3" x14ac:dyDescent="0.25">
      <c r="A159" s="115" t="s">
        <v>9337</v>
      </c>
      <c r="B159" s="109" t="s">
        <v>9812</v>
      </c>
      <c r="C159" s="110" t="s">
        <v>9813</v>
      </c>
    </row>
    <row r="160" spans="1:3" x14ac:dyDescent="0.25">
      <c r="A160" s="115" t="s">
        <v>9337</v>
      </c>
      <c r="B160" s="109" t="s">
        <v>9814</v>
      </c>
      <c r="C160" s="110" t="s">
        <v>9815</v>
      </c>
    </row>
    <row r="161" spans="1:3" x14ac:dyDescent="0.25">
      <c r="A161" s="115" t="s">
        <v>9337</v>
      </c>
      <c r="B161" s="109" t="s">
        <v>9817</v>
      </c>
      <c r="C161" s="110" t="s">
        <v>9818</v>
      </c>
    </row>
    <row r="162" spans="1:3" x14ac:dyDescent="0.25">
      <c r="A162" s="115" t="s">
        <v>9337</v>
      </c>
      <c r="B162" s="109" t="s">
        <v>9821</v>
      </c>
      <c r="C162" s="110" t="s">
        <v>9822</v>
      </c>
    </row>
    <row r="163" spans="1:3" x14ac:dyDescent="0.25">
      <c r="A163" s="115" t="s">
        <v>9337</v>
      </c>
      <c r="B163" s="109" t="s">
        <v>9824</v>
      </c>
      <c r="C163" s="110" t="s">
        <v>9825</v>
      </c>
    </row>
    <row r="164" spans="1:3" x14ac:dyDescent="0.25">
      <c r="A164" s="115" t="s">
        <v>9337</v>
      </c>
      <c r="B164" s="109" t="s">
        <v>9827</v>
      </c>
      <c r="C164" s="110" t="s">
        <v>9828</v>
      </c>
    </row>
    <row r="165" spans="1:3" x14ac:dyDescent="0.25">
      <c r="A165" s="115" t="s">
        <v>9337</v>
      </c>
      <c r="B165" s="109" t="s">
        <v>9830</v>
      </c>
      <c r="C165" s="110" t="s">
        <v>9831</v>
      </c>
    </row>
    <row r="166" spans="1:3" x14ac:dyDescent="0.25">
      <c r="A166" s="115" t="s">
        <v>9337</v>
      </c>
      <c r="B166" s="109" t="s">
        <v>9833</v>
      </c>
      <c r="C166" s="110" t="s">
        <v>9834</v>
      </c>
    </row>
    <row r="167" spans="1:3" x14ac:dyDescent="0.25">
      <c r="A167" s="115" t="s">
        <v>9337</v>
      </c>
      <c r="B167" s="109" t="s">
        <v>9837</v>
      </c>
      <c r="C167" s="110" t="s">
        <v>9838</v>
      </c>
    </row>
    <row r="168" spans="1:3" x14ac:dyDescent="0.25">
      <c r="A168" s="115" t="s">
        <v>9337</v>
      </c>
      <c r="B168" s="109" t="s">
        <v>9840</v>
      </c>
      <c r="C168" s="110" t="s">
        <v>9023</v>
      </c>
    </row>
    <row r="169" spans="1:3" x14ac:dyDescent="0.25">
      <c r="A169" s="115" t="s">
        <v>9337</v>
      </c>
      <c r="B169" s="109" t="s">
        <v>9842</v>
      </c>
      <c r="C169" s="110" t="s">
        <v>9843</v>
      </c>
    </row>
    <row r="170" spans="1:3" x14ac:dyDescent="0.25">
      <c r="A170" s="115" t="s">
        <v>9337</v>
      </c>
      <c r="B170" s="109" t="s">
        <v>9845</v>
      </c>
      <c r="C170" s="110" t="s">
        <v>9804</v>
      </c>
    </row>
    <row r="171" spans="1:3" x14ac:dyDescent="0.25">
      <c r="A171" s="115" t="s">
        <v>9337</v>
      </c>
      <c r="B171" s="109" t="s">
        <v>9846</v>
      </c>
      <c r="C171" s="110" t="s">
        <v>9015</v>
      </c>
    </row>
    <row r="172" spans="1:3" x14ac:dyDescent="0.25">
      <c r="A172" s="115" t="s">
        <v>9337</v>
      </c>
      <c r="B172" s="109" t="s">
        <v>9847</v>
      </c>
      <c r="C172" s="110" t="s">
        <v>9848</v>
      </c>
    </row>
    <row r="173" spans="1:3" x14ac:dyDescent="0.25">
      <c r="A173" s="115" t="s">
        <v>9337</v>
      </c>
      <c r="B173" s="109" t="s">
        <v>9850</v>
      </c>
      <c r="C173" s="110" t="s">
        <v>9851</v>
      </c>
    </row>
    <row r="174" spans="1:3" x14ac:dyDescent="0.25">
      <c r="A174" s="115" t="s">
        <v>9337</v>
      </c>
      <c r="B174" s="109" t="s">
        <v>9853</v>
      </c>
      <c r="C174" s="110" t="s">
        <v>9854</v>
      </c>
    </row>
    <row r="175" spans="1:3" x14ac:dyDescent="0.25">
      <c r="A175" s="115" t="s">
        <v>9337</v>
      </c>
      <c r="B175" s="109" t="s">
        <v>9855</v>
      </c>
      <c r="C175" s="110" t="s">
        <v>9856</v>
      </c>
    </row>
    <row r="176" spans="1:3" x14ac:dyDescent="0.25">
      <c r="A176" s="115" t="s">
        <v>9337</v>
      </c>
      <c r="B176" s="109" t="s">
        <v>9859</v>
      </c>
      <c r="C176" s="110" t="s">
        <v>9033</v>
      </c>
    </row>
    <row r="177" spans="1:3" x14ac:dyDescent="0.25">
      <c r="A177" s="115" t="s">
        <v>9337</v>
      </c>
      <c r="B177" s="109" t="s">
        <v>9863</v>
      </c>
      <c r="C177" s="110" t="s">
        <v>9864</v>
      </c>
    </row>
    <row r="178" spans="1:3" x14ac:dyDescent="0.25">
      <c r="A178" s="115" t="s">
        <v>9337</v>
      </c>
      <c r="B178" s="109" t="s">
        <v>9865</v>
      </c>
      <c r="C178" s="110" t="s">
        <v>9866</v>
      </c>
    </row>
    <row r="179" spans="1:3" x14ac:dyDescent="0.25">
      <c r="A179" s="115" t="s">
        <v>9337</v>
      </c>
      <c r="B179" s="109" t="s">
        <v>9870</v>
      </c>
      <c r="C179" s="110" t="s">
        <v>9004</v>
      </c>
    </row>
    <row r="180" spans="1:3" x14ac:dyDescent="0.25">
      <c r="A180" s="115" t="s">
        <v>9337</v>
      </c>
      <c r="B180" s="109" t="s">
        <v>9871</v>
      </c>
      <c r="C180" s="110" t="s">
        <v>8917</v>
      </c>
    </row>
    <row r="181" spans="1:3" x14ac:dyDescent="0.25">
      <c r="A181" s="115" t="s">
        <v>9337</v>
      </c>
      <c r="B181" s="109" t="s">
        <v>9872</v>
      </c>
      <c r="C181" s="110" t="s">
        <v>9873</v>
      </c>
    </row>
    <row r="182" spans="1:3" x14ac:dyDescent="0.25">
      <c r="A182" s="115" t="s">
        <v>9337</v>
      </c>
      <c r="B182" s="109" t="s">
        <v>9874</v>
      </c>
      <c r="C182" s="110" t="s">
        <v>9875</v>
      </c>
    </row>
    <row r="183" spans="1:3" x14ac:dyDescent="0.25">
      <c r="A183" s="115" t="s">
        <v>9337</v>
      </c>
      <c r="B183" s="109" t="s">
        <v>9878</v>
      </c>
      <c r="C183" s="110" t="s">
        <v>9879</v>
      </c>
    </row>
    <row r="184" spans="1:3" x14ac:dyDescent="0.25">
      <c r="A184" s="115" t="s">
        <v>9337</v>
      </c>
      <c r="B184" s="109" t="s">
        <v>9880</v>
      </c>
      <c r="C184" s="110" t="s">
        <v>9881</v>
      </c>
    </row>
    <row r="185" spans="1:3" x14ac:dyDescent="0.25">
      <c r="A185" s="115" t="s">
        <v>9337</v>
      </c>
      <c r="B185" s="109" t="s">
        <v>9882</v>
      </c>
      <c r="C185" s="110" t="s">
        <v>9883</v>
      </c>
    </row>
    <row r="186" spans="1:3" x14ac:dyDescent="0.25">
      <c r="A186" s="115" t="s">
        <v>9337</v>
      </c>
      <c r="B186" s="109" t="s">
        <v>9885</v>
      </c>
      <c r="C186" s="110" t="s">
        <v>9886</v>
      </c>
    </row>
    <row r="187" spans="1:3" x14ac:dyDescent="0.25">
      <c r="A187" s="115" t="s">
        <v>9337</v>
      </c>
      <c r="B187" s="109" t="s">
        <v>9887</v>
      </c>
      <c r="C187" s="110" t="s">
        <v>9888</v>
      </c>
    </row>
    <row r="188" spans="1:3" x14ac:dyDescent="0.25">
      <c r="A188" s="115" t="s">
        <v>9337</v>
      </c>
      <c r="B188" s="109" t="s">
        <v>9891</v>
      </c>
      <c r="C188" s="110" t="s">
        <v>9892</v>
      </c>
    </row>
    <row r="189" spans="1:3" x14ac:dyDescent="0.25">
      <c r="A189" s="115" t="s">
        <v>9337</v>
      </c>
      <c r="B189" s="109" t="s">
        <v>9893</v>
      </c>
      <c r="C189" s="79" t="s">
        <v>13507</v>
      </c>
    </row>
    <row r="190" spans="1:3" x14ac:dyDescent="0.25">
      <c r="A190" s="115" t="s">
        <v>9337</v>
      </c>
      <c r="B190" s="109" t="s">
        <v>9896</v>
      </c>
      <c r="C190" s="79" t="s">
        <v>13506</v>
      </c>
    </row>
    <row r="191" spans="1:3" x14ac:dyDescent="0.25">
      <c r="A191" s="115" t="s">
        <v>9337</v>
      </c>
      <c r="B191" s="109" t="s">
        <v>9897</v>
      </c>
      <c r="C191" s="110" t="s">
        <v>9898</v>
      </c>
    </row>
    <row r="192" spans="1:3" x14ac:dyDescent="0.25">
      <c r="A192" s="117" t="s">
        <v>9337</v>
      </c>
      <c r="B192" s="111" t="s">
        <v>9901</v>
      </c>
      <c r="C192" s="112" t="s">
        <v>9902</v>
      </c>
    </row>
    <row r="193" spans="1:3" x14ac:dyDescent="0.25">
      <c r="A193" s="117" t="s">
        <v>9337</v>
      </c>
      <c r="B193" s="111" t="s">
        <v>9904</v>
      </c>
      <c r="C193" s="112" t="s">
        <v>9905</v>
      </c>
    </row>
    <row r="194" spans="1:3" x14ac:dyDescent="0.25">
      <c r="A194" s="117" t="s">
        <v>9337</v>
      </c>
      <c r="B194" s="111" t="s">
        <v>9906</v>
      </c>
      <c r="C194" s="112" t="s">
        <v>9907</v>
      </c>
    </row>
    <row r="195" spans="1:3" x14ac:dyDescent="0.25">
      <c r="A195" s="117" t="s">
        <v>9337</v>
      </c>
      <c r="B195" s="111" t="s">
        <v>9908</v>
      </c>
      <c r="C195" s="112" t="s">
        <v>9909</v>
      </c>
    </row>
    <row r="196" spans="1:3" x14ac:dyDescent="0.25">
      <c r="A196" s="117" t="s">
        <v>9337</v>
      </c>
      <c r="B196" s="111" t="s">
        <v>9910</v>
      </c>
      <c r="C196" s="112" t="s">
        <v>9911</v>
      </c>
    </row>
    <row r="197" spans="1:3" x14ac:dyDescent="0.25">
      <c r="A197" s="117" t="s">
        <v>9337</v>
      </c>
      <c r="B197" s="111" t="s">
        <v>9912</v>
      </c>
      <c r="C197" s="112" t="s">
        <v>9913</v>
      </c>
    </row>
    <row r="198" spans="1:3" x14ac:dyDescent="0.25">
      <c r="A198" s="117" t="s">
        <v>9337</v>
      </c>
      <c r="B198" s="111" t="s">
        <v>9914</v>
      </c>
      <c r="C198" s="112" t="s">
        <v>9915</v>
      </c>
    </row>
    <row r="199" spans="1:3" x14ac:dyDescent="0.25">
      <c r="A199" s="117" t="s">
        <v>9337</v>
      </c>
      <c r="B199" s="111" t="s">
        <v>9916</v>
      </c>
      <c r="C199" s="112" t="s">
        <v>9917</v>
      </c>
    </row>
    <row r="200" spans="1:3" x14ac:dyDescent="0.25">
      <c r="A200" s="117" t="s">
        <v>9337</v>
      </c>
      <c r="B200" s="111" t="s">
        <v>9918</v>
      </c>
      <c r="C200" s="112" t="s">
        <v>9919</v>
      </c>
    </row>
    <row r="201" spans="1:3" x14ac:dyDescent="0.25">
      <c r="A201" s="117" t="s">
        <v>9337</v>
      </c>
      <c r="B201" s="111" t="s">
        <v>9920</v>
      </c>
      <c r="C201" s="112" t="s">
        <v>9921</v>
      </c>
    </row>
    <row r="202" spans="1:3" x14ac:dyDescent="0.25">
      <c r="A202" s="117" t="s">
        <v>9337</v>
      </c>
      <c r="B202" s="111" t="s">
        <v>9922</v>
      </c>
      <c r="C202" s="112" t="s">
        <v>9923</v>
      </c>
    </row>
    <row r="203" spans="1:3" x14ac:dyDescent="0.25">
      <c r="A203" s="117" t="s">
        <v>9337</v>
      </c>
      <c r="B203" s="111" t="s">
        <v>9924</v>
      </c>
      <c r="C203" s="112" t="s">
        <v>9925</v>
      </c>
    </row>
    <row r="204" spans="1:3" x14ac:dyDescent="0.25">
      <c r="A204" s="117" t="s">
        <v>9337</v>
      </c>
      <c r="B204" s="111" t="s">
        <v>9926</v>
      </c>
      <c r="C204" s="112" t="s">
        <v>9927</v>
      </c>
    </row>
    <row r="205" spans="1:3" x14ac:dyDescent="0.25">
      <c r="A205" s="117" t="s">
        <v>9337</v>
      </c>
      <c r="B205" s="111" t="s">
        <v>9928</v>
      </c>
      <c r="C205" s="112" t="s">
        <v>9929</v>
      </c>
    </row>
    <row r="206" spans="1:3" x14ac:dyDescent="0.25">
      <c r="A206" s="117" t="s">
        <v>9337</v>
      </c>
      <c r="B206" s="111" t="s">
        <v>9930</v>
      </c>
      <c r="C206" s="112" t="s">
        <v>9931</v>
      </c>
    </row>
    <row r="207" spans="1:3" x14ac:dyDescent="0.25">
      <c r="A207" s="117" t="s">
        <v>9337</v>
      </c>
      <c r="B207" s="111" t="s">
        <v>9932</v>
      </c>
      <c r="C207" s="112" t="s">
        <v>9933</v>
      </c>
    </row>
    <row r="208" spans="1:3" x14ac:dyDescent="0.25">
      <c r="A208" s="117" t="s">
        <v>9337</v>
      </c>
      <c r="B208" s="111" t="s">
        <v>9934</v>
      </c>
      <c r="C208" s="112" t="s">
        <v>9935</v>
      </c>
    </row>
    <row r="209" spans="1:3" x14ac:dyDescent="0.25">
      <c r="A209" s="117" t="s">
        <v>9337</v>
      </c>
      <c r="B209" s="111" t="s">
        <v>9937</v>
      </c>
      <c r="C209" s="112" t="s">
        <v>9938</v>
      </c>
    </row>
    <row r="210" spans="1:3" x14ac:dyDescent="0.25">
      <c r="A210" s="117" t="s">
        <v>9337</v>
      </c>
      <c r="B210" s="111" t="s">
        <v>9939</v>
      </c>
      <c r="C210" s="112" t="s">
        <v>9940</v>
      </c>
    </row>
    <row r="211" spans="1:3" x14ac:dyDescent="0.25">
      <c r="A211" s="117" t="s">
        <v>9337</v>
      </c>
      <c r="B211" s="111" t="s">
        <v>9941</v>
      </c>
      <c r="C211" s="112" t="s">
        <v>9942</v>
      </c>
    </row>
    <row r="212" spans="1:3" x14ac:dyDescent="0.25">
      <c r="A212" s="164" t="s">
        <v>9337</v>
      </c>
      <c r="B212" s="322" t="s">
        <v>13504</v>
      </c>
      <c r="C212" s="320" t="s">
        <v>13505</v>
      </c>
    </row>
    <row r="213" spans="1:3" x14ac:dyDescent="0.25">
      <c r="A213" s="117" t="s">
        <v>9337</v>
      </c>
      <c r="B213" s="111" t="s">
        <v>9943</v>
      </c>
      <c r="C213" s="112" t="s">
        <v>9944</v>
      </c>
    </row>
    <row r="214" spans="1:3" x14ac:dyDescent="0.25">
      <c r="A214" s="117" t="s">
        <v>9337</v>
      </c>
      <c r="B214" s="111" t="s">
        <v>9945</v>
      </c>
      <c r="C214" s="112" t="s">
        <v>9946</v>
      </c>
    </row>
    <row r="215" spans="1:3" x14ac:dyDescent="0.25">
      <c r="A215" s="117" t="s">
        <v>9337</v>
      </c>
      <c r="B215" s="111" t="s">
        <v>9947</v>
      </c>
      <c r="C215" s="112" t="s">
        <v>9948</v>
      </c>
    </row>
    <row r="216" spans="1:3" x14ac:dyDescent="0.25">
      <c r="A216" s="117" t="s">
        <v>9337</v>
      </c>
      <c r="B216" s="111" t="s">
        <v>9949</v>
      </c>
      <c r="C216" s="112" t="s">
        <v>9950</v>
      </c>
    </row>
    <row r="217" spans="1:3" x14ac:dyDescent="0.25">
      <c r="A217" s="117" t="s">
        <v>9337</v>
      </c>
      <c r="B217" s="111" t="s">
        <v>9951</v>
      </c>
      <c r="C217" s="112" t="s">
        <v>9952</v>
      </c>
    </row>
    <row r="218" spans="1:3" x14ac:dyDescent="0.25">
      <c r="A218" s="117" t="s">
        <v>9337</v>
      </c>
      <c r="B218" s="111" t="s">
        <v>9953</v>
      </c>
      <c r="C218" s="112" t="s">
        <v>9954</v>
      </c>
    </row>
    <row r="219" spans="1:3" x14ac:dyDescent="0.25">
      <c r="A219" s="117" t="s">
        <v>9337</v>
      </c>
      <c r="B219" s="111" t="s">
        <v>9955</v>
      </c>
      <c r="C219" s="112" t="s">
        <v>9956</v>
      </c>
    </row>
    <row r="220" spans="1:3" x14ac:dyDescent="0.25">
      <c r="A220" s="117" t="s">
        <v>9337</v>
      </c>
      <c r="B220" s="111" t="s">
        <v>9957</v>
      </c>
      <c r="C220" s="112" t="s">
        <v>9958</v>
      </c>
    </row>
    <row r="221" spans="1:3" x14ac:dyDescent="0.25">
      <c r="A221" s="117" t="s">
        <v>9337</v>
      </c>
      <c r="B221" s="111" t="s">
        <v>9959</v>
      </c>
      <c r="C221" s="112" t="s">
        <v>9960</v>
      </c>
    </row>
    <row r="222" spans="1:3" x14ac:dyDescent="0.25">
      <c r="A222" s="117" t="s">
        <v>9337</v>
      </c>
      <c r="B222" s="111" t="s">
        <v>9961</v>
      </c>
      <c r="C222" s="112" t="s">
        <v>9962</v>
      </c>
    </row>
    <row r="223" spans="1:3" x14ac:dyDescent="0.25">
      <c r="A223" s="117" t="s">
        <v>9337</v>
      </c>
      <c r="B223" s="111" t="s">
        <v>9963</v>
      </c>
      <c r="C223" s="112" t="s">
        <v>9964</v>
      </c>
    </row>
    <row r="224" spans="1:3" x14ac:dyDescent="0.25">
      <c r="A224" s="117" t="s">
        <v>9337</v>
      </c>
      <c r="B224" s="111" t="s">
        <v>9965</v>
      </c>
      <c r="C224" s="112" t="s">
        <v>9966</v>
      </c>
    </row>
    <row r="225" spans="1:3" x14ac:dyDescent="0.25">
      <c r="A225" s="117" t="s">
        <v>9337</v>
      </c>
      <c r="B225" s="111" t="s">
        <v>9967</v>
      </c>
      <c r="C225" s="112" t="s">
        <v>9968</v>
      </c>
    </row>
    <row r="226" spans="1:3" x14ac:dyDescent="0.25">
      <c r="A226" s="117" t="s">
        <v>9337</v>
      </c>
      <c r="B226" s="111" t="s">
        <v>9969</v>
      </c>
      <c r="C226" s="112" t="s">
        <v>9970</v>
      </c>
    </row>
    <row r="227" spans="1:3" x14ac:dyDescent="0.25">
      <c r="A227" s="117" t="s">
        <v>9337</v>
      </c>
      <c r="B227" s="111" t="s">
        <v>9971</v>
      </c>
      <c r="C227" s="112" t="s">
        <v>9972</v>
      </c>
    </row>
    <row r="228" spans="1:3" x14ac:dyDescent="0.25">
      <c r="A228" s="117" t="s">
        <v>9337</v>
      </c>
      <c r="B228" s="111" t="s">
        <v>9973</v>
      </c>
      <c r="C228" s="112" t="s">
        <v>9974</v>
      </c>
    </row>
    <row r="229" spans="1:3" x14ac:dyDescent="0.25">
      <c r="A229" s="117" t="s">
        <v>9337</v>
      </c>
      <c r="B229" s="111" t="s">
        <v>9975</v>
      </c>
      <c r="C229" s="112" t="s">
        <v>9976</v>
      </c>
    </row>
    <row r="230" spans="1:3" x14ac:dyDescent="0.25">
      <c r="A230" s="117" t="s">
        <v>9337</v>
      </c>
      <c r="B230" s="111" t="s">
        <v>9977</v>
      </c>
      <c r="C230" s="112" t="s">
        <v>9978</v>
      </c>
    </row>
    <row r="231" spans="1:3" x14ac:dyDescent="0.25">
      <c r="A231" s="117" t="s">
        <v>9337</v>
      </c>
      <c r="B231" s="111" t="s">
        <v>9979</v>
      </c>
      <c r="C231" s="112" t="s">
        <v>9980</v>
      </c>
    </row>
    <row r="232" spans="1:3" x14ac:dyDescent="0.25">
      <c r="A232" s="117" t="s">
        <v>9337</v>
      </c>
      <c r="B232" s="111" t="s">
        <v>9981</v>
      </c>
      <c r="C232" s="112" t="s">
        <v>9982</v>
      </c>
    </row>
    <row r="233" spans="1:3" x14ac:dyDescent="0.25">
      <c r="A233" s="117" t="s">
        <v>9337</v>
      </c>
      <c r="B233" s="111" t="s">
        <v>9983</v>
      </c>
      <c r="C233" s="112" t="s">
        <v>9984</v>
      </c>
    </row>
    <row r="234" spans="1:3" x14ac:dyDescent="0.25">
      <c r="A234" s="117" t="s">
        <v>9337</v>
      </c>
      <c r="B234" s="111" t="s">
        <v>9985</v>
      </c>
      <c r="C234" s="112" t="s">
        <v>9986</v>
      </c>
    </row>
    <row r="235" spans="1:3" x14ac:dyDescent="0.25">
      <c r="A235" s="117" t="s">
        <v>9337</v>
      </c>
      <c r="B235" s="111" t="s">
        <v>9987</v>
      </c>
      <c r="C235" s="112" t="s">
        <v>9988</v>
      </c>
    </row>
    <row r="236" spans="1:3" x14ac:dyDescent="0.25">
      <c r="A236" s="117" t="s">
        <v>9337</v>
      </c>
      <c r="B236" s="111" t="s">
        <v>9989</v>
      </c>
      <c r="C236" s="112" t="s">
        <v>9990</v>
      </c>
    </row>
    <row r="237" spans="1:3" x14ac:dyDescent="0.25">
      <c r="A237" s="117" t="s">
        <v>9337</v>
      </c>
      <c r="B237" s="111" t="s">
        <v>9991</v>
      </c>
      <c r="C237" s="112" t="s">
        <v>9848</v>
      </c>
    </row>
    <row r="238" spans="1:3" x14ac:dyDescent="0.25">
      <c r="A238" s="117" t="s">
        <v>9337</v>
      </c>
      <c r="B238" s="111" t="s">
        <v>9993</v>
      </c>
      <c r="C238" s="112" t="s">
        <v>9851</v>
      </c>
    </row>
    <row r="239" spans="1:3" x14ac:dyDescent="0.25">
      <c r="A239" s="117" t="s">
        <v>9337</v>
      </c>
      <c r="B239" s="111" t="s">
        <v>9995</v>
      </c>
      <c r="C239" s="112" t="s">
        <v>9996</v>
      </c>
    </row>
    <row r="240" spans="1:3" x14ac:dyDescent="0.25">
      <c r="A240" s="117" t="s">
        <v>9337</v>
      </c>
      <c r="B240" s="111" t="s">
        <v>9997</v>
      </c>
      <c r="C240" s="112" t="s">
        <v>9998</v>
      </c>
    </row>
    <row r="241" spans="1:3" x14ac:dyDescent="0.25">
      <c r="A241" s="117" t="s">
        <v>9337</v>
      </c>
      <c r="B241" s="111" t="s">
        <v>9999</v>
      </c>
      <c r="C241" s="112" t="s">
        <v>10000</v>
      </c>
    </row>
    <row r="242" spans="1:3" x14ac:dyDescent="0.25">
      <c r="A242" s="117" t="s">
        <v>9337</v>
      </c>
      <c r="B242" s="111" t="s">
        <v>10001</v>
      </c>
      <c r="C242" s="112" t="s">
        <v>10002</v>
      </c>
    </row>
    <row r="243" spans="1:3" x14ac:dyDescent="0.25">
      <c r="A243" s="117" t="s">
        <v>9337</v>
      </c>
      <c r="B243" s="111" t="s">
        <v>10004</v>
      </c>
      <c r="C243" s="112" t="s">
        <v>10005</v>
      </c>
    </row>
    <row r="244" spans="1:3" x14ac:dyDescent="0.25">
      <c r="A244" s="117" t="s">
        <v>9337</v>
      </c>
      <c r="B244" s="111" t="s">
        <v>10006</v>
      </c>
      <c r="C244" s="112" t="s">
        <v>10007</v>
      </c>
    </row>
    <row r="245" spans="1:3" x14ac:dyDescent="0.25">
      <c r="A245" s="117" t="s">
        <v>9337</v>
      </c>
      <c r="B245" s="111" t="s">
        <v>10008</v>
      </c>
      <c r="C245" s="112" t="s">
        <v>10009</v>
      </c>
    </row>
    <row r="246" spans="1:3" x14ac:dyDescent="0.25">
      <c r="A246" s="117" t="s">
        <v>9337</v>
      </c>
      <c r="B246" s="111" t="s">
        <v>10010</v>
      </c>
      <c r="C246" s="112" t="s">
        <v>9798</v>
      </c>
    </row>
    <row r="247" spans="1:3" x14ac:dyDescent="0.25">
      <c r="A247" s="117" t="s">
        <v>9337</v>
      </c>
      <c r="B247" s="111" t="s">
        <v>10011</v>
      </c>
      <c r="C247" s="112" t="s">
        <v>10012</v>
      </c>
    </row>
    <row r="248" spans="1:3" x14ac:dyDescent="0.25">
      <c r="A248" s="117" t="s">
        <v>9337</v>
      </c>
      <c r="B248" s="111" t="s">
        <v>10014</v>
      </c>
      <c r="C248" s="112" t="s">
        <v>10015</v>
      </c>
    </row>
    <row r="249" spans="1:3" x14ac:dyDescent="0.25">
      <c r="A249" s="117" t="s">
        <v>9337</v>
      </c>
      <c r="B249" s="111" t="s">
        <v>10016</v>
      </c>
      <c r="C249" s="112" t="s">
        <v>9834</v>
      </c>
    </row>
    <row r="250" spans="1:3" x14ac:dyDescent="0.25">
      <c r="A250" s="117" t="s">
        <v>9337</v>
      </c>
      <c r="B250" s="111" t="s">
        <v>10018</v>
      </c>
      <c r="C250" s="112" t="s">
        <v>10019</v>
      </c>
    </row>
    <row r="251" spans="1:3" x14ac:dyDescent="0.25">
      <c r="A251" s="115" t="s">
        <v>8939</v>
      </c>
      <c r="B251" s="109" t="s">
        <v>10021</v>
      </c>
      <c r="C251" s="106" t="s">
        <v>10022</v>
      </c>
    </row>
    <row r="252" spans="1:3" x14ac:dyDescent="0.25">
      <c r="A252" s="115" t="s">
        <v>8939</v>
      </c>
      <c r="B252" s="109" t="s">
        <v>10029</v>
      </c>
      <c r="C252" s="106" t="s">
        <v>10030</v>
      </c>
    </row>
    <row r="253" spans="1:3" x14ac:dyDescent="0.25">
      <c r="A253" s="115" t="s">
        <v>8939</v>
      </c>
      <c r="B253" s="109" t="s">
        <v>10031</v>
      </c>
      <c r="C253" s="106" t="s">
        <v>10032</v>
      </c>
    </row>
    <row r="254" spans="1:3" x14ac:dyDescent="0.25">
      <c r="A254" s="115" t="s">
        <v>8939</v>
      </c>
      <c r="B254" s="109" t="s">
        <v>10047</v>
      </c>
      <c r="C254" s="106" t="s">
        <v>10048</v>
      </c>
    </row>
    <row r="255" spans="1:3" x14ac:dyDescent="0.25">
      <c r="A255" s="115" t="s">
        <v>8939</v>
      </c>
      <c r="B255" s="109" t="s">
        <v>10063</v>
      </c>
      <c r="C255" s="106" t="s">
        <v>10064</v>
      </c>
    </row>
    <row r="256" spans="1:3" x14ac:dyDescent="0.25">
      <c r="A256" s="115" t="s">
        <v>8939</v>
      </c>
      <c r="B256" s="109" t="s">
        <v>10065</v>
      </c>
      <c r="C256" s="106" t="s">
        <v>10066</v>
      </c>
    </row>
    <row r="257" spans="1:3" x14ac:dyDescent="0.25">
      <c r="A257" s="115" t="s">
        <v>8939</v>
      </c>
      <c r="B257" s="109" t="s">
        <v>10067</v>
      </c>
      <c r="C257" s="106" t="s">
        <v>10068</v>
      </c>
    </row>
    <row r="258" spans="1:3" x14ac:dyDescent="0.25">
      <c r="A258" s="115" t="s">
        <v>8939</v>
      </c>
      <c r="B258" s="109" t="s">
        <v>10069</v>
      </c>
      <c r="C258" s="106" t="s">
        <v>10070</v>
      </c>
    </row>
    <row r="259" spans="1:3" x14ac:dyDescent="0.25">
      <c r="A259" s="115" t="s">
        <v>8939</v>
      </c>
      <c r="B259" s="109" t="s">
        <v>10071</v>
      </c>
      <c r="C259" s="106" t="s">
        <v>10072</v>
      </c>
    </row>
    <row r="260" spans="1:3" x14ac:dyDescent="0.25">
      <c r="A260" s="115" t="s">
        <v>8939</v>
      </c>
      <c r="B260" s="109" t="s">
        <v>10073</v>
      </c>
      <c r="C260" s="106" t="s">
        <v>10074</v>
      </c>
    </row>
    <row r="261" spans="1:3" x14ac:dyDescent="0.25">
      <c r="A261" s="161" t="s">
        <v>8939</v>
      </c>
      <c r="B261" s="109" t="s">
        <v>10075</v>
      </c>
      <c r="C261" s="241" t="s">
        <v>13395</v>
      </c>
    </row>
    <row r="262" spans="1:3" x14ac:dyDescent="0.25">
      <c r="A262" s="300" t="s">
        <v>8939</v>
      </c>
      <c r="B262" s="163" t="s">
        <v>10078</v>
      </c>
      <c r="C262" s="301" t="s">
        <v>10079</v>
      </c>
    </row>
    <row r="263" spans="1:3" x14ac:dyDescent="0.25">
      <c r="A263" s="300" t="s">
        <v>8939</v>
      </c>
      <c r="B263" s="163" t="s">
        <v>10080</v>
      </c>
      <c r="C263" s="301" t="s">
        <v>10081</v>
      </c>
    </row>
    <row r="264" spans="1:3" x14ac:dyDescent="0.25">
      <c r="A264" s="115" t="s">
        <v>8939</v>
      </c>
      <c r="B264" s="109" t="s">
        <v>10082</v>
      </c>
      <c r="C264" s="106" t="s">
        <v>10083</v>
      </c>
    </row>
    <row r="265" spans="1:3" x14ac:dyDescent="0.25">
      <c r="A265" s="115" t="s">
        <v>8939</v>
      </c>
      <c r="B265" s="109" t="s">
        <v>10084</v>
      </c>
      <c r="C265" s="106" t="s">
        <v>10085</v>
      </c>
    </row>
    <row r="266" spans="1:3" x14ac:dyDescent="0.25">
      <c r="A266" s="115" t="s">
        <v>8939</v>
      </c>
      <c r="B266" s="109" t="s">
        <v>10086</v>
      </c>
      <c r="C266" s="106" t="s">
        <v>10087</v>
      </c>
    </row>
    <row r="267" spans="1:3" x14ac:dyDescent="0.25">
      <c r="A267" s="115" t="s">
        <v>8939</v>
      </c>
      <c r="B267" s="109" t="s">
        <v>10088</v>
      </c>
      <c r="C267" s="106" t="s">
        <v>10089</v>
      </c>
    </row>
    <row r="268" spans="1:3" x14ac:dyDescent="0.25">
      <c r="A268" s="115" t="s">
        <v>8939</v>
      </c>
      <c r="B268" s="109" t="s">
        <v>10094</v>
      </c>
      <c r="C268" s="106" t="s">
        <v>10095</v>
      </c>
    </row>
    <row r="269" spans="1:3" x14ac:dyDescent="0.25">
      <c r="A269" s="115" t="s">
        <v>8939</v>
      </c>
      <c r="B269" s="109" t="s">
        <v>10096</v>
      </c>
      <c r="C269" s="106" t="s">
        <v>10097</v>
      </c>
    </row>
    <row r="270" spans="1:3" x14ac:dyDescent="0.25">
      <c r="A270" s="115" t="s">
        <v>8939</v>
      </c>
      <c r="B270" s="109" t="s">
        <v>10098</v>
      </c>
      <c r="C270" s="106" t="s">
        <v>10099</v>
      </c>
    </row>
    <row r="271" spans="1:3" x14ac:dyDescent="0.25">
      <c r="A271" s="115" t="s">
        <v>8939</v>
      </c>
      <c r="B271" s="109" t="s">
        <v>10100</v>
      </c>
      <c r="C271" s="106" t="s">
        <v>10101</v>
      </c>
    </row>
    <row r="272" spans="1:3" x14ac:dyDescent="0.25">
      <c r="A272" s="115" t="s">
        <v>8939</v>
      </c>
      <c r="B272" s="109" t="s">
        <v>10102</v>
      </c>
      <c r="C272" s="106" t="s">
        <v>10103</v>
      </c>
    </row>
    <row r="273" spans="1:3" x14ac:dyDescent="0.25">
      <c r="A273" s="115" t="s">
        <v>8939</v>
      </c>
      <c r="B273" s="109" t="s">
        <v>10104</v>
      </c>
      <c r="C273" s="106" t="s">
        <v>10105</v>
      </c>
    </row>
    <row r="274" spans="1:3" x14ac:dyDescent="0.25">
      <c r="A274" s="115" t="s">
        <v>8939</v>
      </c>
      <c r="B274" s="109" t="s">
        <v>10106</v>
      </c>
      <c r="C274" s="106" t="s">
        <v>10107</v>
      </c>
    </row>
    <row r="275" spans="1:3" x14ac:dyDescent="0.25">
      <c r="A275" s="115" t="s">
        <v>8939</v>
      </c>
      <c r="B275" s="109" t="s">
        <v>10108</v>
      </c>
      <c r="C275" s="106" t="s">
        <v>10109</v>
      </c>
    </row>
    <row r="276" spans="1:3" x14ac:dyDescent="0.25">
      <c r="A276" s="115" t="s">
        <v>8939</v>
      </c>
      <c r="B276" s="109" t="s">
        <v>10110</v>
      </c>
      <c r="C276" s="106" t="s">
        <v>10111</v>
      </c>
    </row>
    <row r="277" spans="1:3" x14ac:dyDescent="0.25">
      <c r="A277" s="115" t="s">
        <v>8939</v>
      </c>
      <c r="B277" s="109" t="s">
        <v>10112</v>
      </c>
      <c r="C277" s="106" t="s">
        <v>10113</v>
      </c>
    </row>
    <row r="278" spans="1:3" x14ac:dyDescent="0.25">
      <c r="A278" s="115" t="s">
        <v>8939</v>
      </c>
      <c r="B278" s="109" t="s">
        <v>10114</v>
      </c>
      <c r="C278" s="106" t="s">
        <v>10115</v>
      </c>
    </row>
    <row r="279" spans="1:3" x14ac:dyDescent="0.25">
      <c r="A279" s="164" t="s">
        <v>8939</v>
      </c>
      <c r="B279" s="167" t="s">
        <v>13396</v>
      </c>
      <c r="C279" s="244" t="s">
        <v>13397</v>
      </c>
    </row>
    <row r="280" spans="1:3" x14ac:dyDescent="0.25">
      <c r="A280" s="115" t="s">
        <v>8939</v>
      </c>
      <c r="B280" s="109" t="s">
        <v>10116</v>
      </c>
      <c r="C280" s="106" t="s">
        <v>10117</v>
      </c>
    </row>
    <row r="281" spans="1:3" x14ac:dyDescent="0.25">
      <c r="A281" s="115" t="s">
        <v>8939</v>
      </c>
      <c r="B281" s="109" t="s">
        <v>10118</v>
      </c>
      <c r="C281" s="106" t="s">
        <v>10119</v>
      </c>
    </row>
    <row r="282" spans="1:3" x14ac:dyDescent="0.25">
      <c r="A282" s="115" t="s">
        <v>8939</v>
      </c>
      <c r="B282" s="109" t="s">
        <v>10120</v>
      </c>
      <c r="C282" s="106" t="s">
        <v>10121</v>
      </c>
    </row>
    <row r="283" spans="1:3" x14ac:dyDescent="0.25">
      <c r="A283" s="115" t="s">
        <v>8939</v>
      </c>
      <c r="B283" s="109" t="s">
        <v>10122</v>
      </c>
      <c r="C283" s="106" t="s">
        <v>10123</v>
      </c>
    </row>
    <row r="284" spans="1:3" x14ac:dyDescent="0.25">
      <c r="A284" s="115" t="s">
        <v>8939</v>
      </c>
      <c r="B284" s="109" t="s">
        <v>10124</v>
      </c>
      <c r="C284" s="106" t="s">
        <v>10125</v>
      </c>
    </row>
    <row r="285" spans="1:3" x14ac:dyDescent="0.25">
      <c r="A285" s="115" t="s">
        <v>8939</v>
      </c>
      <c r="B285" s="109" t="s">
        <v>10126</v>
      </c>
      <c r="C285" s="106" t="s">
        <v>10127</v>
      </c>
    </row>
    <row r="286" spans="1:3" x14ac:dyDescent="0.25">
      <c r="A286" s="115" t="s">
        <v>8939</v>
      </c>
      <c r="B286" s="109" t="s">
        <v>10128</v>
      </c>
      <c r="C286" s="106" t="s">
        <v>10129</v>
      </c>
    </row>
    <row r="287" spans="1:3" x14ac:dyDescent="0.25">
      <c r="A287" s="115" t="s">
        <v>8939</v>
      </c>
      <c r="B287" s="109" t="s">
        <v>10130</v>
      </c>
      <c r="C287" s="106" t="s">
        <v>10131</v>
      </c>
    </row>
    <row r="288" spans="1:3" x14ac:dyDescent="0.25">
      <c r="A288" s="115" t="s">
        <v>8939</v>
      </c>
      <c r="B288" s="109" t="s">
        <v>10132</v>
      </c>
      <c r="C288" s="106" t="s">
        <v>10133</v>
      </c>
    </row>
    <row r="289" spans="1:3" x14ac:dyDescent="0.25">
      <c r="A289" s="115" t="s">
        <v>8939</v>
      </c>
      <c r="B289" s="109" t="s">
        <v>10134</v>
      </c>
      <c r="C289" s="106" t="s">
        <v>10135</v>
      </c>
    </row>
    <row r="290" spans="1:3" x14ac:dyDescent="0.25">
      <c r="A290" s="115" t="s">
        <v>8939</v>
      </c>
      <c r="B290" s="109" t="s">
        <v>10136</v>
      </c>
      <c r="C290" s="106" t="s">
        <v>10137</v>
      </c>
    </row>
    <row r="291" spans="1:3" x14ac:dyDescent="0.25">
      <c r="A291" s="115" t="s">
        <v>8939</v>
      </c>
      <c r="B291" s="109" t="s">
        <v>10138</v>
      </c>
      <c r="C291" s="106" t="s">
        <v>10139</v>
      </c>
    </row>
    <row r="292" spans="1:3" x14ac:dyDescent="0.25">
      <c r="A292" s="115" t="s">
        <v>8939</v>
      </c>
      <c r="B292" s="109" t="s">
        <v>10140</v>
      </c>
      <c r="C292" s="106" t="s">
        <v>10141</v>
      </c>
    </row>
    <row r="293" spans="1:3" x14ac:dyDescent="0.25">
      <c r="A293" s="115" t="s">
        <v>8939</v>
      </c>
      <c r="B293" s="109" t="s">
        <v>10142</v>
      </c>
      <c r="C293" s="106" t="s">
        <v>10143</v>
      </c>
    </row>
    <row r="294" spans="1:3" x14ac:dyDescent="0.25">
      <c r="A294" s="115" t="s">
        <v>8939</v>
      </c>
      <c r="B294" s="109" t="s">
        <v>10144</v>
      </c>
      <c r="C294" s="106" t="s">
        <v>10145</v>
      </c>
    </row>
    <row r="295" spans="1:3" x14ac:dyDescent="0.25">
      <c r="A295" s="115" t="s">
        <v>8939</v>
      </c>
      <c r="B295" s="109" t="s">
        <v>10146</v>
      </c>
      <c r="C295" s="106" t="s">
        <v>10147</v>
      </c>
    </row>
    <row r="296" spans="1:3" x14ac:dyDescent="0.25">
      <c r="A296" s="115" t="s">
        <v>8939</v>
      </c>
      <c r="B296" s="109" t="s">
        <v>10152</v>
      </c>
      <c r="C296" s="106" t="s">
        <v>10153</v>
      </c>
    </row>
    <row r="297" spans="1:3" x14ac:dyDescent="0.25">
      <c r="A297" s="115" t="s">
        <v>8939</v>
      </c>
      <c r="B297" s="109" t="s">
        <v>10154</v>
      </c>
      <c r="C297" s="106" t="s">
        <v>10155</v>
      </c>
    </row>
    <row r="298" spans="1:3" x14ac:dyDescent="0.25">
      <c r="A298" s="115" t="s">
        <v>8939</v>
      </c>
      <c r="B298" s="109" t="s">
        <v>10156</v>
      </c>
      <c r="C298" s="106" t="s">
        <v>10157</v>
      </c>
    </row>
    <row r="299" spans="1:3" x14ac:dyDescent="0.25">
      <c r="A299" s="115" t="s">
        <v>8939</v>
      </c>
      <c r="B299" s="109" t="s">
        <v>10158</v>
      </c>
      <c r="C299" s="106" t="s">
        <v>10159</v>
      </c>
    </row>
    <row r="300" spans="1:3" x14ac:dyDescent="0.25">
      <c r="A300" s="115" t="s">
        <v>8939</v>
      </c>
      <c r="B300" s="109" t="s">
        <v>10160</v>
      </c>
      <c r="C300" s="106" t="s">
        <v>10161</v>
      </c>
    </row>
    <row r="301" spans="1:3" x14ac:dyDescent="0.25">
      <c r="A301" s="115" t="s">
        <v>8939</v>
      </c>
      <c r="B301" s="109" t="s">
        <v>10164</v>
      </c>
      <c r="C301" s="106" t="s">
        <v>10165</v>
      </c>
    </row>
    <row r="302" spans="1:3" x14ac:dyDescent="0.25">
      <c r="A302" s="115" t="s">
        <v>8939</v>
      </c>
      <c r="B302" s="109" t="s">
        <v>10166</v>
      </c>
      <c r="C302" s="106" t="s">
        <v>10167</v>
      </c>
    </row>
    <row r="303" spans="1:3" x14ac:dyDescent="0.25">
      <c r="A303" s="115" t="s">
        <v>8939</v>
      </c>
      <c r="B303" s="109" t="s">
        <v>10176</v>
      </c>
      <c r="C303" s="106" t="s">
        <v>10177</v>
      </c>
    </row>
    <row r="304" spans="1:3" x14ac:dyDescent="0.25">
      <c r="A304" s="115" t="s">
        <v>8939</v>
      </c>
      <c r="B304" s="109" t="s">
        <v>10178</v>
      </c>
      <c r="C304" s="106" t="s">
        <v>10179</v>
      </c>
    </row>
    <row r="305" spans="1:3" x14ac:dyDescent="0.25">
      <c r="A305" s="115" t="s">
        <v>8939</v>
      </c>
      <c r="B305" s="109" t="s">
        <v>10180</v>
      </c>
      <c r="C305" s="106" t="s">
        <v>10181</v>
      </c>
    </row>
    <row r="306" spans="1:3" x14ac:dyDescent="0.25">
      <c r="A306" s="115" t="s">
        <v>8939</v>
      </c>
      <c r="B306" s="109" t="s">
        <v>10182</v>
      </c>
      <c r="C306" s="106" t="s">
        <v>10183</v>
      </c>
    </row>
    <row r="307" spans="1:3" x14ac:dyDescent="0.25">
      <c r="A307" s="115" t="s">
        <v>8939</v>
      </c>
      <c r="B307" s="109" t="s">
        <v>10184</v>
      </c>
      <c r="C307" s="106" t="s">
        <v>10185</v>
      </c>
    </row>
    <row r="308" spans="1:3" x14ac:dyDescent="0.25">
      <c r="A308" s="115" t="s">
        <v>8939</v>
      </c>
      <c r="B308" s="109" t="s">
        <v>10186</v>
      </c>
      <c r="C308" s="106" t="s">
        <v>10187</v>
      </c>
    </row>
    <row r="309" spans="1:3" x14ac:dyDescent="0.25">
      <c r="A309" s="115" t="s">
        <v>8939</v>
      </c>
      <c r="B309" s="109" t="s">
        <v>10188</v>
      </c>
      <c r="C309" s="106" t="s">
        <v>10189</v>
      </c>
    </row>
    <row r="310" spans="1:3" x14ac:dyDescent="0.25">
      <c r="A310" s="115" t="s">
        <v>8939</v>
      </c>
      <c r="B310" s="109" t="s">
        <v>10190</v>
      </c>
      <c r="C310" s="106" t="s">
        <v>10191</v>
      </c>
    </row>
    <row r="311" spans="1:3" x14ac:dyDescent="0.25">
      <c r="A311" s="115" t="s">
        <v>8939</v>
      </c>
      <c r="B311" s="109" t="s">
        <v>10192</v>
      </c>
      <c r="C311" s="106" t="s">
        <v>10193</v>
      </c>
    </row>
    <row r="312" spans="1:3" x14ac:dyDescent="0.25">
      <c r="A312" s="115" t="s">
        <v>8939</v>
      </c>
      <c r="B312" s="109" t="s">
        <v>10194</v>
      </c>
      <c r="C312" s="106" t="s">
        <v>10195</v>
      </c>
    </row>
    <row r="313" spans="1:3" x14ac:dyDescent="0.25">
      <c r="A313" s="115" t="s">
        <v>8939</v>
      </c>
      <c r="B313" s="109" t="s">
        <v>10196</v>
      </c>
      <c r="C313" s="106" t="s">
        <v>10197</v>
      </c>
    </row>
    <row r="314" spans="1:3" x14ac:dyDescent="0.25">
      <c r="A314" s="115" t="s">
        <v>8939</v>
      </c>
      <c r="B314" s="109" t="s">
        <v>10198</v>
      </c>
      <c r="C314" s="106" t="s">
        <v>10199</v>
      </c>
    </row>
    <row r="315" spans="1:3" x14ac:dyDescent="0.25">
      <c r="A315" s="115" t="s">
        <v>8939</v>
      </c>
      <c r="B315" s="109" t="s">
        <v>10200</v>
      </c>
      <c r="C315" s="106" t="s">
        <v>10201</v>
      </c>
    </row>
    <row r="316" spans="1:3" x14ac:dyDescent="0.25">
      <c r="A316" s="115" t="s">
        <v>8939</v>
      </c>
      <c r="B316" s="109" t="s">
        <v>10202</v>
      </c>
      <c r="C316" s="106" t="s">
        <v>10203</v>
      </c>
    </row>
    <row r="317" spans="1:3" x14ac:dyDescent="0.25">
      <c r="A317" s="164" t="s">
        <v>8939</v>
      </c>
      <c r="B317" s="167" t="s">
        <v>13429</v>
      </c>
      <c r="C317" s="244" t="s">
        <v>10207</v>
      </c>
    </row>
    <row r="318" spans="1:3" x14ac:dyDescent="0.25">
      <c r="A318" s="115" t="s">
        <v>8939</v>
      </c>
      <c r="B318" s="109" t="s">
        <v>10204</v>
      </c>
      <c r="C318" s="106" t="s">
        <v>10205</v>
      </c>
    </row>
    <row r="319" spans="1:3" x14ac:dyDescent="0.25">
      <c r="A319" s="300" t="s">
        <v>8939</v>
      </c>
      <c r="B319" s="163" t="s">
        <v>10206</v>
      </c>
      <c r="C319" s="301" t="s">
        <v>10207</v>
      </c>
    </row>
    <row r="320" spans="1:3" x14ac:dyDescent="0.25">
      <c r="A320" s="115" t="s">
        <v>8939</v>
      </c>
      <c r="B320" s="109" t="s">
        <v>10208</v>
      </c>
      <c r="C320" s="106" t="s">
        <v>10209</v>
      </c>
    </row>
    <row r="321" spans="1:3" x14ac:dyDescent="0.25">
      <c r="A321" s="115" t="s">
        <v>8939</v>
      </c>
      <c r="B321" s="109" t="s">
        <v>10210</v>
      </c>
      <c r="C321" s="106" t="s">
        <v>10211</v>
      </c>
    </row>
    <row r="322" spans="1:3" x14ac:dyDescent="0.25">
      <c r="A322" s="115" t="s">
        <v>8939</v>
      </c>
      <c r="B322" s="109" t="s">
        <v>10212</v>
      </c>
      <c r="C322" s="106" t="s">
        <v>10213</v>
      </c>
    </row>
    <row r="323" spans="1:3" x14ac:dyDescent="0.25">
      <c r="A323" s="115" t="s">
        <v>8939</v>
      </c>
      <c r="B323" s="109" t="s">
        <v>10214</v>
      </c>
      <c r="C323" s="106" t="s">
        <v>10215</v>
      </c>
    </row>
    <row r="324" spans="1:3" x14ac:dyDescent="0.25">
      <c r="A324" s="115" t="s">
        <v>8939</v>
      </c>
      <c r="B324" s="109" t="s">
        <v>10216</v>
      </c>
      <c r="C324" s="106" t="s">
        <v>10217</v>
      </c>
    </row>
    <row r="325" spans="1:3" x14ac:dyDescent="0.25">
      <c r="A325" s="115" t="s">
        <v>8939</v>
      </c>
      <c r="B325" s="109" t="s">
        <v>10218</v>
      </c>
      <c r="C325" s="106" t="s">
        <v>10219</v>
      </c>
    </row>
    <row r="326" spans="1:3" x14ac:dyDescent="0.25">
      <c r="A326" s="115" t="s">
        <v>8939</v>
      </c>
      <c r="B326" s="109" t="s">
        <v>10220</v>
      </c>
      <c r="C326" s="106" t="s">
        <v>10221</v>
      </c>
    </row>
    <row r="327" spans="1:3" x14ac:dyDescent="0.25">
      <c r="A327" s="115" t="s">
        <v>8939</v>
      </c>
      <c r="B327" s="109" t="s">
        <v>10222</v>
      </c>
      <c r="C327" s="106" t="s">
        <v>10223</v>
      </c>
    </row>
    <row r="328" spans="1:3" x14ac:dyDescent="0.25">
      <c r="A328" s="115" t="s">
        <v>8939</v>
      </c>
      <c r="B328" s="109" t="s">
        <v>10224</v>
      </c>
      <c r="C328" s="106" t="s">
        <v>10225</v>
      </c>
    </row>
    <row r="329" spans="1:3" x14ac:dyDescent="0.25">
      <c r="A329" s="115" t="s">
        <v>8939</v>
      </c>
      <c r="B329" s="109" t="s">
        <v>10228</v>
      </c>
      <c r="C329" s="106" t="s">
        <v>10229</v>
      </c>
    </row>
    <row r="330" spans="1:3" x14ac:dyDescent="0.25">
      <c r="A330" s="115" t="s">
        <v>8939</v>
      </c>
      <c r="B330" s="109" t="s">
        <v>10230</v>
      </c>
      <c r="C330" s="106" t="s">
        <v>10231</v>
      </c>
    </row>
    <row r="331" spans="1:3" x14ac:dyDescent="0.25">
      <c r="A331" s="115" t="s">
        <v>8939</v>
      </c>
      <c r="B331" s="109" t="s">
        <v>10232</v>
      </c>
      <c r="C331" s="106" t="s">
        <v>10233</v>
      </c>
    </row>
    <row r="332" spans="1:3" x14ac:dyDescent="0.25">
      <c r="A332" s="115" t="s">
        <v>8939</v>
      </c>
      <c r="B332" s="109" t="s">
        <v>10234</v>
      </c>
      <c r="C332" s="106" t="s">
        <v>10235</v>
      </c>
    </row>
    <row r="333" spans="1:3" x14ac:dyDescent="0.25">
      <c r="A333" s="115" t="s">
        <v>8939</v>
      </c>
      <c r="B333" s="109" t="s">
        <v>10236</v>
      </c>
      <c r="C333" s="106" t="s">
        <v>10237</v>
      </c>
    </row>
    <row r="334" spans="1:3" x14ac:dyDescent="0.25">
      <c r="A334" s="115" t="s">
        <v>8939</v>
      </c>
      <c r="B334" s="109" t="s">
        <v>10238</v>
      </c>
      <c r="C334" s="106" t="s">
        <v>10239</v>
      </c>
    </row>
    <row r="335" spans="1:3" x14ac:dyDescent="0.25">
      <c r="A335" s="115" t="s">
        <v>8939</v>
      </c>
      <c r="B335" s="109" t="s">
        <v>10240</v>
      </c>
      <c r="C335" s="106" t="s">
        <v>10241</v>
      </c>
    </row>
    <row r="336" spans="1:3" x14ac:dyDescent="0.25">
      <c r="A336" s="115" t="s">
        <v>8939</v>
      </c>
      <c r="B336" s="109" t="s">
        <v>10242</v>
      </c>
      <c r="C336" s="106" t="s">
        <v>10243</v>
      </c>
    </row>
    <row r="337" spans="1:3" x14ac:dyDescent="0.25">
      <c r="A337" s="115" t="s">
        <v>8939</v>
      </c>
      <c r="B337" s="109" t="s">
        <v>10244</v>
      </c>
      <c r="C337" s="106" t="s">
        <v>10245</v>
      </c>
    </row>
    <row r="338" spans="1:3" x14ac:dyDescent="0.25">
      <c r="A338" s="115" t="s">
        <v>8939</v>
      </c>
      <c r="B338" s="109" t="s">
        <v>10246</v>
      </c>
      <c r="C338" s="106" t="s">
        <v>10247</v>
      </c>
    </row>
    <row r="339" spans="1:3" x14ac:dyDescent="0.25">
      <c r="A339" s="115" t="s">
        <v>8939</v>
      </c>
      <c r="B339" s="109" t="s">
        <v>10248</v>
      </c>
      <c r="C339" s="106" t="s">
        <v>10249</v>
      </c>
    </row>
    <row r="340" spans="1:3" x14ac:dyDescent="0.25">
      <c r="A340" s="115" t="s">
        <v>8939</v>
      </c>
      <c r="B340" s="109" t="s">
        <v>10250</v>
      </c>
      <c r="C340" s="106" t="s">
        <v>10251</v>
      </c>
    </row>
    <row r="341" spans="1:3" x14ac:dyDescent="0.25">
      <c r="A341" s="115" t="s">
        <v>8939</v>
      </c>
      <c r="B341" s="109" t="s">
        <v>10252</v>
      </c>
      <c r="C341" s="106" t="s">
        <v>10253</v>
      </c>
    </row>
    <row r="342" spans="1:3" x14ac:dyDescent="0.25">
      <c r="A342" s="115" t="s">
        <v>8939</v>
      </c>
      <c r="B342" s="109" t="s">
        <v>10254</v>
      </c>
      <c r="C342" s="106" t="s">
        <v>10255</v>
      </c>
    </row>
    <row r="343" spans="1:3" x14ac:dyDescent="0.25">
      <c r="A343" s="115" t="s">
        <v>8939</v>
      </c>
      <c r="B343" s="109" t="s">
        <v>10256</v>
      </c>
      <c r="C343" s="106" t="s">
        <v>10257</v>
      </c>
    </row>
    <row r="344" spans="1:3" x14ac:dyDescent="0.25">
      <c r="A344" s="115" t="s">
        <v>8939</v>
      </c>
      <c r="B344" s="109" t="s">
        <v>10258</v>
      </c>
      <c r="C344" s="106" t="s">
        <v>10259</v>
      </c>
    </row>
    <row r="345" spans="1:3" x14ac:dyDescent="0.25">
      <c r="A345" s="115" t="s">
        <v>8939</v>
      </c>
      <c r="B345" s="109" t="s">
        <v>10260</v>
      </c>
      <c r="C345" s="106" t="s">
        <v>10261</v>
      </c>
    </row>
    <row r="346" spans="1:3" x14ac:dyDescent="0.25">
      <c r="A346" s="115" t="s">
        <v>8939</v>
      </c>
      <c r="B346" s="109" t="s">
        <v>10262</v>
      </c>
      <c r="C346" s="106" t="s">
        <v>10263</v>
      </c>
    </row>
    <row r="347" spans="1:3" x14ac:dyDescent="0.25">
      <c r="A347" s="115" t="s">
        <v>8939</v>
      </c>
      <c r="B347" s="109" t="s">
        <v>10264</v>
      </c>
      <c r="C347" s="106" t="s">
        <v>10265</v>
      </c>
    </row>
    <row r="348" spans="1:3" x14ac:dyDescent="0.25">
      <c r="A348" s="115" t="s">
        <v>8939</v>
      </c>
      <c r="B348" s="109" t="s">
        <v>10266</v>
      </c>
      <c r="C348" s="106" t="s">
        <v>10267</v>
      </c>
    </row>
    <row r="349" spans="1:3" x14ac:dyDescent="0.25">
      <c r="A349" s="115" t="s">
        <v>8939</v>
      </c>
      <c r="B349" s="109" t="s">
        <v>10268</v>
      </c>
      <c r="C349" s="106" t="s">
        <v>10269</v>
      </c>
    </row>
    <row r="350" spans="1:3" x14ac:dyDescent="0.25">
      <c r="A350" s="115" t="s">
        <v>8939</v>
      </c>
      <c r="B350" s="109" t="s">
        <v>10270</v>
      </c>
      <c r="C350" s="106" t="s">
        <v>10271</v>
      </c>
    </row>
    <row r="351" spans="1:3" x14ac:dyDescent="0.25">
      <c r="A351" s="115" t="s">
        <v>8939</v>
      </c>
      <c r="B351" s="109" t="s">
        <v>10272</v>
      </c>
      <c r="C351" s="106" t="s">
        <v>10273</v>
      </c>
    </row>
    <row r="352" spans="1:3" x14ac:dyDescent="0.25">
      <c r="A352" s="115" t="s">
        <v>8939</v>
      </c>
      <c r="B352" s="109" t="s">
        <v>10274</v>
      </c>
      <c r="C352" s="106" t="s">
        <v>10275</v>
      </c>
    </row>
    <row r="353" spans="1:3" x14ac:dyDescent="0.25">
      <c r="A353" s="115" t="s">
        <v>8939</v>
      </c>
      <c r="B353" s="109" t="s">
        <v>10276</v>
      </c>
      <c r="C353" s="106" t="s">
        <v>10277</v>
      </c>
    </row>
    <row r="354" spans="1:3" x14ac:dyDescent="0.25">
      <c r="A354" s="115" t="s">
        <v>8939</v>
      </c>
      <c r="B354" s="109" t="s">
        <v>10278</v>
      </c>
      <c r="C354" s="106" t="s">
        <v>10279</v>
      </c>
    </row>
    <row r="355" spans="1:3" x14ac:dyDescent="0.25">
      <c r="A355" s="115" t="s">
        <v>8939</v>
      </c>
      <c r="B355" s="109" t="s">
        <v>10280</v>
      </c>
      <c r="C355" s="106" t="s">
        <v>10281</v>
      </c>
    </row>
    <row r="356" spans="1:3" x14ac:dyDescent="0.25">
      <c r="A356" s="115" t="s">
        <v>8939</v>
      </c>
      <c r="B356" s="109" t="s">
        <v>10282</v>
      </c>
      <c r="C356" s="106" t="s">
        <v>10283</v>
      </c>
    </row>
    <row r="357" spans="1:3" x14ac:dyDescent="0.25">
      <c r="A357" s="115" t="s">
        <v>8939</v>
      </c>
      <c r="B357" s="109" t="s">
        <v>10284</v>
      </c>
      <c r="C357" s="106" t="s">
        <v>10285</v>
      </c>
    </row>
    <row r="358" spans="1:3" x14ac:dyDescent="0.25">
      <c r="A358" s="115" t="s">
        <v>8939</v>
      </c>
      <c r="B358" s="109" t="s">
        <v>10286</v>
      </c>
      <c r="C358" s="106" t="s">
        <v>10287</v>
      </c>
    </row>
    <row r="359" spans="1:3" x14ac:dyDescent="0.25">
      <c r="A359" s="115" t="s">
        <v>8939</v>
      </c>
      <c r="B359" s="109" t="s">
        <v>10288</v>
      </c>
      <c r="C359" s="106" t="s">
        <v>10289</v>
      </c>
    </row>
    <row r="360" spans="1:3" x14ac:dyDescent="0.25">
      <c r="A360" s="115" t="s">
        <v>8939</v>
      </c>
      <c r="B360" s="109" t="s">
        <v>10290</v>
      </c>
      <c r="C360" s="106" t="s">
        <v>10291</v>
      </c>
    </row>
    <row r="361" spans="1:3" x14ac:dyDescent="0.25">
      <c r="A361" s="115" t="s">
        <v>8939</v>
      </c>
      <c r="B361" s="109" t="s">
        <v>10292</v>
      </c>
      <c r="C361" s="106" t="s">
        <v>10293</v>
      </c>
    </row>
    <row r="362" spans="1:3" x14ac:dyDescent="0.25">
      <c r="A362" s="115" t="s">
        <v>8939</v>
      </c>
      <c r="B362" s="109" t="s">
        <v>10294</v>
      </c>
      <c r="C362" s="106" t="s">
        <v>10295</v>
      </c>
    </row>
    <row r="363" spans="1:3" x14ac:dyDescent="0.25">
      <c r="A363" s="115" t="s">
        <v>8939</v>
      </c>
      <c r="B363" s="109" t="s">
        <v>10296</v>
      </c>
      <c r="C363" s="106" t="s">
        <v>10297</v>
      </c>
    </row>
    <row r="364" spans="1:3" x14ac:dyDescent="0.25">
      <c r="A364" s="115" t="s">
        <v>8939</v>
      </c>
      <c r="B364" s="109" t="s">
        <v>10298</v>
      </c>
      <c r="C364" s="106" t="s">
        <v>10299</v>
      </c>
    </row>
    <row r="365" spans="1:3" x14ac:dyDescent="0.25">
      <c r="A365" s="115" t="s">
        <v>8939</v>
      </c>
      <c r="B365" s="109" t="s">
        <v>10300</v>
      </c>
      <c r="C365" s="106" t="s">
        <v>10301</v>
      </c>
    </row>
    <row r="366" spans="1:3" x14ac:dyDescent="0.25">
      <c r="A366" s="115" t="s">
        <v>8939</v>
      </c>
      <c r="B366" s="109" t="s">
        <v>10302</v>
      </c>
      <c r="C366" s="106" t="s">
        <v>10303</v>
      </c>
    </row>
    <row r="367" spans="1:3" x14ac:dyDescent="0.25">
      <c r="A367" s="115" t="s">
        <v>8939</v>
      </c>
      <c r="B367" s="109" t="s">
        <v>10304</v>
      </c>
      <c r="C367" s="106" t="s">
        <v>10305</v>
      </c>
    </row>
    <row r="368" spans="1:3" x14ac:dyDescent="0.25">
      <c r="A368" s="115" t="s">
        <v>8939</v>
      </c>
      <c r="B368" s="109" t="s">
        <v>10306</v>
      </c>
      <c r="C368" s="106" t="s">
        <v>10307</v>
      </c>
    </row>
    <row r="369" spans="1:3" x14ac:dyDescent="0.25">
      <c r="A369" s="115" t="s">
        <v>8939</v>
      </c>
      <c r="B369" s="109" t="s">
        <v>10308</v>
      </c>
      <c r="C369" s="106" t="s">
        <v>10309</v>
      </c>
    </row>
    <row r="370" spans="1:3" x14ac:dyDescent="0.25">
      <c r="A370" s="115" t="s">
        <v>8939</v>
      </c>
      <c r="B370" s="109" t="s">
        <v>10310</v>
      </c>
      <c r="C370" s="106" t="s">
        <v>10311</v>
      </c>
    </row>
    <row r="371" spans="1:3" x14ac:dyDescent="0.25">
      <c r="A371" s="115" t="s">
        <v>8939</v>
      </c>
      <c r="B371" s="109" t="s">
        <v>10312</v>
      </c>
      <c r="C371" s="106" t="s">
        <v>10313</v>
      </c>
    </row>
    <row r="372" spans="1:3" x14ac:dyDescent="0.25">
      <c r="A372" s="115" t="s">
        <v>8939</v>
      </c>
      <c r="B372" s="109" t="s">
        <v>10314</v>
      </c>
      <c r="C372" s="106" t="s">
        <v>10315</v>
      </c>
    </row>
    <row r="373" spans="1:3" x14ac:dyDescent="0.25">
      <c r="A373" s="115" t="s">
        <v>8939</v>
      </c>
      <c r="B373" s="109" t="s">
        <v>10316</v>
      </c>
      <c r="C373" s="106" t="s">
        <v>10317</v>
      </c>
    </row>
    <row r="374" spans="1:3" x14ac:dyDescent="0.25">
      <c r="A374" s="115" t="s">
        <v>8939</v>
      </c>
      <c r="B374" s="109" t="s">
        <v>10318</v>
      </c>
      <c r="C374" s="106" t="s">
        <v>10319</v>
      </c>
    </row>
    <row r="375" spans="1:3" x14ac:dyDescent="0.25">
      <c r="A375" s="115" t="s">
        <v>8939</v>
      </c>
      <c r="B375" s="109" t="s">
        <v>10320</v>
      </c>
      <c r="C375" s="106" t="s">
        <v>10321</v>
      </c>
    </row>
    <row r="376" spans="1:3" x14ac:dyDescent="0.25">
      <c r="A376" s="115" t="s">
        <v>8939</v>
      </c>
      <c r="B376" s="109" t="s">
        <v>10322</v>
      </c>
      <c r="C376" s="106" t="s">
        <v>10323</v>
      </c>
    </row>
    <row r="377" spans="1:3" x14ac:dyDescent="0.25">
      <c r="A377" s="115" t="s">
        <v>8939</v>
      </c>
      <c r="B377" s="109" t="s">
        <v>10334</v>
      </c>
      <c r="C377" s="106" t="s">
        <v>10335</v>
      </c>
    </row>
    <row r="378" spans="1:3" x14ac:dyDescent="0.25">
      <c r="A378" s="115" t="s">
        <v>8939</v>
      </c>
      <c r="B378" s="109" t="s">
        <v>10336</v>
      </c>
      <c r="C378" s="106" t="s">
        <v>10337</v>
      </c>
    </row>
    <row r="379" spans="1:3" x14ac:dyDescent="0.25">
      <c r="A379" s="115" t="s">
        <v>8939</v>
      </c>
      <c r="B379" s="109" t="s">
        <v>10338</v>
      </c>
      <c r="C379" s="106" t="s">
        <v>10339</v>
      </c>
    </row>
    <row r="380" spans="1:3" x14ac:dyDescent="0.25">
      <c r="A380" s="115" t="s">
        <v>8939</v>
      </c>
      <c r="B380" s="109" t="s">
        <v>10340</v>
      </c>
      <c r="C380" s="106" t="s">
        <v>10341</v>
      </c>
    </row>
    <row r="381" spans="1:3" x14ac:dyDescent="0.25">
      <c r="A381" s="115" t="s">
        <v>8939</v>
      </c>
      <c r="B381" s="109" t="s">
        <v>10342</v>
      </c>
      <c r="C381" s="106" t="s">
        <v>10343</v>
      </c>
    </row>
    <row r="382" spans="1:3" x14ac:dyDescent="0.25">
      <c r="A382" s="115" t="s">
        <v>8939</v>
      </c>
      <c r="B382" s="109" t="s">
        <v>10344</v>
      </c>
      <c r="C382" s="106" t="s">
        <v>10345</v>
      </c>
    </row>
    <row r="383" spans="1:3" x14ac:dyDescent="0.25">
      <c r="A383" s="115" t="s">
        <v>8939</v>
      </c>
      <c r="B383" s="109" t="s">
        <v>10346</v>
      </c>
      <c r="C383" s="106" t="s">
        <v>10347</v>
      </c>
    </row>
    <row r="384" spans="1:3" x14ac:dyDescent="0.25">
      <c r="A384" s="115" t="s">
        <v>8939</v>
      </c>
      <c r="B384" s="109" t="s">
        <v>10348</v>
      </c>
      <c r="C384" s="106" t="s">
        <v>10349</v>
      </c>
    </row>
    <row r="385" spans="1:3" x14ac:dyDescent="0.25">
      <c r="A385" s="115" t="s">
        <v>8939</v>
      </c>
      <c r="B385" s="109" t="s">
        <v>10350</v>
      </c>
      <c r="C385" s="106" t="s">
        <v>10351</v>
      </c>
    </row>
    <row r="386" spans="1:3" x14ac:dyDescent="0.25">
      <c r="A386" s="115" t="s">
        <v>8939</v>
      </c>
      <c r="B386" s="109" t="s">
        <v>10352</v>
      </c>
      <c r="C386" s="106" t="s">
        <v>10353</v>
      </c>
    </row>
    <row r="387" spans="1:3" x14ac:dyDescent="0.25">
      <c r="A387" s="115" t="s">
        <v>8939</v>
      </c>
      <c r="B387" s="109" t="s">
        <v>10354</v>
      </c>
      <c r="C387" s="106" t="s">
        <v>10355</v>
      </c>
    </row>
    <row r="388" spans="1:3" x14ac:dyDescent="0.25">
      <c r="A388" s="115" t="s">
        <v>8939</v>
      </c>
      <c r="B388" s="109" t="s">
        <v>10356</v>
      </c>
      <c r="C388" s="106" t="s">
        <v>10357</v>
      </c>
    </row>
    <row r="389" spans="1:3" x14ac:dyDescent="0.25">
      <c r="A389" s="115" t="s">
        <v>8939</v>
      </c>
      <c r="B389" s="109" t="s">
        <v>10358</v>
      </c>
      <c r="C389" s="106" t="s">
        <v>10359</v>
      </c>
    </row>
    <row r="390" spans="1:3" x14ac:dyDescent="0.25">
      <c r="A390" s="115" t="s">
        <v>8939</v>
      </c>
      <c r="B390" s="109" t="s">
        <v>10360</v>
      </c>
      <c r="C390" s="106" t="s">
        <v>10361</v>
      </c>
    </row>
    <row r="391" spans="1:3" x14ac:dyDescent="0.25">
      <c r="A391" s="115" t="s">
        <v>8939</v>
      </c>
      <c r="B391" s="109" t="s">
        <v>10362</v>
      </c>
      <c r="C391" s="106" t="s">
        <v>10363</v>
      </c>
    </row>
    <row r="392" spans="1:3" x14ac:dyDescent="0.25">
      <c r="A392" s="115" t="s">
        <v>8939</v>
      </c>
      <c r="B392" s="109" t="s">
        <v>10364</v>
      </c>
      <c r="C392" s="106" t="s">
        <v>10365</v>
      </c>
    </row>
    <row r="393" spans="1:3" x14ac:dyDescent="0.25">
      <c r="A393" s="115" t="s">
        <v>8939</v>
      </c>
      <c r="B393" s="109" t="s">
        <v>10366</v>
      </c>
      <c r="C393" s="106" t="s">
        <v>10367</v>
      </c>
    </row>
    <row r="394" spans="1:3" x14ac:dyDescent="0.25">
      <c r="A394" s="115" t="s">
        <v>8939</v>
      </c>
      <c r="B394" s="109" t="s">
        <v>10368</v>
      </c>
      <c r="C394" s="106" t="s">
        <v>10369</v>
      </c>
    </row>
    <row r="395" spans="1:3" x14ac:dyDescent="0.25">
      <c r="A395" s="115" t="s">
        <v>8939</v>
      </c>
      <c r="B395" s="109" t="s">
        <v>10370</v>
      </c>
      <c r="C395" s="106" t="s">
        <v>10371</v>
      </c>
    </row>
    <row r="396" spans="1:3" x14ac:dyDescent="0.25">
      <c r="A396" s="115" t="s">
        <v>8939</v>
      </c>
      <c r="B396" s="109" t="s">
        <v>10392</v>
      </c>
      <c r="C396" s="106" t="s">
        <v>10393</v>
      </c>
    </row>
    <row r="397" spans="1:3" x14ac:dyDescent="0.25">
      <c r="A397" s="115" t="s">
        <v>8939</v>
      </c>
      <c r="B397" s="109" t="s">
        <v>10394</v>
      </c>
      <c r="C397" s="106" t="s">
        <v>10395</v>
      </c>
    </row>
    <row r="398" spans="1:3" x14ac:dyDescent="0.25">
      <c r="A398" s="115" t="s">
        <v>8939</v>
      </c>
      <c r="B398" s="109" t="s">
        <v>10396</v>
      </c>
      <c r="C398" s="106" t="s">
        <v>10397</v>
      </c>
    </row>
    <row r="399" spans="1:3" x14ac:dyDescent="0.25">
      <c r="A399" s="115" t="s">
        <v>8939</v>
      </c>
      <c r="B399" s="109" t="s">
        <v>10398</v>
      </c>
      <c r="C399" s="106" t="s">
        <v>10399</v>
      </c>
    </row>
    <row r="400" spans="1:3" x14ac:dyDescent="0.25">
      <c r="A400" s="115" t="s">
        <v>8939</v>
      </c>
      <c r="B400" s="109" t="s">
        <v>10400</v>
      </c>
      <c r="C400" s="106" t="s">
        <v>10401</v>
      </c>
    </row>
    <row r="401" spans="1:3" x14ac:dyDescent="0.25">
      <c r="A401" s="115" t="s">
        <v>8939</v>
      </c>
      <c r="B401" s="109" t="s">
        <v>10402</v>
      </c>
      <c r="C401" s="106" t="s">
        <v>10403</v>
      </c>
    </row>
    <row r="402" spans="1:3" x14ac:dyDescent="0.25">
      <c r="A402" s="115" t="s">
        <v>8939</v>
      </c>
      <c r="B402" s="109" t="s">
        <v>10404</v>
      </c>
      <c r="C402" s="106" t="s">
        <v>10405</v>
      </c>
    </row>
    <row r="403" spans="1:3" x14ac:dyDescent="0.25">
      <c r="A403" s="115" t="s">
        <v>8939</v>
      </c>
      <c r="B403" s="109" t="s">
        <v>10406</v>
      </c>
      <c r="C403" s="106" t="s">
        <v>10407</v>
      </c>
    </row>
    <row r="404" spans="1:3" x14ac:dyDescent="0.25">
      <c r="A404" s="115" t="s">
        <v>8939</v>
      </c>
      <c r="B404" s="109" t="s">
        <v>10408</v>
      </c>
      <c r="C404" s="106" t="s">
        <v>10409</v>
      </c>
    </row>
    <row r="405" spans="1:3" x14ac:dyDescent="0.25">
      <c r="A405" s="115" t="s">
        <v>8939</v>
      </c>
      <c r="B405" s="109" t="s">
        <v>10410</v>
      </c>
      <c r="C405" s="106" t="s">
        <v>10411</v>
      </c>
    </row>
    <row r="406" spans="1:3" x14ac:dyDescent="0.25">
      <c r="A406" s="115" t="s">
        <v>8939</v>
      </c>
      <c r="B406" s="109" t="s">
        <v>10412</v>
      </c>
      <c r="C406" s="106" t="s">
        <v>10413</v>
      </c>
    </row>
    <row r="407" spans="1:3" x14ac:dyDescent="0.25">
      <c r="A407" s="115" t="s">
        <v>8939</v>
      </c>
      <c r="B407" s="109" t="s">
        <v>10414</v>
      </c>
      <c r="C407" s="106" t="s">
        <v>10415</v>
      </c>
    </row>
    <row r="408" spans="1:3" x14ac:dyDescent="0.25">
      <c r="A408" s="115" t="s">
        <v>8939</v>
      </c>
      <c r="B408" s="109" t="s">
        <v>10416</v>
      </c>
      <c r="C408" s="106" t="s">
        <v>10417</v>
      </c>
    </row>
    <row r="409" spans="1:3" x14ac:dyDescent="0.25">
      <c r="A409" s="115" t="s">
        <v>8939</v>
      </c>
      <c r="B409" s="109" t="s">
        <v>10418</v>
      </c>
      <c r="C409" s="106" t="s">
        <v>10419</v>
      </c>
    </row>
    <row r="410" spans="1:3" x14ac:dyDescent="0.25">
      <c r="A410" s="115" t="s">
        <v>8939</v>
      </c>
      <c r="B410" s="109" t="s">
        <v>10420</v>
      </c>
      <c r="C410" s="106" t="s">
        <v>10421</v>
      </c>
    </row>
    <row r="411" spans="1:3" x14ac:dyDescent="0.25">
      <c r="A411" s="115" t="s">
        <v>8939</v>
      </c>
      <c r="B411" s="109" t="s">
        <v>10422</v>
      </c>
      <c r="C411" s="106" t="s">
        <v>10423</v>
      </c>
    </row>
    <row r="412" spans="1:3" x14ac:dyDescent="0.25">
      <c r="A412" s="115" t="s">
        <v>8939</v>
      </c>
      <c r="B412" s="109" t="s">
        <v>10424</v>
      </c>
      <c r="C412" s="106" t="s">
        <v>10425</v>
      </c>
    </row>
    <row r="413" spans="1:3" x14ac:dyDescent="0.25">
      <c r="A413" s="115" t="s">
        <v>8939</v>
      </c>
      <c r="B413" s="109" t="s">
        <v>10426</v>
      </c>
      <c r="C413" s="106" t="s">
        <v>10427</v>
      </c>
    </row>
    <row r="414" spans="1:3" x14ac:dyDescent="0.25">
      <c r="A414" s="115" t="s">
        <v>8939</v>
      </c>
      <c r="B414" s="109" t="s">
        <v>10428</v>
      </c>
      <c r="C414" s="106" t="s">
        <v>10429</v>
      </c>
    </row>
    <row r="415" spans="1:3" x14ac:dyDescent="0.25">
      <c r="A415" s="115" t="s">
        <v>8939</v>
      </c>
      <c r="B415" s="109" t="s">
        <v>10430</v>
      </c>
      <c r="C415" s="106" t="s">
        <v>10431</v>
      </c>
    </row>
    <row r="416" spans="1:3" x14ac:dyDescent="0.25">
      <c r="A416" s="115" t="s">
        <v>8939</v>
      </c>
      <c r="B416" s="109" t="s">
        <v>10432</v>
      </c>
      <c r="C416" s="106" t="s">
        <v>10433</v>
      </c>
    </row>
    <row r="417" spans="1:3" x14ac:dyDescent="0.25">
      <c r="A417" s="115" t="s">
        <v>8939</v>
      </c>
      <c r="B417" s="109" t="s">
        <v>10438</v>
      </c>
      <c r="C417" s="106" t="s">
        <v>10439</v>
      </c>
    </row>
    <row r="418" spans="1:3" x14ac:dyDescent="0.25">
      <c r="A418" s="115" t="s">
        <v>8939</v>
      </c>
      <c r="B418" s="109" t="s">
        <v>10440</v>
      </c>
      <c r="C418" s="106" t="s">
        <v>10441</v>
      </c>
    </row>
    <row r="419" spans="1:3" x14ac:dyDescent="0.25">
      <c r="A419" s="115" t="s">
        <v>8939</v>
      </c>
      <c r="B419" s="109" t="s">
        <v>10442</v>
      </c>
      <c r="C419" s="106" t="s">
        <v>10443</v>
      </c>
    </row>
    <row r="420" spans="1:3" x14ac:dyDescent="0.25">
      <c r="A420" s="115" t="s">
        <v>8939</v>
      </c>
      <c r="B420" s="109" t="s">
        <v>10444</v>
      </c>
      <c r="C420" s="106" t="s">
        <v>10445</v>
      </c>
    </row>
    <row r="421" spans="1:3" x14ac:dyDescent="0.25">
      <c r="A421" s="115" t="s">
        <v>8939</v>
      </c>
      <c r="B421" s="109" t="s">
        <v>10446</v>
      </c>
      <c r="C421" s="106" t="s">
        <v>10447</v>
      </c>
    </row>
    <row r="422" spans="1:3" x14ac:dyDescent="0.25">
      <c r="A422" s="115" t="s">
        <v>8939</v>
      </c>
      <c r="B422" s="109" t="s">
        <v>10448</v>
      </c>
      <c r="C422" s="106" t="s">
        <v>10449</v>
      </c>
    </row>
    <row r="423" spans="1:3" x14ac:dyDescent="0.25">
      <c r="A423" s="115" t="s">
        <v>8939</v>
      </c>
      <c r="B423" s="109" t="s">
        <v>10450</v>
      </c>
      <c r="C423" s="106" t="s">
        <v>10451</v>
      </c>
    </row>
    <row r="424" spans="1:3" x14ac:dyDescent="0.25">
      <c r="A424" s="115" t="s">
        <v>8939</v>
      </c>
      <c r="B424" s="109" t="s">
        <v>10459</v>
      </c>
      <c r="C424" s="106" t="s">
        <v>10460</v>
      </c>
    </row>
    <row r="425" spans="1:3" x14ac:dyDescent="0.25">
      <c r="A425" s="115" t="s">
        <v>8939</v>
      </c>
      <c r="B425" s="109" t="s">
        <v>10461</v>
      </c>
      <c r="C425" s="106" t="s">
        <v>10462</v>
      </c>
    </row>
    <row r="426" spans="1:3" x14ac:dyDescent="0.25">
      <c r="A426" s="115" t="s">
        <v>8939</v>
      </c>
      <c r="B426" s="109" t="s">
        <v>10463</v>
      </c>
      <c r="C426" s="106" t="s">
        <v>10464</v>
      </c>
    </row>
    <row r="427" spans="1:3" x14ac:dyDescent="0.25">
      <c r="A427" s="115" t="s">
        <v>8939</v>
      </c>
      <c r="B427" s="109" t="s">
        <v>10465</v>
      </c>
      <c r="C427" s="106" t="s">
        <v>10466</v>
      </c>
    </row>
    <row r="428" spans="1:3" x14ac:dyDescent="0.25">
      <c r="A428" s="115" t="s">
        <v>8939</v>
      </c>
      <c r="B428" s="109" t="s">
        <v>10467</v>
      </c>
      <c r="C428" s="106" t="s">
        <v>10468</v>
      </c>
    </row>
    <row r="429" spans="1:3" x14ac:dyDescent="0.25">
      <c r="A429" s="115" t="s">
        <v>8939</v>
      </c>
      <c r="B429" s="109" t="s">
        <v>10469</v>
      </c>
      <c r="C429" s="106" t="s">
        <v>10470</v>
      </c>
    </row>
    <row r="430" spans="1:3" x14ac:dyDescent="0.25">
      <c r="A430" s="115" t="s">
        <v>8939</v>
      </c>
      <c r="B430" s="109" t="s">
        <v>10473</v>
      </c>
      <c r="C430" s="106" t="s">
        <v>10474</v>
      </c>
    </row>
    <row r="431" spans="1:3" x14ac:dyDescent="0.25">
      <c r="A431" s="115" t="s">
        <v>8939</v>
      </c>
      <c r="B431" s="109" t="s">
        <v>10475</v>
      </c>
      <c r="C431" s="106" t="s">
        <v>10476</v>
      </c>
    </row>
    <row r="432" spans="1:3" x14ac:dyDescent="0.25">
      <c r="A432" s="115" t="s">
        <v>8939</v>
      </c>
      <c r="B432" s="109" t="s">
        <v>10477</v>
      </c>
      <c r="C432" s="106" t="s">
        <v>10478</v>
      </c>
    </row>
    <row r="433" spans="1:3" x14ac:dyDescent="0.25">
      <c r="A433" s="115" t="s">
        <v>8939</v>
      </c>
      <c r="B433" s="109" t="s">
        <v>10479</v>
      </c>
      <c r="C433" s="106" t="s">
        <v>10480</v>
      </c>
    </row>
    <row r="434" spans="1:3" x14ac:dyDescent="0.25">
      <c r="A434" s="115" t="s">
        <v>8939</v>
      </c>
      <c r="B434" s="109" t="s">
        <v>10481</v>
      </c>
      <c r="C434" s="106" t="s">
        <v>10482</v>
      </c>
    </row>
    <row r="435" spans="1:3" x14ac:dyDescent="0.25">
      <c r="A435" s="115" t="s">
        <v>8939</v>
      </c>
      <c r="B435" s="109" t="s">
        <v>10483</v>
      </c>
      <c r="C435" s="106" t="s">
        <v>10484</v>
      </c>
    </row>
    <row r="436" spans="1:3" x14ac:dyDescent="0.25">
      <c r="A436" s="115" t="s">
        <v>8939</v>
      </c>
      <c r="B436" s="109" t="s">
        <v>10485</v>
      </c>
      <c r="C436" s="106" t="s">
        <v>10486</v>
      </c>
    </row>
    <row r="437" spans="1:3" x14ac:dyDescent="0.25">
      <c r="A437" s="115" t="s">
        <v>8939</v>
      </c>
      <c r="B437" s="109" t="s">
        <v>10487</v>
      </c>
      <c r="C437" s="106" t="s">
        <v>10488</v>
      </c>
    </row>
    <row r="438" spans="1:3" x14ac:dyDescent="0.25">
      <c r="A438" s="115" t="s">
        <v>8939</v>
      </c>
      <c r="B438" s="109" t="s">
        <v>10489</v>
      </c>
      <c r="C438" s="106" t="s">
        <v>10490</v>
      </c>
    </row>
    <row r="439" spans="1:3" x14ac:dyDescent="0.25">
      <c r="A439" s="115" t="s">
        <v>8939</v>
      </c>
      <c r="B439" s="109" t="s">
        <v>10491</v>
      </c>
      <c r="C439" s="106" t="s">
        <v>10492</v>
      </c>
    </row>
    <row r="440" spans="1:3" x14ac:dyDescent="0.25">
      <c r="A440" s="115" t="s">
        <v>8939</v>
      </c>
      <c r="B440" s="109" t="s">
        <v>10493</v>
      </c>
      <c r="C440" s="106" t="s">
        <v>10494</v>
      </c>
    </row>
    <row r="441" spans="1:3" x14ac:dyDescent="0.25">
      <c r="A441" s="115" t="s">
        <v>8939</v>
      </c>
      <c r="B441" s="109" t="s">
        <v>10505</v>
      </c>
      <c r="C441" s="106" t="s">
        <v>10506</v>
      </c>
    </row>
    <row r="442" spans="1:3" x14ac:dyDescent="0.25">
      <c r="A442" s="115" t="s">
        <v>8939</v>
      </c>
      <c r="B442" s="109" t="s">
        <v>10507</v>
      </c>
      <c r="C442" s="106" t="s">
        <v>10508</v>
      </c>
    </row>
    <row r="443" spans="1:3" x14ac:dyDescent="0.25">
      <c r="A443" s="115" t="s">
        <v>8939</v>
      </c>
      <c r="B443" s="109" t="s">
        <v>10509</v>
      </c>
      <c r="C443" s="58" t="s">
        <v>10510</v>
      </c>
    </row>
    <row r="444" spans="1:3" x14ac:dyDescent="0.25">
      <c r="A444" s="115" t="s">
        <v>8939</v>
      </c>
      <c r="B444" s="109" t="s">
        <v>10511</v>
      </c>
      <c r="C444" s="58" t="s">
        <v>10512</v>
      </c>
    </row>
    <row r="445" spans="1:3" x14ac:dyDescent="0.25">
      <c r="A445" s="115" t="s">
        <v>8939</v>
      </c>
      <c r="B445" s="109" t="s">
        <v>10513</v>
      </c>
      <c r="C445" s="58" t="s">
        <v>10514</v>
      </c>
    </row>
    <row r="446" spans="1:3" x14ac:dyDescent="0.25">
      <c r="A446" s="115" t="s">
        <v>8939</v>
      </c>
      <c r="B446" s="109" t="s">
        <v>10515</v>
      </c>
      <c r="C446" s="106" t="s">
        <v>10516</v>
      </c>
    </row>
    <row r="447" spans="1:3" x14ac:dyDescent="0.25">
      <c r="A447" s="115" t="s">
        <v>8939</v>
      </c>
      <c r="B447" s="109" t="s">
        <v>10517</v>
      </c>
      <c r="C447" s="106" t="s">
        <v>10518</v>
      </c>
    </row>
    <row r="448" spans="1:3" x14ac:dyDescent="0.25">
      <c r="A448" s="115" t="s">
        <v>8939</v>
      </c>
      <c r="B448" s="109" t="s">
        <v>10519</v>
      </c>
      <c r="C448" s="106" t="s">
        <v>10520</v>
      </c>
    </row>
    <row r="449" spans="1:3" x14ac:dyDescent="0.25">
      <c r="A449" s="115" t="s">
        <v>8939</v>
      </c>
      <c r="B449" s="109" t="s">
        <v>10521</v>
      </c>
      <c r="C449" s="106" t="s">
        <v>10522</v>
      </c>
    </row>
    <row r="450" spans="1:3" x14ac:dyDescent="0.25">
      <c r="A450" s="115" t="s">
        <v>8939</v>
      </c>
      <c r="B450" s="109" t="s">
        <v>10523</v>
      </c>
      <c r="C450" s="106" t="s">
        <v>10524</v>
      </c>
    </row>
    <row r="451" spans="1:3" x14ac:dyDescent="0.25">
      <c r="A451" s="115" t="s">
        <v>8939</v>
      </c>
      <c r="B451" s="109" t="s">
        <v>10525</v>
      </c>
      <c r="C451" s="106" t="s">
        <v>10526</v>
      </c>
    </row>
    <row r="452" spans="1:3" x14ac:dyDescent="0.25">
      <c r="A452" s="115" t="s">
        <v>8939</v>
      </c>
      <c r="B452" s="109" t="s">
        <v>10527</v>
      </c>
      <c r="C452" s="106" t="s">
        <v>10528</v>
      </c>
    </row>
    <row r="453" spans="1:3" x14ac:dyDescent="0.25">
      <c r="A453" s="115" t="s">
        <v>8939</v>
      </c>
      <c r="B453" s="109" t="s">
        <v>10529</v>
      </c>
      <c r="C453" s="106" t="s">
        <v>10530</v>
      </c>
    </row>
    <row r="454" spans="1:3" x14ac:dyDescent="0.25">
      <c r="A454" s="115" t="s">
        <v>8939</v>
      </c>
      <c r="B454" s="109" t="s">
        <v>10531</v>
      </c>
      <c r="C454" s="106" t="s">
        <v>10532</v>
      </c>
    </row>
    <row r="455" spans="1:3" x14ac:dyDescent="0.25">
      <c r="A455" s="115" t="s">
        <v>8939</v>
      </c>
      <c r="B455" s="109" t="s">
        <v>10533</v>
      </c>
      <c r="C455" s="106" t="s">
        <v>10534</v>
      </c>
    </row>
    <row r="456" spans="1:3" x14ac:dyDescent="0.25">
      <c r="A456" s="115" t="s">
        <v>8939</v>
      </c>
      <c r="B456" s="109" t="s">
        <v>10535</v>
      </c>
      <c r="C456" s="106" t="s">
        <v>10536</v>
      </c>
    </row>
    <row r="457" spans="1:3" x14ac:dyDescent="0.25">
      <c r="A457" s="115" t="s">
        <v>8939</v>
      </c>
      <c r="B457" s="109" t="s">
        <v>10537</v>
      </c>
      <c r="C457" s="106" t="s">
        <v>10538</v>
      </c>
    </row>
    <row r="458" spans="1:3" x14ac:dyDescent="0.25">
      <c r="A458" s="115" t="s">
        <v>8939</v>
      </c>
      <c r="B458" s="109" t="s">
        <v>10539</v>
      </c>
      <c r="C458" s="106" t="s">
        <v>10540</v>
      </c>
    </row>
    <row r="459" spans="1:3" x14ac:dyDescent="0.25">
      <c r="A459" s="115" t="s">
        <v>8939</v>
      </c>
      <c r="B459" s="109" t="s">
        <v>10541</v>
      </c>
      <c r="C459" s="106" t="s">
        <v>10542</v>
      </c>
    </row>
    <row r="460" spans="1:3" x14ac:dyDescent="0.25">
      <c r="A460" s="115" t="s">
        <v>8939</v>
      </c>
      <c r="B460" s="109" t="s">
        <v>10543</v>
      </c>
      <c r="C460" s="106" t="s">
        <v>10544</v>
      </c>
    </row>
    <row r="461" spans="1:3" x14ac:dyDescent="0.25">
      <c r="A461" s="115" t="s">
        <v>8939</v>
      </c>
      <c r="B461" s="109" t="s">
        <v>10545</v>
      </c>
      <c r="C461" s="106" t="s">
        <v>10546</v>
      </c>
    </row>
    <row r="462" spans="1:3" x14ac:dyDescent="0.25">
      <c r="A462" s="115" t="s">
        <v>8939</v>
      </c>
      <c r="B462" s="109" t="s">
        <v>10547</v>
      </c>
      <c r="C462" s="106" t="s">
        <v>10548</v>
      </c>
    </row>
    <row r="463" spans="1:3" x14ac:dyDescent="0.25">
      <c r="A463" s="115" t="s">
        <v>8939</v>
      </c>
      <c r="B463" s="109" t="s">
        <v>10549</v>
      </c>
      <c r="C463" s="106" t="s">
        <v>10550</v>
      </c>
    </row>
    <row r="464" spans="1:3" x14ac:dyDescent="0.25">
      <c r="A464" s="115" t="s">
        <v>8939</v>
      </c>
      <c r="B464" s="109" t="s">
        <v>10551</v>
      </c>
      <c r="C464" s="106" t="s">
        <v>10552</v>
      </c>
    </row>
    <row r="465" spans="1:3" x14ac:dyDescent="0.25">
      <c r="A465" s="115" t="s">
        <v>8939</v>
      </c>
      <c r="B465" s="109" t="s">
        <v>10553</v>
      </c>
      <c r="C465" s="106" t="s">
        <v>10554</v>
      </c>
    </row>
    <row r="466" spans="1:3" x14ac:dyDescent="0.25">
      <c r="A466" s="115" t="s">
        <v>8939</v>
      </c>
      <c r="B466" s="109" t="s">
        <v>10555</v>
      </c>
      <c r="C466" s="106" t="s">
        <v>10556</v>
      </c>
    </row>
    <row r="467" spans="1:3" x14ac:dyDescent="0.25">
      <c r="A467" s="115" t="s">
        <v>8939</v>
      </c>
      <c r="B467" s="109" t="s">
        <v>10557</v>
      </c>
      <c r="C467" s="106" t="s">
        <v>10558</v>
      </c>
    </row>
    <row r="468" spans="1:3" x14ac:dyDescent="0.25">
      <c r="A468" s="115" t="s">
        <v>8939</v>
      </c>
      <c r="B468" s="109" t="s">
        <v>10559</v>
      </c>
      <c r="C468" s="106" t="s">
        <v>10560</v>
      </c>
    </row>
    <row r="469" spans="1:3" x14ac:dyDescent="0.25">
      <c r="A469" s="115" t="s">
        <v>8939</v>
      </c>
      <c r="B469" s="109" t="s">
        <v>10561</v>
      </c>
      <c r="C469" s="106" t="s">
        <v>10562</v>
      </c>
    </row>
    <row r="470" spans="1:3" x14ac:dyDescent="0.25">
      <c r="A470" s="115" t="s">
        <v>8939</v>
      </c>
      <c r="B470" s="109" t="s">
        <v>10563</v>
      </c>
      <c r="C470" s="106" t="s">
        <v>10564</v>
      </c>
    </row>
    <row r="471" spans="1:3" x14ac:dyDescent="0.25">
      <c r="A471" s="115" t="s">
        <v>8939</v>
      </c>
      <c r="B471" s="109" t="s">
        <v>10565</v>
      </c>
      <c r="C471" s="106" t="s">
        <v>10566</v>
      </c>
    </row>
    <row r="472" spans="1:3" x14ac:dyDescent="0.25">
      <c r="A472" s="115" t="s">
        <v>8939</v>
      </c>
      <c r="B472" s="109" t="s">
        <v>10593</v>
      </c>
      <c r="C472" s="106" t="s">
        <v>10594</v>
      </c>
    </row>
    <row r="473" spans="1:3" x14ac:dyDescent="0.25">
      <c r="A473" s="115" t="s">
        <v>8939</v>
      </c>
      <c r="B473" s="109" t="s">
        <v>10595</v>
      </c>
      <c r="C473" s="106" t="s">
        <v>10596</v>
      </c>
    </row>
    <row r="474" spans="1:3" x14ac:dyDescent="0.25">
      <c r="A474" s="115" t="s">
        <v>8939</v>
      </c>
      <c r="B474" s="109" t="s">
        <v>10605</v>
      </c>
      <c r="C474" s="106" t="s">
        <v>10606</v>
      </c>
    </row>
    <row r="475" spans="1:3" x14ac:dyDescent="0.25">
      <c r="A475" s="115" t="s">
        <v>8939</v>
      </c>
      <c r="B475" s="109" t="s">
        <v>10607</v>
      </c>
      <c r="C475" s="106" t="s">
        <v>10608</v>
      </c>
    </row>
    <row r="476" spans="1:3" x14ac:dyDescent="0.25">
      <c r="A476" s="115" t="s">
        <v>8939</v>
      </c>
      <c r="B476" s="109" t="s">
        <v>10609</v>
      </c>
      <c r="C476" s="106" t="s">
        <v>10610</v>
      </c>
    </row>
    <row r="477" spans="1:3" x14ac:dyDescent="0.25">
      <c r="A477" s="115" t="s">
        <v>8939</v>
      </c>
      <c r="B477" s="109" t="s">
        <v>10611</v>
      </c>
      <c r="C477" s="106" t="s">
        <v>10612</v>
      </c>
    </row>
    <row r="478" spans="1:3" x14ac:dyDescent="0.25">
      <c r="A478" s="115" t="s">
        <v>8939</v>
      </c>
      <c r="B478" s="109" t="s">
        <v>10613</v>
      </c>
      <c r="C478" s="106" t="s">
        <v>10614</v>
      </c>
    </row>
    <row r="479" spans="1:3" x14ac:dyDescent="0.25">
      <c r="A479" s="115" t="s">
        <v>8939</v>
      </c>
      <c r="B479" s="109" t="s">
        <v>10615</v>
      </c>
      <c r="C479" s="106" t="s">
        <v>10616</v>
      </c>
    </row>
    <row r="480" spans="1:3" x14ac:dyDescent="0.25">
      <c r="A480" s="115" t="s">
        <v>8939</v>
      </c>
      <c r="B480" s="109" t="s">
        <v>10619</v>
      </c>
      <c r="C480" s="106" t="s">
        <v>10620</v>
      </c>
    </row>
    <row r="481" spans="1:3" x14ac:dyDescent="0.25">
      <c r="A481" s="115" t="s">
        <v>8939</v>
      </c>
      <c r="B481" s="109" t="s">
        <v>10621</v>
      </c>
      <c r="C481" s="106" t="s">
        <v>10622</v>
      </c>
    </row>
    <row r="482" spans="1:3" x14ac:dyDescent="0.25">
      <c r="A482" s="115" t="s">
        <v>8939</v>
      </c>
      <c r="B482" s="109" t="s">
        <v>10623</v>
      </c>
      <c r="C482" s="106" t="s">
        <v>10624</v>
      </c>
    </row>
    <row r="483" spans="1:3" x14ac:dyDescent="0.25">
      <c r="A483" s="115" t="s">
        <v>8939</v>
      </c>
      <c r="B483" s="109" t="s">
        <v>10625</v>
      </c>
      <c r="C483" s="106" t="s">
        <v>10626</v>
      </c>
    </row>
    <row r="484" spans="1:3" x14ac:dyDescent="0.25">
      <c r="A484" s="115" t="s">
        <v>8939</v>
      </c>
      <c r="B484" s="109" t="s">
        <v>10627</v>
      </c>
      <c r="C484" s="106" t="s">
        <v>10628</v>
      </c>
    </row>
    <row r="485" spans="1:3" x14ac:dyDescent="0.25">
      <c r="A485" s="115" t="s">
        <v>8939</v>
      </c>
      <c r="B485" s="109" t="s">
        <v>10629</v>
      </c>
      <c r="C485" s="106" t="s">
        <v>10630</v>
      </c>
    </row>
    <row r="486" spans="1:3" x14ac:dyDescent="0.25">
      <c r="A486" s="115" t="s">
        <v>8939</v>
      </c>
      <c r="B486" s="109" t="s">
        <v>10631</v>
      </c>
      <c r="C486" s="106" t="s">
        <v>10632</v>
      </c>
    </row>
    <row r="487" spans="1:3" x14ac:dyDescent="0.25">
      <c r="A487" s="115" t="s">
        <v>8939</v>
      </c>
      <c r="B487" s="109" t="s">
        <v>10633</v>
      </c>
      <c r="C487" s="106" t="s">
        <v>10634</v>
      </c>
    </row>
    <row r="488" spans="1:3" x14ac:dyDescent="0.25">
      <c r="A488" s="115" t="s">
        <v>8939</v>
      </c>
      <c r="B488" s="109" t="s">
        <v>10635</v>
      </c>
      <c r="C488" s="106" t="s">
        <v>10636</v>
      </c>
    </row>
    <row r="489" spans="1:3" x14ac:dyDescent="0.25">
      <c r="A489" s="115" t="s">
        <v>8939</v>
      </c>
      <c r="B489" s="109" t="s">
        <v>10637</v>
      </c>
      <c r="C489" s="106" t="s">
        <v>10638</v>
      </c>
    </row>
    <row r="490" spans="1:3" x14ac:dyDescent="0.25">
      <c r="A490" s="115" t="s">
        <v>8939</v>
      </c>
      <c r="B490" s="109" t="s">
        <v>10639</v>
      </c>
      <c r="C490" s="106" t="s">
        <v>10640</v>
      </c>
    </row>
    <row r="491" spans="1:3" x14ac:dyDescent="0.25">
      <c r="A491" s="115" t="s">
        <v>8939</v>
      </c>
      <c r="B491" s="109" t="s">
        <v>10641</v>
      </c>
      <c r="C491" s="106" t="s">
        <v>10642</v>
      </c>
    </row>
    <row r="492" spans="1:3" x14ac:dyDescent="0.25">
      <c r="A492" s="115" t="s">
        <v>8939</v>
      </c>
      <c r="B492" s="109" t="s">
        <v>10643</v>
      </c>
      <c r="C492" s="106" t="s">
        <v>10644</v>
      </c>
    </row>
    <row r="493" spans="1:3" x14ac:dyDescent="0.25">
      <c r="A493" s="115" t="s">
        <v>8939</v>
      </c>
      <c r="B493" s="109" t="s">
        <v>10645</v>
      </c>
      <c r="C493" s="106" t="s">
        <v>10646</v>
      </c>
    </row>
    <row r="494" spans="1:3" x14ac:dyDescent="0.25">
      <c r="A494" s="115" t="s">
        <v>8939</v>
      </c>
      <c r="B494" s="109" t="s">
        <v>10647</v>
      </c>
      <c r="C494" s="106" t="s">
        <v>10648</v>
      </c>
    </row>
    <row r="495" spans="1:3" x14ac:dyDescent="0.25">
      <c r="A495" s="115" t="s">
        <v>8939</v>
      </c>
      <c r="B495" s="109" t="s">
        <v>10649</v>
      </c>
      <c r="C495" s="106" t="s">
        <v>10650</v>
      </c>
    </row>
    <row r="496" spans="1:3" x14ac:dyDescent="0.25">
      <c r="A496" s="115" t="s">
        <v>8939</v>
      </c>
      <c r="B496" s="109" t="s">
        <v>10651</v>
      </c>
      <c r="C496" s="106" t="s">
        <v>10652</v>
      </c>
    </row>
    <row r="497" spans="1:3" x14ac:dyDescent="0.25">
      <c r="A497" s="115" t="s">
        <v>8939</v>
      </c>
      <c r="B497" s="109" t="s">
        <v>10653</v>
      </c>
      <c r="C497" s="106" t="s">
        <v>10654</v>
      </c>
    </row>
    <row r="498" spans="1:3" x14ac:dyDescent="0.25">
      <c r="A498" s="115" t="s">
        <v>8939</v>
      </c>
      <c r="B498" s="109" t="s">
        <v>10655</v>
      </c>
      <c r="C498" s="106" t="s">
        <v>10656</v>
      </c>
    </row>
    <row r="499" spans="1:3" x14ac:dyDescent="0.25">
      <c r="A499" s="115" t="s">
        <v>8939</v>
      </c>
      <c r="B499" s="109" t="s">
        <v>10657</v>
      </c>
      <c r="C499" s="106" t="s">
        <v>10658</v>
      </c>
    </row>
    <row r="500" spans="1:3" x14ac:dyDescent="0.25">
      <c r="A500" s="115" t="s">
        <v>8939</v>
      </c>
      <c r="B500" s="109" t="s">
        <v>10659</v>
      </c>
      <c r="C500" s="106" t="s">
        <v>10660</v>
      </c>
    </row>
    <row r="501" spans="1:3" x14ac:dyDescent="0.25">
      <c r="A501" s="115" t="s">
        <v>8939</v>
      </c>
      <c r="B501" s="109" t="s">
        <v>10661</v>
      </c>
      <c r="C501" s="106" t="s">
        <v>10662</v>
      </c>
    </row>
    <row r="502" spans="1:3" x14ac:dyDescent="0.25">
      <c r="A502" s="115" t="s">
        <v>8939</v>
      </c>
      <c r="B502" s="109" t="s">
        <v>10663</v>
      </c>
      <c r="C502" s="106" t="s">
        <v>10664</v>
      </c>
    </row>
    <row r="503" spans="1:3" x14ac:dyDescent="0.25">
      <c r="A503" s="115" t="s">
        <v>8939</v>
      </c>
      <c r="B503" s="109" t="s">
        <v>10665</v>
      </c>
      <c r="C503" s="106" t="s">
        <v>10666</v>
      </c>
    </row>
    <row r="504" spans="1:3" x14ac:dyDescent="0.25">
      <c r="A504" s="115" t="s">
        <v>8939</v>
      </c>
      <c r="B504" s="109" t="s">
        <v>10667</v>
      </c>
      <c r="C504" s="106" t="s">
        <v>10668</v>
      </c>
    </row>
    <row r="505" spans="1:3" x14ac:dyDescent="0.25">
      <c r="A505" s="115" t="s">
        <v>8939</v>
      </c>
      <c r="B505" s="109" t="s">
        <v>10669</v>
      </c>
      <c r="C505" s="106" t="s">
        <v>10670</v>
      </c>
    </row>
    <row r="506" spans="1:3" x14ac:dyDescent="0.25">
      <c r="A506" s="115" t="s">
        <v>8939</v>
      </c>
      <c r="B506" s="109" t="s">
        <v>10671</v>
      </c>
      <c r="C506" s="106" t="s">
        <v>10672</v>
      </c>
    </row>
    <row r="507" spans="1:3" x14ac:dyDescent="0.25">
      <c r="A507" s="115" t="s">
        <v>8939</v>
      </c>
      <c r="B507" s="109" t="s">
        <v>10673</v>
      </c>
      <c r="C507" s="106" t="s">
        <v>10674</v>
      </c>
    </row>
    <row r="508" spans="1:3" x14ac:dyDescent="0.25">
      <c r="A508" s="115" t="s">
        <v>8939</v>
      </c>
      <c r="B508" s="109" t="s">
        <v>10675</v>
      </c>
      <c r="C508" s="106" t="s">
        <v>10676</v>
      </c>
    </row>
    <row r="509" spans="1:3" x14ac:dyDescent="0.25">
      <c r="A509" s="115" t="s">
        <v>8939</v>
      </c>
      <c r="B509" s="109" t="s">
        <v>10677</v>
      </c>
      <c r="C509" s="106" t="s">
        <v>10678</v>
      </c>
    </row>
    <row r="510" spans="1:3" x14ac:dyDescent="0.25">
      <c r="A510" s="115" t="s">
        <v>8939</v>
      </c>
      <c r="B510" s="109" t="s">
        <v>10679</v>
      </c>
      <c r="C510" s="106" t="s">
        <v>10680</v>
      </c>
    </row>
    <row r="511" spans="1:3" x14ac:dyDescent="0.25">
      <c r="A511" s="115" t="s">
        <v>8939</v>
      </c>
      <c r="B511" s="109" t="s">
        <v>10681</v>
      </c>
      <c r="C511" s="106" t="s">
        <v>10682</v>
      </c>
    </row>
    <row r="512" spans="1:3" x14ac:dyDescent="0.25">
      <c r="A512" s="115" t="s">
        <v>8939</v>
      </c>
      <c r="B512" s="109" t="s">
        <v>10683</v>
      </c>
      <c r="C512" s="106" t="s">
        <v>10684</v>
      </c>
    </row>
    <row r="513" spans="1:3" x14ac:dyDescent="0.25">
      <c r="A513" s="115" t="s">
        <v>8939</v>
      </c>
      <c r="B513" s="109" t="s">
        <v>10685</v>
      </c>
      <c r="C513" s="106" t="s">
        <v>10686</v>
      </c>
    </row>
    <row r="514" spans="1:3" x14ac:dyDescent="0.25">
      <c r="A514" s="115" t="s">
        <v>8939</v>
      </c>
      <c r="B514" s="109" t="s">
        <v>10687</v>
      </c>
      <c r="C514" s="106" t="s">
        <v>10688</v>
      </c>
    </row>
    <row r="515" spans="1:3" x14ac:dyDescent="0.25">
      <c r="A515" s="115" t="s">
        <v>8939</v>
      </c>
      <c r="B515" s="109" t="s">
        <v>10689</v>
      </c>
      <c r="C515" s="106" t="s">
        <v>10690</v>
      </c>
    </row>
    <row r="516" spans="1:3" x14ac:dyDescent="0.25">
      <c r="A516" s="115" t="s">
        <v>8939</v>
      </c>
      <c r="B516" s="109" t="s">
        <v>10691</v>
      </c>
      <c r="C516" s="106" t="s">
        <v>10692</v>
      </c>
    </row>
    <row r="517" spans="1:3" x14ac:dyDescent="0.25">
      <c r="A517" s="115" t="s">
        <v>8939</v>
      </c>
      <c r="B517" s="109" t="s">
        <v>10693</v>
      </c>
      <c r="C517" s="106" t="s">
        <v>10694</v>
      </c>
    </row>
    <row r="518" spans="1:3" x14ac:dyDescent="0.25">
      <c r="A518" s="115" t="s">
        <v>8939</v>
      </c>
      <c r="B518" s="109" t="s">
        <v>10695</v>
      </c>
      <c r="C518" s="106" t="s">
        <v>10696</v>
      </c>
    </row>
    <row r="519" spans="1:3" x14ac:dyDescent="0.25">
      <c r="A519" s="115" t="s">
        <v>8939</v>
      </c>
      <c r="B519" s="109" t="s">
        <v>10697</v>
      </c>
      <c r="C519" s="106" t="s">
        <v>10698</v>
      </c>
    </row>
    <row r="520" spans="1:3" x14ac:dyDescent="0.25">
      <c r="A520" s="300" t="s">
        <v>8939</v>
      </c>
      <c r="B520" s="163" t="s">
        <v>10699</v>
      </c>
      <c r="C520" s="301" t="s">
        <v>10700</v>
      </c>
    </row>
    <row r="521" spans="1:3" x14ac:dyDescent="0.25">
      <c r="A521" s="115" t="s">
        <v>8939</v>
      </c>
      <c r="B521" s="109" t="s">
        <v>10701</v>
      </c>
      <c r="C521" s="106" t="s">
        <v>10702</v>
      </c>
    </row>
    <row r="522" spans="1:3" x14ac:dyDescent="0.25">
      <c r="A522" s="115" t="s">
        <v>8939</v>
      </c>
      <c r="B522" s="109" t="s">
        <v>10705</v>
      </c>
      <c r="C522" s="106" t="s">
        <v>10706</v>
      </c>
    </row>
    <row r="523" spans="1:3" x14ac:dyDescent="0.25">
      <c r="A523" s="115" t="s">
        <v>8939</v>
      </c>
      <c r="B523" s="109" t="s">
        <v>10707</v>
      </c>
      <c r="C523" s="106" t="s">
        <v>10708</v>
      </c>
    </row>
    <row r="524" spans="1:3" x14ac:dyDescent="0.25">
      <c r="A524" s="115" t="s">
        <v>8939</v>
      </c>
      <c r="B524" s="109" t="s">
        <v>10709</v>
      </c>
      <c r="C524" s="106" t="s">
        <v>10710</v>
      </c>
    </row>
    <row r="525" spans="1:3" x14ac:dyDescent="0.25">
      <c r="A525" s="115" t="s">
        <v>8939</v>
      </c>
      <c r="B525" s="109" t="s">
        <v>10711</v>
      </c>
      <c r="C525" s="106" t="s">
        <v>10712</v>
      </c>
    </row>
    <row r="526" spans="1:3" x14ac:dyDescent="0.25">
      <c r="A526" s="115" t="s">
        <v>8939</v>
      </c>
      <c r="B526" s="109" t="s">
        <v>10713</v>
      </c>
      <c r="C526" s="106" t="s">
        <v>10714</v>
      </c>
    </row>
    <row r="527" spans="1:3" x14ac:dyDescent="0.25">
      <c r="A527" s="115" t="s">
        <v>8939</v>
      </c>
      <c r="B527" s="109" t="s">
        <v>10715</v>
      </c>
      <c r="C527" s="106" t="s">
        <v>10716</v>
      </c>
    </row>
    <row r="528" spans="1:3" x14ac:dyDescent="0.25">
      <c r="A528" s="115" t="s">
        <v>8939</v>
      </c>
      <c r="B528" s="109" t="s">
        <v>10717</v>
      </c>
      <c r="C528" s="106" t="s">
        <v>10718</v>
      </c>
    </row>
    <row r="529" spans="1:3" x14ac:dyDescent="0.25">
      <c r="A529" s="115" t="s">
        <v>8939</v>
      </c>
      <c r="B529" s="109" t="s">
        <v>10719</v>
      </c>
      <c r="C529" s="106" t="s">
        <v>10720</v>
      </c>
    </row>
    <row r="530" spans="1:3" x14ac:dyDescent="0.25">
      <c r="A530" s="115" t="s">
        <v>8939</v>
      </c>
      <c r="B530" s="109" t="s">
        <v>10721</v>
      </c>
      <c r="C530" s="106" t="s">
        <v>10722</v>
      </c>
    </row>
    <row r="531" spans="1:3" x14ac:dyDescent="0.25">
      <c r="A531" s="115" t="s">
        <v>8939</v>
      </c>
      <c r="B531" s="109" t="s">
        <v>10723</v>
      </c>
      <c r="C531" s="106" t="s">
        <v>10724</v>
      </c>
    </row>
    <row r="532" spans="1:3" x14ac:dyDescent="0.25">
      <c r="A532" s="115" t="s">
        <v>8939</v>
      </c>
      <c r="B532" s="109" t="s">
        <v>10725</v>
      </c>
      <c r="C532" s="106" t="s">
        <v>10726</v>
      </c>
    </row>
    <row r="533" spans="1:3" x14ac:dyDescent="0.25">
      <c r="A533" s="115" t="s">
        <v>8939</v>
      </c>
      <c r="B533" s="109" t="s">
        <v>10727</v>
      </c>
      <c r="C533" s="106" t="s">
        <v>10728</v>
      </c>
    </row>
    <row r="534" spans="1:3" x14ac:dyDescent="0.25">
      <c r="A534" s="115" t="s">
        <v>8939</v>
      </c>
      <c r="B534" s="109" t="s">
        <v>10729</v>
      </c>
      <c r="C534" s="106" t="s">
        <v>10730</v>
      </c>
    </row>
    <row r="535" spans="1:3" x14ac:dyDescent="0.25">
      <c r="A535" s="115" t="s">
        <v>8939</v>
      </c>
      <c r="B535" s="109" t="s">
        <v>10731</v>
      </c>
      <c r="C535" s="106" t="s">
        <v>10732</v>
      </c>
    </row>
    <row r="536" spans="1:3" x14ac:dyDescent="0.25">
      <c r="A536" s="115" t="s">
        <v>8939</v>
      </c>
      <c r="B536" s="109" t="s">
        <v>10733</v>
      </c>
      <c r="C536" s="106" t="s">
        <v>10734</v>
      </c>
    </row>
    <row r="537" spans="1:3" x14ac:dyDescent="0.25">
      <c r="A537" s="115" t="s">
        <v>8939</v>
      </c>
      <c r="B537" s="109" t="s">
        <v>10735</v>
      </c>
      <c r="C537" s="106" t="s">
        <v>10736</v>
      </c>
    </row>
    <row r="538" spans="1:3" x14ac:dyDescent="0.25">
      <c r="A538" s="115" t="s">
        <v>8939</v>
      </c>
      <c r="B538" s="109" t="s">
        <v>10737</v>
      </c>
      <c r="C538" s="106" t="s">
        <v>10738</v>
      </c>
    </row>
    <row r="539" spans="1:3" x14ac:dyDescent="0.25">
      <c r="A539" s="115" t="s">
        <v>8939</v>
      </c>
      <c r="B539" s="109" t="s">
        <v>10739</v>
      </c>
      <c r="C539" s="106" t="s">
        <v>10740</v>
      </c>
    </row>
    <row r="540" spans="1:3" x14ac:dyDescent="0.25">
      <c r="A540" s="115" t="s">
        <v>8939</v>
      </c>
      <c r="B540" s="109" t="s">
        <v>10741</v>
      </c>
      <c r="C540" s="106" t="s">
        <v>10742</v>
      </c>
    </row>
    <row r="541" spans="1:3" x14ac:dyDescent="0.25">
      <c r="A541" s="115" t="s">
        <v>8939</v>
      </c>
      <c r="B541" s="109" t="s">
        <v>10743</v>
      </c>
      <c r="C541" s="106" t="s">
        <v>10744</v>
      </c>
    </row>
    <row r="542" spans="1:3" x14ac:dyDescent="0.25">
      <c r="A542" s="115" t="s">
        <v>8939</v>
      </c>
      <c r="B542" s="109" t="s">
        <v>10745</v>
      </c>
      <c r="C542" s="106" t="s">
        <v>10746</v>
      </c>
    </row>
    <row r="543" spans="1:3" x14ac:dyDescent="0.25">
      <c r="A543" s="115" t="s">
        <v>8939</v>
      </c>
      <c r="B543" s="109" t="s">
        <v>10747</v>
      </c>
      <c r="C543" s="106" t="s">
        <v>10748</v>
      </c>
    </row>
    <row r="544" spans="1:3" x14ac:dyDescent="0.25">
      <c r="A544" s="115" t="s">
        <v>8939</v>
      </c>
      <c r="B544" s="109" t="s">
        <v>10749</v>
      </c>
      <c r="C544" s="106" t="s">
        <v>10750</v>
      </c>
    </row>
    <row r="545" spans="1:3" x14ac:dyDescent="0.25">
      <c r="A545" s="115" t="s">
        <v>8939</v>
      </c>
      <c r="B545" s="109" t="s">
        <v>10751</v>
      </c>
      <c r="C545" s="106" t="s">
        <v>10752</v>
      </c>
    </row>
    <row r="546" spans="1:3" x14ac:dyDescent="0.25">
      <c r="A546" s="115" t="s">
        <v>8939</v>
      </c>
      <c r="B546" s="109" t="s">
        <v>10753</v>
      </c>
      <c r="C546" s="106" t="s">
        <v>10754</v>
      </c>
    </row>
    <row r="547" spans="1:3" x14ac:dyDescent="0.25">
      <c r="A547" s="115" t="s">
        <v>8939</v>
      </c>
      <c r="B547" s="109" t="s">
        <v>10757</v>
      </c>
      <c r="C547" s="106" t="s">
        <v>10758</v>
      </c>
    </row>
    <row r="548" spans="1:3" x14ac:dyDescent="0.25">
      <c r="A548" s="115" t="s">
        <v>8939</v>
      </c>
      <c r="B548" s="109" t="s">
        <v>10759</v>
      </c>
      <c r="C548" s="106" t="s">
        <v>10760</v>
      </c>
    </row>
    <row r="549" spans="1:3" x14ac:dyDescent="0.25">
      <c r="A549" s="115" t="s">
        <v>8939</v>
      </c>
      <c r="B549" s="109" t="s">
        <v>10761</v>
      </c>
      <c r="C549" s="106" t="s">
        <v>10762</v>
      </c>
    </row>
    <row r="550" spans="1:3" x14ac:dyDescent="0.25">
      <c r="A550" s="115" t="s">
        <v>8939</v>
      </c>
      <c r="B550" s="109" t="s">
        <v>10763</v>
      </c>
      <c r="C550" s="106" t="s">
        <v>10764</v>
      </c>
    </row>
    <row r="551" spans="1:3" x14ac:dyDescent="0.25">
      <c r="A551" s="115" t="s">
        <v>8939</v>
      </c>
      <c r="B551" s="109" t="s">
        <v>10765</v>
      </c>
      <c r="C551" s="106" t="s">
        <v>10766</v>
      </c>
    </row>
    <row r="552" spans="1:3" x14ac:dyDescent="0.25">
      <c r="A552" s="115" t="s">
        <v>8939</v>
      </c>
      <c r="B552" s="109" t="s">
        <v>10767</v>
      </c>
      <c r="C552" s="106" t="s">
        <v>10768</v>
      </c>
    </row>
    <row r="553" spans="1:3" x14ac:dyDescent="0.25">
      <c r="A553" s="115" t="s">
        <v>8939</v>
      </c>
      <c r="B553" s="109" t="s">
        <v>10773</v>
      </c>
      <c r="C553" s="106" t="s">
        <v>10774</v>
      </c>
    </row>
    <row r="554" spans="1:3" x14ac:dyDescent="0.25">
      <c r="A554" s="115" t="s">
        <v>8939</v>
      </c>
      <c r="B554" s="109" t="s">
        <v>10775</v>
      </c>
      <c r="C554" s="106" t="s">
        <v>10776</v>
      </c>
    </row>
    <row r="555" spans="1:3" x14ac:dyDescent="0.25">
      <c r="A555" s="115" t="s">
        <v>8939</v>
      </c>
      <c r="B555" s="109" t="s">
        <v>10777</v>
      </c>
      <c r="C555" s="106" t="s">
        <v>10778</v>
      </c>
    </row>
    <row r="556" spans="1:3" x14ac:dyDescent="0.25">
      <c r="A556" s="115" t="s">
        <v>8939</v>
      </c>
      <c r="B556" s="109" t="s">
        <v>10779</v>
      </c>
      <c r="C556" s="106" t="s">
        <v>10780</v>
      </c>
    </row>
    <row r="557" spans="1:3" x14ac:dyDescent="0.25">
      <c r="A557" s="115" t="s">
        <v>8939</v>
      </c>
      <c r="B557" s="109" t="s">
        <v>10781</v>
      </c>
      <c r="C557" s="106" t="s">
        <v>10782</v>
      </c>
    </row>
    <row r="558" spans="1:3" x14ac:dyDescent="0.25">
      <c r="A558" s="115" t="s">
        <v>8939</v>
      </c>
      <c r="B558" s="109" t="s">
        <v>10787</v>
      </c>
      <c r="C558" s="106" t="s">
        <v>10788</v>
      </c>
    </row>
    <row r="559" spans="1:3" x14ac:dyDescent="0.25">
      <c r="A559" s="115" t="s">
        <v>8939</v>
      </c>
      <c r="B559" s="109" t="s">
        <v>10789</v>
      </c>
      <c r="C559" s="106" t="s">
        <v>10790</v>
      </c>
    </row>
    <row r="560" spans="1:3" x14ac:dyDescent="0.25">
      <c r="A560" s="115" t="s">
        <v>8939</v>
      </c>
      <c r="B560" s="109" t="s">
        <v>10791</v>
      </c>
      <c r="C560" s="106" t="s">
        <v>10792</v>
      </c>
    </row>
    <row r="561" spans="1:3" x14ac:dyDescent="0.25">
      <c r="A561" s="115" t="s">
        <v>8939</v>
      </c>
      <c r="B561" s="109" t="s">
        <v>10793</v>
      </c>
      <c r="C561" s="106" t="s">
        <v>10794</v>
      </c>
    </row>
    <row r="562" spans="1:3" x14ac:dyDescent="0.25">
      <c r="A562" s="115" t="s">
        <v>8939</v>
      </c>
      <c r="B562" s="109" t="s">
        <v>10795</v>
      </c>
      <c r="C562" s="106" t="s">
        <v>10796</v>
      </c>
    </row>
    <row r="563" spans="1:3" x14ac:dyDescent="0.25">
      <c r="A563" s="115" t="s">
        <v>8939</v>
      </c>
      <c r="B563" s="109" t="s">
        <v>10797</v>
      </c>
      <c r="C563" s="106" t="s">
        <v>10798</v>
      </c>
    </row>
    <row r="564" spans="1:3" x14ac:dyDescent="0.25">
      <c r="A564" s="115" t="s">
        <v>8939</v>
      </c>
      <c r="B564" s="109" t="s">
        <v>10799</v>
      </c>
      <c r="C564" s="106" t="s">
        <v>10800</v>
      </c>
    </row>
    <row r="565" spans="1:3" x14ac:dyDescent="0.25">
      <c r="A565" s="115" t="s">
        <v>8939</v>
      </c>
      <c r="B565" s="109" t="s">
        <v>10801</v>
      </c>
      <c r="C565" s="299" t="s">
        <v>10802</v>
      </c>
    </row>
    <row r="566" spans="1:3" x14ac:dyDescent="0.25">
      <c r="A566" s="164" t="s">
        <v>8939</v>
      </c>
      <c r="B566" s="167" t="s">
        <v>13419</v>
      </c>
      <c r="C566" s="318" t="s">
        <v>13420</v>
      </c>
    </row>
    <row r="567" spans="1:3" x14ac:dyDescent="0.25">
      <c r="A567" s="164" t="s">
        <v>8939</v>
      </c>
      <c r="B567" s="167" t="s">
        <v>13421</v>
      </c>
      <c r="C567" s="318" t="s">
        <v>13424</v>
      </c>
    </row>
    <row r="568" spans="1:3" x14ac:dyDescent="0.25">
      <c r="A568" s="164" t="s">
        <v>8939</v>
      </c>
      <c r="B568" s="167" t="s">
        <v>13423</v>
      </c>
      <c r="C568" s="318" t="s">
        <v>13425</v>
      </c>
    </row>
    <row r="569" spans="1:3" x14ac:dyDescent="0.25">
      <c r="A569" s="115" t="s">
        <v>8939</v>
      </c>
      <c r="B569" s="109" t="s">
        <v>10808</v>
      </c>
      <c r="C569" s="106" t="s">
        <v>10809</v>
      </c>
    </row>
    <row r="570" spans="1:3" x14ac:dyDescent="0.25">
      <c r="A570" s="115" t="s">
        <v>8939</v>
      </c>
      <c r="B570" s="109" t="s">
        <v>10810</v>
      </c>
      <c r="C570" s="106" t="s">
        <v>10811</v>
      </c>
    </row>
    <row r="571" spans="1:3" x14ac:dyDescent="0.25">
      <c r="A571" s="115" t="s">
        <v>8939</v>
      </c>
      <c r="B571" s="109" t="s">
        <v>10812</v>
      </c>
      <c r="C571" s="106" t="s">
        <v>10813</v>
      </c>
    </row>
    <row r="572" spans="1:3" x14ac:dyDescent="0.25">
      <c r="A572" s="115" t="s">
        <v>8939</v>
      </c>
      <c r="B572" s="109" t="s">
        <v>10816</v>
      </c>
      <c r="C572" s="106" t="s">
        <v>10817</v>
      </c>
    </row>
    <row r="573" spans="1:3" x14ac:dyDescent="0.25">
      <c r="A573" s="115" t="s">
        <v>8939</v>
      </c>
      <c r="B573" s="109" t="s">
        <v>10818</v>
      </c>
      <c r="C573" s="106" t="s">
        <v>10819</v>
      </c>
    </row>
    <row r="574" spans="1:3" x14ac:dyDescent="0.25">
      <c r="A574" s="115" t="s">
        <v>8939</v>
      </c>
      <c r="B574" s="109" t="s">
        <v>10820</v>
      </c>
      <c r="C574" s="106" t="s">
        <v>10821</v>
      </c>
    </row>
    <row r="575" spans="1:3" x14ac:dyDescent="0.25">
      <c r="A575" s="115" t="s">
        <v>8939</v>
      </c>
      <c r="B575" s="109" t="s">
        <v>10827</v>
      </c>
      <c r="C575" s="106" t="s">
        <v>10828</v>
      </c>
    </row>
    <row r="576" spans="1:3" x14ac:dyDescent="0.25">
      <c r="A576" s="115" t="s">
        <v>8939</v>
      </c>
      <c r="B576" s="109" t="s">
        <v>10829</v>
      </c>
      <c r="C576" s="106" t="s">
        <v>10830</v>
      </c>
    </row>
    <row r="577" spans="1:3" x14ac:dyDescent="0.25">
      <c r="A577" s="115" t="s">
        <v>8939</v>
      </c>
      <c r="B577" s="109" t="s">
        <v>10831</v>
      </c>
      <c r="C577" s="106" t="s">
        <v>10832</v>
      </c>
    </row>
    <row r="578" spans="1:3" x14ac:dyDescent="0.25">
      <c r="A578" s="115" t="s">
        <v>8939</v>
      </c>
      <c r="B578" s="109" t="s">
        <v>10833</v>
      </c>
      <c r="C578" s="106" t="s">
        <v>10834</v>
      </c>
    </row>
    <row r="579" spans="1:3" x14ac:dyDescent="0.25">
      <c r="A579" s="115" t="s">
        <v>8939</v>
      </c>
      <c r="B579" s="109" t="s">
        <v>10835</v>
      </c>
      <c r="C579" s="106" t="s">
        <v>10836</v>
      </c>
    </row>
    <row r="580" spans="1:3" x14ac:dyDescent="0.25">
      <c r="A580" s="115" t="s">
        <v>8939</v>
      </c>
      <c r="B580" s="109" t="s">
        <v>10837</v>
      </c>
      <c r="C580" s="106" t="s">
        <v>10838</v>
      </c>
    </row>
    <row r="581" spans="1:3" x14ac:dyDescent="0.25">
      <c r="A581" s="115" t="s">
        <v>8939</v>
      </c>
      <c r="B581" s="109" t="s">
        <v>13390</v>
      </c>
      <c r="C581" s="299" t="s">
        <v>10805</v>
      </c>
    </row>
    <row r="582" spans="1:3" x14ac:dyDescent="0.25">
      <c r="A582" s="115" t="s">
        <v>8939</v>
      </c>
      <c r="B582" s="109" t="s">
        <v>13391</v>
      </c>
      <c r="C582" s="299" t="s">
        <v>10806</v>
      </c>
    </row>
    <row r="583" spans="1:3" x14ac:dyDescent="0.25">
      <c r="A583" s="115" t="s">
        <v>8939</v>
      </c>
      <c r="B583" s="109" t="s">
        <v>13392</v>
      </c>
      <c r="C583" s="299" t="s">
        <v>10807</v>
      </c>
    </row>
    <row r="584" spans="1:3" x14ac:dyDescent="0.25">
      <c r="A584" s="115" t="s">
        <v>8939</v>
      </c>
      <c r="B584" s="109" t="s">
        <v>10839</v>
      </c>
      <c r="C584" s="106" t="s">
        <v>10840</v>
      </c>
    </row>
    <row r="585" spans="1:3" x14ac:dyDescent="0.25">
      <c r="A585" s="115" t="s">
        <v>8939</v>
      </c>
      <c r="B585" s="109" t="s">
        <v>10841</v>
      </c>
      <c r="C585" s="106" t="s">
        <v>10842</v>
      </c>
    </row>
    <row r="586" spans="1:3" x14ac:dyDescent="0.25">
      <c r="A586" s="115" t="s">
        <v>8939</v>
      </c>
      <c r="B586" s="109" t="s">
        <v>10843</v>
      </c>
      <c r="C586" s="106" t="s">
        <v>10844</v>
      </c>
    </row>
    <row r="587" spans="1:3" x14ac:dyDescent="0.25">
      <c r="A587" s="115" t="s">
        <v>8939</v>
      </c>
      <c r="B587" s="109" t="s">
        <v>10845</v>
      </c>
      <c r="C587" s="106" t="s">
        <v>10846</v>
      </c>
    </row>
    <row r="588" spans="1:3" x14ac:dyDescent="0.25">
      <c r="A588" s="115" t="s">
        <v>8939</v>
      </c>
      <c r="B588" s="109" t="s">
        <v>10847</v>
      </c>
      <c r="C588" s="106" t="s">
        <v>10848</v>
      </c>
    </row>
    <row r="589" spans="1:3" x14ac:dyDescent="0.25">
      <c r="A589" s="115" t="s">
        <v>8939</v>
      </c>
      <c r="B589" s="109" t="s">
        <v>10849</v>
      </c>
      <c r="C589" s="106" t="s">
        <v>10850</v>
      </c>
    </row>
    <row r="590" spans="1:3" x14ac:dyDescent="0.25">
      <c r="A590" s="115" t="s">
        <v>8939</v>
      </c>
      <c r="B590" s="109" t="s">
        <v>10851</v>
      </c>
      <c r="C590" s="106" t="s">
        <v>10852</v>
      </c>
    </row>
    <row r="591" spans="1:3" x14ac:dyDescent="0.25">
      <c r="A591" s="115" t="s">
        <v>8939</v>
      </c>
      <c r="B591" s="109" t="s">
        <v>10853</v>
      </c>
      <c r="C591" s="299" t="s">
        <v>10854</v>
      </c>
    </row>
    <row r="592" spans="1:3" x14ac:dyDescent="0.25">
      <c r="A592" s="164" t="s">
        <v>8939</v>
      </c>
      <c r="B592" s="167" t="s">
        <v>13427</v>
      </c>
      <c r="C592" s="318" t="s">
        <v>13428</v>
      </c>
    </row>
    <row r="593" spans="1:3" x14ac:dyDescent="0.25">
      <c r="A593" s="115" t="s">
        <v>8939</v>
      </c>
      <c r="B593" s="109" t="s">
        <v>10855</v>
      </c>
      <c r="C593" s="106" t="s">
        <v>10856</v>
      </c>
    </row>
    <row r="594" spans="1:3" x14ac:dyDescent="0.25">
      <c r="A594" s="115" t="s">
        <v>8939</v>
      </c>
      <c r="B594" s="109" t="s">
        <v>10861</v>
      </c>
      <c r="C594" s="106" t="s">
        <v>10862</v>
      </c>
    </row>
    <row r="595" spans="1:3" x14ac:dyDescent="0.25">
      <c r="A595" s="115" t="s">
        <v>8939</v>
      </c>
      <c r="B595" s="109" t="s">
        <v>10863</v>
      </c>
      <c r="C595" s="106" t="s">
        <v>10864</v>
      </c>
    </row>
    <row r="596" spans="1:3" x14ac:dyDescent="0.25">
      <c r="A596" s="115" t="s">
        <v>8939</v>
      </c>
      <c r="B596" s="109" t="s">
        <v>10865</v>
      </c>
      <c r="C596" s="106" t="s">
        <v>10866</v>
      </c>
    </row>
    <row r="597" spans="1:3" x14ac:dyDescent="0.25">
      <c r="A597" s="115" t="s">
        <v>8939</v>
      </c>
      <c r="B597" s="109" t="s">
        <v>10867</v>
      </c>
      <c r="C597" s="106" t="s">
        <v>10868</v>
      </c>
    </row>
    <row r="598" spans="1:3" x14ac:dyDescent="0.25">
      <c r="A598" s="161" t="s">
        <v>8939</v>
      </c>
      <c r="B598" s="109" t="s">
        <v>10869</v>
      </c>
      <c r="C598" s="241" t="s">
        <v>13418</v>
      </c>
    </row>
    <row r="599" spans="1:3" x14ac:dyDescent="0.25">
      <c r="A599" s="115" t="s">
        <v>8939</v>
      </c>
      <c r="B599" s="109" t="s">
        <v>10870</v>
      </c>
      <c r="C599" s="106" t="s">
        <v>10871</v>
      </c>
    </row>
    <row r="600" spans="1:3" x14ac:dyDescent="0.25">
      <c r="A600" s="115" t="s">
        <v>8939</v>
      </c>
      <c r="B600" s="109" t="s">
        <v>10872</v>
      </c>
      <c r="C600" s="106" t="s">
        <v>10873</v>
      </c>
    </row>
    <row r="601" spans="1:3" x14ac:dyDescent="0.25">
      <c r="A601" s="115" t="s">
        <v>8939</v>
      </c>
      <c r="B601" s="109" t="s">
        <v>10874</v>
      </c>
      <c r="C601" s="106" t="s">
        <v>10875</v>
      </c>
    </row>
    <row r="602" spans="1:3" x14ac:dyDescent="0.25">
      <c r="A602" s="115" t="s">
        <v>8939</v>
      </c>
      <c r="B602" s="109" t="s">
        <v>10876</v>
      </c>
      <c r="C602" s="106" t="s">
        <v>10877</v>
      </c>
    </row>
    <row r="603" spans="1:3" x14ac:dyDescent="0.25">
      <c r="A603" s="115" t="s">
        <v>8939</v>
      </c>
      <c r="B603" s="109" t="s">
        <v>10878</v>
      </c>
      <c r="C603" s="106" t="s">
        <v>10879</v>
      </c>
    </row>
    <row r="604" spans="1:3" x14ac:dyDescent="0.25">
      <c r="A604" s="115" t="s">
        <v>8939</v>
      </c>
      <c r="B604" s="109" t="s">
        <v>10880</v>
      </c>
      <c r="C604" s="106" t="s">
        <v>10881</v>
      </c>
    </row>
    <row r="605" spans="1:3" x14ac:dyDescent="0.25">
      <c r="A605" s="115" t="s">
        <v>8939</v>
      </c>
      <c r="B605" s="109" t="s">
        <v>10882</v>
      </c>
      <c r="C605" s="106" t="s">
        <v>10883</v>
      </c>
    </row>
    <row r="606" spans="1:3" x14ac:dyDescent="0.25">
      <c r="A606" s="115" t="s">
        <v>8939</v>
      </c>
      <c r="B606" s="109" t="s">
        <v>10884</v>
      </c>
      <c r="C606" s="106" t="s">
        <v>10885</v>
      </c>
    </row>
    <row r="607" spans="1:3" x14ac:dyDescent="0.25">
      <c r="A607" s="115" t="s">
        <v>8939</v>
      </c>
      <c r="B607" s="109" t="s">
        <v>10886</v>
      </c>
      <c r="C607" s="106" t="s">
        <v>10887</v>
      </c>
    </row>
    <row r="608" spans="1:3" x14ac:dyDescent="0.25">
      <c r="A608" s="115" t="s">
        <v>8939</v>
      </c>
      <c r="B608" s="109" t="s">
        <v>10888</v>
      </c>
      <c r="C608" s="106" t="s">
        <v>10889</v>
      </c>
    </row>
    <row r="609" spans="1:3" x14ac:dyDescent="0.25">
      <c r="A609" s="115" t="s">
        <v>8939</v>
      </c>
      <c r="B609" s="109" t="s">
        <v>10890</v>
      </c>
      <c r="C609" s="106" t="s">
        <v>10891</v>
      </c>
    </row>
    <row r="610" spans="1:3" x14ac:dyDescent="0.25">
      <c r="A610" s="115" t="s">
        <v>8939</v>
      </c>
      <c r="B610" s="109" t="s">
        <v>10892</v>
      </c>
      <c r="C610" s="106" t="s">
        <v>10893</v>
      </c>
    </row>
    <row r="611" spans="1:3" x14ac:dyDescent="0.25">
      <c r="A611" s="115" t="s">
        <v>8939</v>
      </c>
      <c r="B611" s="109" t="s">
        <v>10896</v>
      </c>
      <c r="C611" s="106" t="s">
        <v>10897</v>
      </c>
    </row>
    <row r="612" spans="1:3" x14ac:dyDescent="0.25">
      <c r="A612" s="115" t="s">
        <v>8939</v>
      </c>
      <c r="B612" s="109" t="s">
        <v>10902</v>
      </c>
      <c r="C612" s="106" t="s">
        <v>10903</v>
      </c>
    </row>
    <row r="613" spans="1:3" x14ac:dyDescent="0.25">
      <c r="A613" s="115" t="s">
        <v>8939</v>
      </c>
      <c r="B613" s="109" t="s">
        <v>10904</v>
      </c>
      <c r="C613" s="106" t="s">
        <v>10905</v>
      </c>
    </row>
    <row r="614" spans="1:3" x14ac:dyDescent="0.25">
      <c r="A614" s="115" t="s">
        <v>8939</v>
      </c>
      <c r="B614" s="109" t="s">
        <v>10906</v>
      </c>
      <c r="C614" s="106" t="s">
        <v>10907</v>
      </c>
    </row>
    <row r="615" spans="1:3" x14ac:dyDescent="0.25">
      <c r="A615" s="115" t="s">
        <v>8939</v>
      </c>
      <c r="B615" s="109" t="s">
        <v>10908</v>
      </c>
      <c r="C615" s="106" t="s">
        <v>10909</v>
      </c>
    </row>
    <row r="616" spans="1:3" x14ac:dyDescent="0.25">
      <c r="A616" s="115" t="s">
        <v>8939</v>
      </c>
      <c r="B616" s="109" t="s">
        <v>10910</v>
      </c>
      <c r="C616" s="106" t="s">
        <v>10911</v>
      </c>
    </row>
    <row r="617" spans="1:3" x14ac:dyDescent="0.25">
      <c r="A617" s="115" t="s">
        <v>8939</v>
      </c>
      <c r="B617" s="109" t="s">
        <v>10912</v>
      </c>
      <c r="C617" s="106" t="s">
        <v>10913</v>
      </c>
    </row>
    <row r="618" spans="1:3" x14ac:dyDescent="0.25">
      <c r="A618" s="115" t="s">
        <v>8939</v>
      </c>
      <c r="B618" s="109" t="s">
        <v>10914</v>
      </c>
      <c r="C618" s="106" t="s">
        <v>10915</v>
      </c>
    </row>
    <row r="619" spans="1:3" x14ac:dyDescent="0.25">
      <c r="A619" s="115" t="s">
        <v>8939</v>
      </c>
      <c r="B619" s="109" t="s">
        <v>10916</v>
      </c>
      <c r="C619" s="106" t="s">
        <v>10917</v>
      </c>
    </row>
    <row r="620" spans="1:3" x14ac:dyDescent="0.25">
      <c r="A620" s="115" t="s">
        <v>8939</v>
      </c>
      <c r="B620" s="109" t="s">
        <v>10921</v>
      </c>
      <c r="C620" s="106" t="s">
        <v>10922</v>
      </c>
    </row>
    <row r="621" spans="1:3" x14ac:dyDescent="0.25">
      <c r="A621" s="115" t="s">
        <v>8939</v>
      </c>
      <c r="B621" s="109" t="s">
        <v>10923</v>
      </c>
      <c r="C621" s="106" t="s">
        <v>10924</v>
      </c>
    </row>
    <row r="622" spans="1:3" x14ac:dyDescent="0.25">
      <c r="A622" s="115" t="s">
        <v>8939</v>
      </c>
      <c r="B622" s="109" t="s">
        <v>10925</v>
      </c>
      <c r="C622" s="106" t="s">
        <v>10926</v>
      </c>
    </row>
    <row r="623" spans="1:3" x14ac:dyDescent="0.25">
      <c r="A623" s="115" t="s">
        <v>8939</v>
      </c>
      <c r="B623" s="109" t="s">
        <v>10927</v>
      </c>
      <c r="C623" s="106" t="s">
        <v>10928</v>
      </c>
    </row>
    <row r="624" spans="1:3" x14ac:dyDescent="0.25">
      <c r="A624" s="115" t="s">
        <v>8939</v>
      </c>
      <c r="B624" s="109" t="s">
        <v>10929</v>
      </c>
      <c r="C624" s="106" t="s">
        <v>10930</v>
      </c>
    </row>
    <row r="625" spans="1:3" x14ac:dyDescent="0.25">
      <c r="A625" s="115" t="s">
        <v>8939</v>
      </c>
      <c r="B625" s="109" t="s">
        <v>10931</v>
      </c>
      <c r="C625" s="106" t="s">
        <v>10932</v>
      </c>
    </row>
    <row r="626" spans="1:3" x14ac:dyDescent="0.25">
      <c r="A626" s="115" t="s">
        <v>8939</v>
      </c>
      <c r="B626" s="109" t="s">
        <v>10933</v>
      </c>
      <c r="C626" s="106" t="s">
        <v>10934</v>
      </c>
    </row>
    <row r="627" spans="1:3" x14ac:dyDescent="0.25">
      <c r="A627" s="115" t="s">
        <v>8939</v>
      </c>
      <c r="B627" s="109" t="s">
        <v>10935</v>
      </c>
      <c r="C627" s="106" t="s">
        <v>10936</v>
      </c>
    </row>
    <row r="628" spans="1:3" x14ac:dyDescent="0.25">
      <c r="A628" s="115" t="s">
        <v>8939</v>
      </c>
      <c r="B628" s="109" t="s">
        <v>10937</v>
      </c>
      <c r="C628" s="106" t="s">
        <v>10938</v>
      </c>
    </row>
    <row r="629" spans="1:3" x14ac:dyDescent="0.25">
      <c r="A629" s="115" t="s">
        <v>8939</v>
      </c>
      <c r="B629" s="109" t="s">
        <v>10939</v>
      </c>
      <c r="C629" s="106" t="s">
        <v>10940</v>
      </c>
    </row>
    <row r="630" spans="1:3" x14ac:dyDescent="0.25">
      <c r="A630" s="115" t="s">
        <v>8939</v>
      </c>
      <c r="B630" s="109" t="s">
        <v>10941</v>
      </c>
      <c r="C630" s="106" t="s">
        <v>10942</v>
      </c>
    </row>
    <row r="631" spans="1:3" x14ac:dyDescent="0.25">
      <c r="A631" s="115" t="s">
        <v>8939</v>
      </c>
      <c r="B631" s="109" t="s">
        <v>10943</v>
      </c>
      <c r="C631" s="106" t="s">
        <v>10944</v>
      </c>
    </row>
    <row r="632" spans="1:3" x14ac:dyDescent="0.25">
      <c r="A632" s="115" t="s">
        <v>8939</v>
      </c>
      <c r="B632" s="109" t="s">
        <v>10945</v>
      </c>
      <c r="C632" s="106" t="s">
        <v>10946</v>
      </c>
    </row>
    <row r="633" spans="1:3" x14ac:dyDescent="0.25">
      <c r="A633" s="115" t="s">
        <v>8939</v>
      </c>
      <c r="B633" s="109" t="s">
        <v>10947</v>
      </c>
      <c r="C633" s="106" t="s">
        <v>10948</v>
      </c>
    </row>
    <row r="634" spans="1:3" x14ac:dyDescent="0.25">
      <c r="A634" s="115" t="s">
        <v>8939</v>
      </c>
      <c r="B634" s="109" t="s">
        <v>10949</v>
      </c>
      <c r="C634" s="106" t="s">
        <v>10950</v>
      </c>
    </row>
    <row r="635" spans="1:3" x14ac:dyDescent="0.25">
      <c r="A635" s="115" t="s">
        <v>8939</v>
      </c>
      <c r="B635" s="109" t="s">
        <v>10951</v>
      </c>
      <c r="C635" s="106" t="s">
        <v>10952</v>
      </c>
    </row>
    <row r="636" spans="1:3" x14ac:dyDescent="0.25">
      <c r="A636" s="115" t="s">
        <v>8939</v>
      </c>
      <c r="B636" s="109" t="s">
        <v>10953</v>
      </c>
      <c r="C636" s="106" t="s">
        <v>10954</v>
      </c>
    </row>
    <row r="637" spans="1:3" x14ac:dyDescent="0.25">
      <c r="A637" s="115" t="s">
        <v>8939</v>
      </c>
      <c r="B637" s="109" t="s">
        <v>10955</v>
      </c>
      <c r="C637" s="106" t="s">
        <v>10956</v>
      </c>
    </row>
    <row r="638" spans="1:3" x14ac:dyDescent="0.25">
      <c r="A638" s="115" t="s">
        <v>8939</v>
      </c>
      <c r="B638" s="109" t="s">
        <v>10957</v>
      </c>
      <c r="C638" s="106" t="s">
        <v>10958</v>
      </c>
    </row>
    <row r="639" spans="1:3" x14ac:dyDescent="0.25">
      <c r="A639" s="115" t="s">
        <v>8939</v>
      </c>
      <c r="B639" s="109" t="s">
        <v>10959</v>
      </c>
      <c r="C639" s="106" t="s">
        <v>10960</v>
      </c>
    </row>
    <row r="640" spans="1:3" x14ac:dyDescent="0.25">
      <c r="A640" s="115" t="s">
        <v>8939</v>
      </c>
      <c r="B640" s="109" t="s">
        <v>10961</v>
      </c>
      <c r="C640" s="106" t="s">
        <v>10962</v>
      </c>
    </row>
    <row r="641" spans="1:3" x14ac:dyDescent="0.25">
      <c r="A641" s="115" t="s">
        <v>8939</v>
      </c>
      <c r="B641" s="109" t="s">
        <v>10965</v>
      </c>
      <c r="C641" s="106" t="s">
        <v>10966</v>
      </c>
    </row>
    <row r="642" spans="1:3" x14ac:dyDescent="0.25">
      <c r="A642" s="115" t="s">
        <v>8939</v>
      </c>
      <c r="B642" s="109" t="s">
        <v>10967</v>
      </c>
      <c r="C642" s="106" t="s">
        <v>10968</v>
      </c>
    </row>
    <row r="643" spans="1:3" x14ac:dyDescent="0.25">
      <c r="A643" s="115" t="s">
        <v>8939</v>
      </c>
      <c r="B643" s="109" t="s">
        <v>10969</v>
      </c>
      <c r="C643" s="106" t="s">
        <v>10970</v>
      </c>
    </row>
    <row r="644" spans="1:3" x14ac:dyDescent="0.25">
      <c r="A644" s="115" t="s">
        <v>8939</v>
      </c>
      <c r="B644" s="109" t="s">
        <v>10971</v>
      </c>
      <c r="C644" s="106" t="s">
        <v>10972</v>
      </c>
    </row>
    <row r="645" spans="1:3" x14ac:dyDescent="0.25">
      <c r="A645" s="115" t="s">
        <v>8939</v>
      </c>
      <c r="B645" s="109" t="s">
        <v>10973</v>
      </c>
      <c r="C645" s="106" t="s">
        <v>10974</v>
      </c>
    </row>
    <row r="646" spans="1:3" x14ac:dyDescent="0.25">
      <c r="A646" s="115" t="s">
        <v>8939</v>
      </c>
      <c r="B646" s="109" t="s">
        <v>10975</v>
      </c>
      <c r="C646" s="106" t="s">
        <v>10976</v>
      </c>
    </row>
    <row r="647" spans="1:3" x14ac:dyDescent="0.25">
      <c r="A647" s="115" t="s">
        <v>8939</v>
      </c>
      <c r="B647" s="109" t="s">
        <v>10977</v>
      </c>
      <c r="C647" s="106" t="s">
        <v>10978</v>
      </c>
    </row>
    <row r="648" spans="1:3" x14ac:dyDescent="0.25">
      <c r="A648" s="115" t="s">
        <v>8939</v>
      </c>
      <c r="B648" s="109" t="s">
        <v>10979</v>
      </c>
      <c r="C648" s="106" t="s">
        <v>10980</v>
      </c>
    </row>
    <row r="649" spans="1:3" x14ac:dyDescent="0.25">
      <c r="A649" s="115" t="s">
        <v>8939</v>
      </c>
      <c r="B649" s="109" t="s">
        <v>10981</v>
      </c>
      <c r="C649" s="106" t="s">
        <v>10982</v>
      </c>
    </row>
    <row r="650" spans="1:3" x14ac:dyDescent="0.25">
      <c r="A650" s="115" t="s">
        <v>8939</v>
      </c>
      <c r="B650" s="109" t="s">
        <v>10983</v>
      </c>
      <c r="C650" s="106" t="s">
        <v>10984</v>
      </c>
    </row>
    <row r="651" spans="1:3" x14ac:dyDescent="0.25">
      <c r="A651" s="115" t="s">
        <v>8939</v>
      </c>
      <c r="B651" s="109" t="s">
        <v>10985</v>
      </c>
      <c r="C651" s="106" t="s">
        <v>10986</v>
      </c>
    </row>
    <row r="652" spans="1:3" x14ac:dyDescent="0.25">
      <c r="A652" s="115" t="s">
        <v>8939</v>
      </c>
      <c r="B652" s="109" t="s">
        <v>10987</v>
      </c>
      <c r="C652" s="106" t="s">
        <v>10988</v>
      </c>
    </row>
    <row r="653" spans="1:3" x14ac:dyDescent="0.25">
      <c r="A653" s="115" t="s">
        <v>8939</v>
      </c>
      <c r="B653" s="109" t="s">
        <v>10989</v>
      </c>
      <c r="C653" s="106" t="s">
        <v>10990</v>
      </c>
    </row>
    <row r="654" spans="1:3" x14ac:dyDescent="0.25">
      <c r="A654" s="115" t="s">
        <v>8939</v>
      </c>
      <c r="B654" s="109" t="s">
        <v>10991</v>
      </c>
      <c r="C654" s="106" t="s">
        <v>10992</v>
      </c>
    </row>
    <row r="655" spans="1:3" x14ac:dyDescent="0.25">
      <c r="A655"/>
      <c r="B655"/>
      <c r="C655"/>
    </row>
    <row r="656" spans="1:3" x14ac:dyDescent="0.25">
      <c r="A656"/>
      <c r="B656"/>
      <c r="C656"/>
    </row>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sheetData>
  <autoFilter ref="A1:C1" xr:uid="{72F852B1-D73D-4F34-BAF1-18C75EF7600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047"/>
  <sheetViews>
    <sheetView zoomScaleNormal="100" workbookViewId="0">
      <pane ySplit="1" topLeftCell="A2" activePane="bottomLeft" state="frozen"/>
      <selection pane="bottomLeft"/>
    </sheetView>
  </sheetViews>
  <sheetFormatPr defaultColWidth="9.21875" defaultRowHeight="14.1" customHeight="1" x14ac:dyDescent="0.25"/>
  <cols>
    <col min="1" max="1" width="16.21875" style="100" bestFit="1" customWidth="1"/>
    <col min="2" max="2" width="42.21875" style="58" customWidth="1"/>
    <col min="3" max="3" width="15.77734375" style="100" customWidth="1"/>
    <col min="4" max="4" width="62.77734375" style="58" customWidth="1"/>
    <col min="5" max="16384" width="9.21875" style="292"/>
  </cols>
  <sheetData>
    <row r="1" spans="1:4" s="120" customFormat="1" ht="14.1" customHeight="1" x14ac:dyDescent="0.25">
      <c r="A1" s="118" t="s">
        <v>10995</v>
      </c>
      <c r="B1" s="119" t="s">
        <v>10996</v>
      </c>
      <c r="C1" s="118" t="s">
        <v>10997</v>
      </c>
      <c r="D1" s="119" t="s">
        <v>10998</v>
      </c>
    </row>
    <row r="2" spans="1:4" ht="14.1" customHeight="1" x14ac:dyDescent="0.25">
      <c r="A2" s="292" t="s">
        <v>10999</v>
      </c>
      <c r="B2" s="293" t="s">
        <v>11000</v>
      </c>
      <c r="C2" s="292" t="s">
        <v>11001</v>
      </c>
      <c r="D2" s="293" t="s">
        <v>11002</v>
      </c>
    </row>
    <row r="3" spans="1:4" ht="14.1" customHeight="1" x14ac:dyDescent="0.25">
      <c r="A3" s="292" t="s">
        <v>10999</v>
      </c>
      <c r="B3" s="293" t="s">
        <v>11000</v>
      </c>
      <c r="C3" s="292" t="s">
        <v>11003</v>
      </c>
      <c r="D3" s="293" t="s">
        <v>11004</v>
      </c>
    </row>
    <row r="4" spans="1:4" ht="14.1" customHeight="1" x14ac:dyDescent="0.25">
      <c r="A4" s="292" t="s">
        <v>10999</v>
      </c>
      <c r="B4" s="293" t="s">
        <v>11000</v>
      </c>
      <c r="C4" s="292" t="s">
        <v>11005</v>
      </c>
      <c r="D4" s="293" t="s">
        <v>11006</v>
      </c>
    </row>
    <row r="5" spans="1:4" ht="14.1" customHeight="1" x14ac:dyDescent="0.25">
      <c r="A5" s="292" t="s">
        <v>10999</v>
      </c>
      <c r="B5" s="293" t="s">
        <v>11000</v>
      </c>
      <c r="C5" s="292" t="s">
        <v>11007</v>
      </c>
      <c r="D5" s="293" t="s">
        <v>11008</v>
      </c>
    </row>
    <row r="6" spans="1:4" ht="14.1" customHeight="1" x14ac:dyDescent="0.25">
      <c r="A6" s="292" t="s">
        <v>11009</v>
      </c>
      <c r="B6" s="293" t="s">
        <v>11010</v>
      </c>
      <c r="C6" s="292" t="s">
        <v>11011</v>
      </c>
      <c r="D6" s="293" t="s">
        <v>11012</v>
      </c>
    </row>
    <row r="7" spans="1:4" ht="14.1" customHeight="1" x14ac:dyDescent="0.25">
      <c r="A7" s="292" t="s">
        <v>11013</v>
      </c>
      <c r="B7" s="293" t="s">
        <v>11014</v>
      </c>
      <c r="C7" s="292" t="s">
        <v>11015</v>
      </c>
      <c r="D7" s="293" t="s">
        <v>11016</v>
      </c>
    </row>
    <row r="8" spans="1:4" ht="14.1" customHeight="1" x14ac:dyDescent="0.25">
      <c r="A8" s="292" t="s">
        <v>11017</v>
      </c>
      <c r="B8" s="293" t="s">
        <v>11018</v>
      </c>
      <c r="C8" s="292" t="s">
        <v>11019</v>
      </c>
      <c r="D8" s="293" t="s">
        <v>11020</v>
      </c>
    </row>
    <row r="9" spans="1:4" ht="14.1" customHeight="1" x14ac:dyDescent="0.25">
      <c r="A9" s="292" t="s">
        <v>11017</v>
      </c>
      <c r="B9" s="293" t="s">
        <v>11018</v>
      </c>
      <c r="C9" s="292" t="s">
        <v>11021</v>
      </c>
      <c r="D9" s="293" t="s">
        <v>11022</v>
      </c>
    </row>
    <row r="10" spans="1:4" ht="14.1" customHeight="1" x14ac:dyDescent="0.25">
      <c r="A10" s="292" t="s">
        <v>11017</v>
      </c>
      <c r="B10" s="293" t="s">
        <v>11018</v>
      </c>
      <c r="C10" s="292" t="s">
        <v>11023</v>
      </c>
      <c r="D10" s="293" t="s">
        <v>11024</v>
      </c>
    </row>
    <row r="11" spans="1:4" ht="14.1" customHeight="1" x14ac:dyDescent="0.25">
      <c r="A11" s="292" t="s">
        <v>11017</v>
      </c>
      <c r="B11" s="293" t="s">
        <v>11018</v>
      </c>
      <c r="C11" s="292" t="s">
        <v>11025</v>
      </c>
      <c r="D11" s="293" t="s">
        <v>11026</v>
      </c>
    </row>
    <row r="12" spans="1:4" ht="14.1" customHeight="1" x14ac:dyDescent="0.25">
      <c r="A12" s="292" t="s">
        <v>11017</v>
      </c>
      <c r="B12" s="293" t="s">
        <v>11018</v>
      </c>
      <c r="C12" s="292" t="s">
        <v>11027</v>
      </c>
      <c r="D12" s="293" t="s">
        <v>11028</v>
      </c>
    </row>
    <row r="13" spans="1:4" ht="14.1" customHeight="1" x14ac:dyDescent="0.25">
      <c r="A13" s="292" t="s">
        <v>11017</v>
      </c>
      <c r="B13" s="293" t="s">
        <v>11018</v>
      </c>
      <c r="C13" s="292" t="s">
        <v>11029</v>
      </c>
      <c r="D13" s="293" t="s">
        <v>11030</v>
      </c>
    </row>
    <row r="14" spans="1:4" ht="14.1" customHeight="1" x14ac:dyDescent="0.25">
      <c r="A14" s="292" t="s">
        <v>11017</v>
      </c>
      <c r="B14" s="293" t="s">
        <v>11018</v>
      </c>
      <c r="C14" s="292" t="s">
        <v>11031</v>
      </c>
      <c r="D14" s="293" t="s">
        <v>11032</v>
      </c>
    </row>
    <row r="15" spans="1:4" ht="14.1" customHeight="1" x14ac:dyDescent="0.25">
      <c r="A15" s="292" t="s">
        <v>11033</v>
      </c>
      <c r="B15" s="293" t="s">
        <v>11034</v>
      </c>
      <c r="C15" s="292" t="s">
        <v>11035</v>
      </c>
      <c r="D15" s="293" t="s">
        <v>11036</v>
      </c>
    </row>
    <row r="16" spans="1:4" ht="14.1" customHeight="1" x14ac:dyDescent="0.25">
      <c r="A16" s="292" t="s">
        <v>11037</v>
      </c>
      <c r="B16" s="293" t="s">
        <v>11038</v>
      </c>
      <c r="C16" s="292" t="s">
        <v>11039</v>
      </c>
      <c r="D16" s="293" t="s">
        <v>11040</v>
      </c>
    </row>
    <row r="17" spans="1:4" ht="14.1" customHeight="1" x14ac:dyDescent="0.25">
      <c r="A17" s="292" t="s">
        <v>11041</v>
      </c>
      <c r="B17" s="293" t="s">
        <v>11042</v>
      </c>
      <c r="C17" s="292" t="s">
        <v>11043</v>
      </c>
      <c r="D17" s="293" t="s">
        <v>11044</v>
      </c>
    </row>
    <row r="18" spans="1:4" ht="14.1" customHeight="1" x14ac:dyDescent="0.25">
      <c r="A18" s="292" t="s">
        <v>11041</v>
      </c>
      <c r="B18" s="293" t="s">
        <v>11042</v>
      </c>
      <c r="C18" s="292" t="s">
        <v>11045</v>
      </c>
      <c r="D18" s="293" t="s">
        <v>11046</v>
      </c>
    </row>
    <row r="19" spans="1:4" ht="14.1" customHeight="1" x14ac:dyDescent="0.25">
      <c r="A19" s="292" t="s">
        <v>11047</v>
      </c>
      <c r="B19" s="293" t="s">
        <v>11048</v>
      </c>
      <c r="C19" s="292" t="s">
        <v>11049</v>
      </c>
      <c r="D19" s="293" t="s">
        <v>11050</v>
      </c>
    </row>
    <row r="20" spans="1:4" ht="14.1" customHeight="1" x14ac:dyDescent="0.25">
      <c r="A20" s="335" t="s">
        <v>11047</v>
      </c>
      <c r="B20" s="293" t="s">
        <v>11048</v>
      </c>
      <c r="C20" s="333" t="s">
        <v>13549</v>
      </c>
      <c r="D20" s="334" t="s">
        <v>13548</v>
      </c>
    </row>
    <row r="21" spans="1:4" ht="14.1" customHeight="1" x14ac:dyDescent="0.25">
      <c r="A21" s="292" t="s">
        <v>11047</v>
      </c>
      <c r="B21" s="293" t="s">
        <v>11048</v>
      </c>
      <c r="C21" s="292" t="s">
        <v>11051</v>
      </c>
      <c r="D21" s="293" t="s">
        <v>11052</v>
      </c>
    </row>
    <row r="22" spans="1:4" ht="14.1" customHeight="1" x14ac:dyDescent="0.25">
      <c r="A22" s="292" t="s">
        <v>11053</v>
      </c>
      <c r="B22" s="293" t="s">
        <v>11054</v>
      </c>
      <c r="C22" s="292" t="s">
        <v>11055</v>
      </c>
      <c r="D22" s="293" t="s">
        <v>11056</v>
      </c>
    </row>
    <row r="23" spans="1:4" ht="14.1" customHeight="1" x14ac:dyDescent="0.25">
      <c r="A23" s="292" t="s">
        <v>11053</v>
      </c>
      <c r="B23" s="293" t="s">
        <v>11054</v>
      </c>
      <c r="C23" s="292" t="s">
        <v>11057</v>
      </c>
      <c r="D23" s="293" t="s">
        <v>11058</v>
      </c>
    </row>
    <row r="24" spans="1:4" ht="14.1" customHeight="1" x14ac:dyDescent="0.25">
      <c r="A24" s="292" t="s">
        <v>11053</v>
      </c>
      <c r="B24" s="293" t="s">
        <v>11054</v>
      </c>
      <c r="C24" s="292" t="s">
        <v>11059</v>
      </c>
      <c r="D24" s="293" t="s">
        <v>11060</v>
      </c>
    </row>
    <row r="25" spans="1:4" ht="14.1" customHeight="1" x14ac:dyDescent="0.25">
      <c r="A25" s="292" t="s">
        <v>11061</v>
      </c>
      <c r="B25" s="293" t="s">
        <v>11062</v>
      </c>
      <c r="C25" s="292" t="s">
        <v>11063</v>
      </c>
      <c r="D25" s="293" t="s">
        <v>11064</v>
      </c>
    </row>
    <row r="26" spans="1:4" ht="14.1" customHeight="1" x14ac:dyDescent="0.25">
      <c r="A26" s="292" t="s">
        <v>11061</v>
      </c>
      <c r="B26" s="293" t="s">
        <v>11062</v>
      </c>
      <c r="C26" s="292" t="s">
        <v>11065</v>
      </c>
      <c r="D26" s="293" t="s">
        <v>11066</v>
      </c>
    </row>
    <row r="27" spans="1:4" ht="14.1" customHeight="1" x14ac:dyDescent="0.25">
      <c r="A27" s="292" t="s">
        <v>11061</v>
      </c>
      <c r="B27" s="293" t="s">
        <v>11062</v>
      </c>
      <c r="C27" s="292" t="s">
        <v>11067</v>
      </c>
      <c r="D27" s="293" t="s">
        <v>11068</v>
      </c>
    </row>
    <row r="28" spans="1:4" ht="14.1" customHeight="1" x14ac:dyDescent="0.25">
      <c r="A28" s="292" t="s">
        <v>11061</v>
      </c>
      <c r="B28" s="293" t="s">
        <v>11062</v>
      </c>
      <c r="C28" s="292" t="s">
        <v>11069</v>
      </c>
      <c r="D28" s="293" t="s">
        <v>11070</v>
      </c>
    </row>
    <row r="29" spans="1:4" ht="14.1" customHeight="1" x14ac:dyDescent="0.25">
      <c r="A29" s="292" t="s">
        <v>11061</v>
      </c>
      <c r="B29" s="293" t="s">
        <v>11062</v>
      </c>
      <c r="C29" s="292" t="s">
        <v>11071</v>
      </c>
      <c r="D29" s="293" t="s">
        <v>11072</v>
      </c>
    </row>
    <row r="30" spans="1:4" ht="14.1" customHeight="1" x14ac:dyDescent="0.25">
      <c r="A30" s="292" t="s">
        <v>11061</v>
      </c>
      <c r="B30" s="293" t="s">
        <v>11062</v>
      </c>
      <c r="C30" s="292" t="s">
        <v>11073</v>
      </c>
      <c r="D30" s="293" t="s">
        <v>13356</v>
      </c>
    </row>
    <row r="31" spans="1:4" ht="14.1" customHeight="1" x14ac:dyDescent="0.25">
      <c r="A31" s="292" t="s">
        <v>11061</v>
      </c>
      <c r="B31" s="293" t="s">
        <v>11062</v>
      </c>
      <c r="C31" s="292" t="s">
        <v>11074</v>
      </c>
      <c r="D31" s="293" t="s">
        <v>11075</v>
      </c>
    </row>
    <row r="32" spans="1:4" ht="14.1" customHeight="1" x14ac:dyDescent="0.25">
      <c r="A32" s="292" t="s">
        <v>11061</v>
      </c>
      <c r="B32" s="293" t="s">
        <v>11062</v>
      </c>
      <c r="C32" s="292" t="s">
        <v>11076</v>
      </c>
      <c r="D32" s="293" t="s">
        <v>11077</v>
      </c>
    </row>
    <row r="33" spans="1:4" ht="14.1" customHeight="1" x14ac:dyDescent="0.25">
      <c r="A33" s="292" t="s">
        <v>11078</v>
      </c>
      <c r="B33" s="293" t="s">
        <v>11079</v>
      </c>
      <c r="C33" s="292" t="s">
        <v>11080</v>
      </c>
      <c r="D33" s="293" t="s">
        <v>11081</v>
      </c>
    </row>
    <row r="34" spans="1:4" ht="14.1" customHeight="1" x14ac:dyDescent="0.25">
      <c r="A34" s="292" t="s">
        <v>7772</v>
      </c>
      <c r="B34" s="293" t="s">
        <v>11082</v>
      </c>
      <c r="C34" s="292" t="s">
        <v>11083</v>
      </c>
      <c r="D34" s="293" t="s">
        <v>11084</v>
      </c>
    </row>
    <row r="35" spans="1:4" ht="14.1" customHeight="1" x14ac:dyDescent="0.25">
      <c r="A35" s="292" t="s">
        <v>7772</v>
      </c>
      <c r="B35" s="293" t="s">
        <v>11082</v>
      </c>
      <c r="C35" s="292" t="s">
        <v>11085</v>
      </c>
      <c r="D35" s="293" t="s">
        <v>11086</v>
      </c>
    </row>
    <row r="36" spans="1:4" ht="14.1" customHeight="1" x14ac:dyDescent="0.25">
      <c r="A36" s="292" t="s">
        <v>7772</v>
      </c>
      <c r="B36" s="293" t="s">
        <v>11082</v>
      </c>
      <c r="C36" s="292" t="s">
        <v>11087</v>
      </c>
      <c r="D36" s="293" t="s">
        <v>11088</v>
      </c>
    </row>
    <row r="37" spans="1:4" ht="14.1" customHeight="1" x14ac:dyDescent="0.25">
      <c r="A37" s="292" t="s">
        <v>7772</v>
      </c>
      <c r="B37" s="293" t="s">
        <v>11082</v>
      </c>
      <c r="C37" s="292" t="s">
        <v>11089</v>
      </c>
      <c r="D37" s="293" t="s">
        <v>11090</v>
      </c>
    </row>
    <row r="38" spans="1:4" ht="14.1" customHeight="1" x14ac:dyDescent="0.25">
      <c r="A38" s="335" t="s">
        <v>7772</v>
      </c>
      <c r="B38" s="293" t="s">
        <v>11082</v>
      </c>
      <c r="C38" s="333" t="s">
        <v>11089</v>
      </c>
      <c r="D38" s="334" t="s">
        <v>13527</v>
      </c>
    </row>
    <row r="39" spans="1:4" ht="14.1" customHeight="1" x14ac:dyDescent="0.25">
      <c r="A39" s="292" t="s">
        <v>7772</v>
      </c>
      <c r="B39" s="293" t="s">
        <v>11082</v>
      </c>
      <c r="C39" s="292" t="s">
        <v>11091</v>
      </c>
      <c r="D39" s="293" t="s">
        <v>11092</v>
      </c>
    </row>
    <row r="40" spans="1:4" ht="14.1" customHeight="1" x14ac:dyDescent="0.25">
      <c r="A40" s="292" t="s">
        <v>7772</v>
      </c>
      <c r="B40" s="293" t="s">
        <v>11082</v>
      </c>
      <c r="C40" s="292" t="s">
        <v>11093</v>
      </c>
      <c r="D40" s="293" t="s">
        <v>11094</v>
      </c>
    </row>
    <row r="41" spans="1:4" ht="14.1" customHeight="1" x14ac:dyDescent="0.25">
      <c r="A41" s="292" t="s">
        <v>7772</v>
      </c>
      <c r="B41" s="293" t="s">
        <v>11082</v>
      </c>
      <c r="C41" s="292" t="s">
        <v>11095</v>
      </c>
      <c r="D41" s="293" t="s">
        <v>11096</v>
      </c>
    </row>
    <row r="42" spans="1:4" ht="14.1" customHeight="1" x14ac:dyDescent="0.25">
      <c r="A42" s="292" t="s">
        <v>7772</v>
      </c>
      <c r="B42" s="293" t="s">
        <v>11082</v>
      </c>
      <c r="C42" s="292" t="s">
        <v>11097</v>
      </c>
      <c r="D42" s="293" t="s">
        <v>11098</v>
      </c>
    </row>
    <row r="43" spans="1:4" ht="14.1" customHeight="1" x14ac:dyDescent="0.25">
      <c r="A43" s="292" t="s">
        <v>7772</v>
      </c>
      <c r="B43" s="293" t="s">
        <v>11082</v>
      </c>
      <c r="C43" s="292" t="s">
        <v>11099</v>
      </c>
      <c r="D43" s="293" t="s">
        <v>11100</v>
      </c>
    </row>
    <row r="44" spans="1:4" ht="14.1" customHeight="1" x14ac:dyDescent="0.25">
      <c r="A44" s="292" t="s">
        <v>7772</v>
      </c>
      <c r="B44" s="293" t="s">
        <v>11082</v>
      </c>
      <c r="C44" s="292" t="s">
        <v>11101</v>
      </c>
      <c r="D44" s="293" t="s">
        <v>11102</v>
      </c>
    </row>
    <row r="45" spans="1:4" ht="14.1" customHeight="1" x14ac:dyDescent="0.25">
      <c r="A45" s="292" t="s">
        <v>7772</v>
      </c>
      <c r="B45" s="293" t="s">
        <v>11082</v>
      </c>
      <c r="C45" s="292" t="s">
        <v>11103</v>
      </c>
      <c r="D45" s="293" t="s">
        <v>11104</v>
      </c>
    </row>
    <row r="46" spans="1:4" ht="14.1" customHeight="1" x14ac:dyDescent="0.25">
      <c r="A46" s="292" t="s">
        <v>7772</v>
      </c>
      <c r="B46" s="293" t="s">
        <v>11082</v>
      </c>
      <c r="C46" s="292" t="s">
        <v>11105</v>
      </c>
      <c r="D46" s="293" t="s">
        <v>11106</v>
      </c>
    </row>
    <row r="47" spans="1:4" ht="14.1" customHeight="1" x14ac:dyDescent="0.25">
      <c r="A47" s="292" t="s">
        <v>7772</v>
      </c>
      <c r="B47" s="293" t="s">
        <v>11082</v>
      </c>
      <c r="C47" s="292" t="s">
        <v>11107</v>
      </c>
      <c r="D47" s="293" t="s">
        <v>11108</v>
      </c>
    </row>
    <row r="48" spans="1:4" ht="14.1" customHeight="1" x14ac:dyDescent="0.25">
      <c r="A48" s="292" t="s">
        <v>7772</v>
      </c>
      <c r="B48" s="293" t="s">
        <v>11082</v>
      </c>
      <c r="C48" s="292" t="s">
        <v>11109</v>
      </c>
      <c r="D48" s="293" t="s">
        <v>11110</v>
      </c>
    </row>
    <row r="49" spans="1:4" ht="14.1" customHeight="1" x14ac:dyDescent="0.25">
      <c r="A49" s="292" t="s">
        <v>7772</v>
      </c>
      <c r="B49" s="293" t="s">
        <v>11082</v>
      </c>
      <c r="C49" s="292" t="s">
        <v>11111</v>
      </c>
      <c r="D49" s="293" t="s">
        <v>11112</v>
      </c>
    </row>
    <row r="50" spans="1:4" ht="14.1" customHeight="1" x14ac:dyDescent="0.25">
      <c r="A50" s="292" t="s">
        <v>11113</v>
      </c>
      <c r="B50" s="293" t="s">
        <v>11114</v>
      </c>
      <c r="C50" s="292" t="s">
        <v>11115</v>
      </c>
      <c r="D50" s="293" t="s">
        <v>11116</v>
      </c>
    </row>
    <row r="51" spans="1:4" ht="14.1" customHeight="1" x14ac:dyDescent="0.25">
      <c r="A51" s="292" t="s">
        <v>11113</v>
      </c>
      <c r="B51" s="293" t="s">
        <v>11114</v>
      </c>
      <c r="C51" s="292" t="s">
        <v>11117</v>
      </c>
      <c r="D51" s="293" t="s">
        <v>11118</v>
      </c>
    </row>
    <row r="52" spans="1:4" ht="14.1" customHeight="1" x14ac:dyDescent="0.25">
      <c r="A52" s="292" t="s">
        <v>11113</v>
      </c>
      <c r="B52" s="293" t="s">
        <v>11114</v>
      </c>
      <c r="C52" s="292" t="s">
        <v>11119</v>
      </c>
      <c r="D52" s="293" t="s">
        <v>11120</v>
      </c>
    </row>
    <row r="53" spans="1:4" ht="14.1" customHeight="1" x14ac:dyDescent="0.25">
      <c r="A53" s="292" t="s">
        <v>11113</v>
      </c>
      <c r="B53" s="293" t="s">
        <v>11114</v>
      </c>
      <c r="C53" s="292" t="s">
        <v>11121</v>
      </c>
      <c r="D53" s="293" t="s">
        <v>11122</v>
      </c>
    </row>
    <row r="54" spans="1:4" ht="14.1" customHeight="1" x14ac:dyDescent="0.25">
      <c r="A54" s="292" t="s">
        <v>11113</v>
      </c>
      <c r="B54" s="293" t="s">
        <v>11114</v>
      </c>
      <c r="C54" s="292" t="s">
        <v>11123</v>
      </c>
      <c r="D54" s="293" t="s">
        <v>11124</v>
      </c>
    </row>
    <row r="55" spans="1:4" ht="14.1" customHeight="1" x14ac:dyDescent="0.25">
      <c r="A55" s="292" t="s">
        <v>11113</v>
      </c>
      <c r="B55" s="293" t="s">
        <v>11114</v>
      </c>
      <c r="C55" s="292" t="s">
        <v>11125</v>
      </c>
      <c r="D55" s="293" t="s">
        <v>11126</v>
      </c>
    </row>
    <row r="56" spans="1:4" ht="14.1" customHeight="1" x14ac:dyDescent="0.25">
      <c r="A56" s="292" t="s">
        <v>11113</v>
      </c>
      <c r="B56" s="293" t="s">
        <v>11114</v>
      </c>
      <c r="C56" s="292" t="s">
        <v>11127</v>
      </c>
      <c r="D56" s="293" t="s">
        <v>13357</v>
      </c>
    </row>
    <row r="57" spans="1:4" ht="14.1" customHeight="1" x14ac:dyDescent="0.25">
      <c r="A57" s="292" t="s">
        <v>11113</v>
      </c>
      <c r="B57" s="293" t="s">
        <v>11114</v>
      </c>
      <c r="C57" s="292" t="s">
        <v>11128</v>
      </c>
      <c r="D57" s="293" t="s">
        <v>11129</v>
      </c>
    </row>
    <row r="58" spans="1:4" ht="14.1" customHeight="1" x14ac:dyDescent="0.25">
      <c r="A58" s="292" t="s">
        <v>11113</v>
      </c>
      <c r="B58" s="293" t="s">
        <v>11114</v>
      </c>
      <c r="C58" s="292" t="s">
        <v>11130</v>
      </c>
      <c r="D58" s="293" t="s">
        <v>11131</v>
      </c>
    </row>
    <row r="59" spans="1:4" ht="14.1" customHeight="1" x14ac:dyDescent="0.25">
      <c r="A59" s="292" t="s">
        <v>7560</v>
      </c>
      <c r="B59" s="293" t="s">
        <v>11132</v>
      </c>
      <c r="C59" s="292" t="s">
        <v>11133</v>
      </c>
      <c r="D59" s="293" t="s">
        <v>11134</v>
      </c>
    </row>
    <row r="60" spans="1:4" ht="14.1" customHeight="1" x14ac:dyDescent="0.25">
      <c r="A60" s="292" t="s">
        <v>7560</v>
      </c>
      <c r="B60" s="293" t="s">
        <v>11132</v>
      </c>
      <c r="C60" s="292" t="s">
        <v>11135</v>
      </c>
      <c r="D60" s="293" t="s">
        <v>11136</v>
      </c>
    </row>
    <row r="61" spans="1:4" ht="14.1" customHeight="1" x14ac:dyDescent="0.25">
      <c r="A61" s="292" t="s">
        <v>11137</v>
      </c>
      <c r="B61" s="293" t="s">
        <v>11138</v>
      </c>
      <c r="C61" s="292" t="s">
        <v>11139</v>
      </c>
      <c r="D61" s="293" t="s">
        <v>11140</v>
      </c>
    </row>
    <row r="62" spans="1:4" ht="14.1" customHeight="1" x14ac:dyDescent="0.25">
      <c r="A62" s="292" t="s">
        <v>11137</v>
      </c>
      <c r="B62" s="293" t="s">
        <v>11138</v>
      </c>
      <c r="C62" s="292" t="s">
        <v>11141</v>
      </c>
      <c r="D62" s="293" t="s">
        <v>11142</v>
      </c>
    </row>
    <row r="63" spans="1:4" ht="14.1" customHeight="1" x14ac:dyDescent="0.25">
      <c r="A63" s="292" t="s">
        <v>11137</v>
      </c>
      <c r="B63" s="293" t="s">
        <v>11138</v>
      </c>
      <c r="C63" s="292" t="s">
        <v>11143</v>
      </c>
      <c r="D63" s="293" t="s">
        <v>11144</v>
      </c>
    </row>
    <row r="64" spans="1:4" ht="14.1" customHeight="1" x14ac:dyDescent="0.25">
      <c r="A64" s="292" t="s">
        <v>11137</v>
      </c>
      <c r="B64" s="293" t="s">
        <v>11138</v>
      </c>
      <c r="C64" s="292" t="s">
        <v>11145</v>
      </c>
      <c r="D64" s="293" t="s">
        <v>11146</v>
      </c>
    </row>
    <row r="65" spans="1:4" ht="14.1" customHeight="1" x14ac:dyDescent="0.25">
      <c r="A65" s="292" t="s">
        <v>11137</v>
      </c>
      <c r="B65" s="293" t="s">
        <v>11138</v>
      </c>
      <c r="C65" s="292" t="s">
        <v>11147</v>
      </c>
      <c r="D65" s="293" t="s">
        <v>11148</v>
      </c>
    </row>
    <row r="66" spans="1:4" ht="14.1" customHeight="1" x14ac:dyDescent="0.25">
      <c r="A66" s="292" t="s">
        <v>11137</v>
      </c>
      <c r="B66" s="293" t="s">
        <v>11138</v>
      </c>
      <c r="C66" s="292" t="s">
        <v>11149</v>
      </c>
      <c r="D66" s="293" t="s">
        <v>11150</v>
      </c>
    </row>
    <row r="67" spans="1:4" ht="14.1" customHeight="1" x14ac:dyDescent="0.25">
      <c r="A67" s="292" t="s">
        <v>11137</v>
      </c>
      <c r="B67" s="293" t="s">
        <v>11138</v>
      </c>
      <c r="C67" s="292" t="s">
        <v>11151</v>
      </c>
      <c r="D67" s="293" t="s">
        <v>11152</v>
      </c>
    </row>
    <row r="68" spans="1:4" ht="14.1" customHeight="1" x14ac:dyDescent="0.25">
      <c r="A68" s="292" t="s">
        <v>11137</v>
      </c>
      <c r="B68" s="293" t="s">
        <v>11138</v>
      </c>
      <c r="C68" s="292" t="s">
        <v>11153</v>
      </c>
      <c r="D68" s="293" t="s">
        <v>11154</v>
      </c>
    </row>
    <row r="69" spans="1:4" ht="14.1" customHeight="1" x14ac:dyDescent="0.25">
      <c r="A69" s="292" t="s">
        <v>11137</v>
      </c>
      <c r="B69" s="293" t="s">
        <v>11138</v>
      </c>
      <c r="C69" s="292" t="s">
        <v>11155</v>
      </c>
      <c r="D69" s="293" t="s">
        <v>11156</v>
      </c>
    </row>
    <row r="70" spans="1:4" ht="14.1" customHeight="1" x14ac:dyDescent="0.25">
      <c r="A70" s="292" t="s">
        <v>11137</v>
      </c>
      <c r="B70" s="293" t="s">
        <v>11138</v>
      </c>
      <c r="C70" s="292" t="s">
        <v>11157</v>
      </c>
      <c r="D70" s="293" t="s">
        <v>11158</v>
      </c>
    </row>
    <row r="71" spans="1:4" ht="14.1" customHeight="1" x14ac:dyDescent="0.25">
      <c r="A71" s="292" t="s">
        <v>11137</v>
      </c>
      <c r="B71" s="293" t="s">
        <v>11138</v>
      </c>
      <c r="C71" s="292" t="s">
        <v>11159</v>
      </c>
      <c r="D71" s="293" t="s">
        <v>11160</v>
      </c>
    </row>
    <row r="72" spans="1:4" ht="14.1" customHeight="1" x14ac:dyDescent="0.25">
      <c r="A72" s="292" t="s">
        <v>11137</v>
      </c>
      <c r="B72" s="293" t="s">
        <v>11138</v>
      </c>
      <c r="C72" s="292" t="s">
        <v>11161</v>
      </c>
      <c r="D72" s="293" t="s">
        <v>11162</v>
      </c>
    </row>
    <row r="73" spans="1:4" ht="14.1" customHeight="1" x14ac:dyDescent="0.25">
      <c r="A73" s="292" t="s">
        <v>11137</v>
      </c>
      <c r="B73" s="293" t="s">
        <v>11138</v>
      </c>
      <c r="C73" s="292" t="s">
        <v>11163</v>
      </c>
      <c r="D73" s="293" t="s">
        <v>11164</v>
      </c>
    </row>
    <row r="74" spans="1:4" ht="14.1" customHeight="1" x14ac:dyDescent="0.25">
      <c r="A74" s="292" t="s">
        <v>11137</v>
      </c>
      <c r="B74" s="293" t="s">
        <v>11138</v>
      </c>
      <c r="C74" s="292" t="s">
        <v>11165</v>
      </c>
      <c r="D74" s="293" t="s">
        <v>11166</v>
      </c>
    </row>
    <row r="75" spans="1:4" ht="14.1" customHeight="1" x14ac:dyDescent="0.25">
      <c r="A75" s="292" t="s">
        <v>11137</v>
      </c>
      <c r="B75" s="293" t="s">
        <v>11138</v>
      </c>
      <c r="C75" s="292" t="s">
        <v>11167</v>
      </c>
      <c r="D75" s="293" t="s">
        <v>11168</v>
      </c>
    </row>
    <row r="76" spans="1:4" ht="14.1" customHeight="1" x14ac:dyDescent="0.25">
      <c r="A76" s="292" t="s">
        <v>11137</v>
      </c>
      <c r="B76" s="293" t="s">
        <v>11138</v>
      </c>
      <c r="C76" s="292" t="s">
        <v>11169</v>
      </c>
      <c r="D76" s="293" t="s">
        <v>11170</v>
      </c>
    </row>
    <row r="77" spans="1:4" ht="14.1" customHeight="1" x14ac:dyDescent="0.25">
      <c r="A77" s="292" t="s">
        <v>11137</v>
      </c>
      <c r="B77" s="293" t="s">
        <v>11138</v>
      </c>
      <c r="C77" s="292" t="s">
        <v>11171</v>
      </c>
      <c r="D77" s="293" t="s">
        <v>11172</v>
      </c>
    </row>
    <row r="78" spans="1:4" ht="14.1" customHeight="1" x14ac:dyDescent="0.25">
      <c r="A78" s="292" t="s">
        <v>11137</v>
      </c>
      <c r="B78" s="293" t="s">
        <v>11138</v>
      </c>
      <c r="C78" s="292" t="s">
        <v>11173</v>
      </c>
      <c r="D78" s="293" t="s">
        <v>11174</v>
      </c>
    </row>
    <row r="79" spans="1:4" ht="14.1" customHeight="1" x14ac:dyDescent="0.25">
      <c r="A79" s="292" t="s">
        <v>11137</v>
      </c>
      <c r="B79" s="293" t="s">
        <v>11138</v>
      </c>
      <c r="C79" s="292" t="s">
        <v>11175</v>
      </c>
      <c r="D79" s="293" t="s">
        <v>11176</v>
      </c>
    </row>
    <row r="80" spans="1:4" ht="14.1" customHeight="1" x14ac:dyDescent="0.25">
      <c r="A80" s="292" t="s">
        <v>11137</v>
      </c>
      <c r="B80" s="293" t="s">
        <v>11138</v>
      </c>
      <c r="C80" s="292" t="s">
        <v>11177</v>
      </c>
      <c r="D80" s="293" t="s">
        <v>11178</v>
      </c>
    </row>
    <row r="81" spans="1:4" ht="14.1" customHeight="1" x14ac:dyDescent="0.25">
      <c r="A81" s="292" t="s">
        <v>11137</v>
      </c>
      <c r="B81" s="293" t="s">
        <v>11138</v>
      </c>
      <c r="C81" s="292" t="s">
        <v>11179</v>
      </c>
      <c r="D81" s="293" t="s">
        <v>11180</v>
      </c>
    </row>
    <row r="82" spans="1:4" ht="14.1" customHeight="1" x14ac:dyDescent="0.25">
      <c r="A82" s="292" t="s">
        <v>11137</v>
      </c>
      <c r="B82" s="293" t="s">
        <v>11138</v>
      </c>
      <c r="C82" s="292" t="s">
        <v>11181</v>
      </c>
      <c r="D82" s="293" t="s">
        <v>11182</v>
      </c>
    </row>
    <row r="83" spans="1:4" ht="14.1" customHeight="1" x14ac:dyDescent="0.25">
      <c r="A83" s="292" t="s">
        <v>11137</v>
      </c>
      <c r="B83" s="293" t="s">
        <v>11138</v>
      </c>
      <c r="C83" s="292" t="s">
        <v>11183</v>
      </c>
      <c r="D83" s="293" t="s">
        <v>11184</v>
      </c>
    </row>
    <row r="84" spans="1:4" ht="14.1" customHeight="1" x14ac:dyDescent="0.25">
      <c r="A84" s="292" t="s">
        <v>11137</v>
      </c>
      <c r="B84" s="293" t="s">
        <v>11138</v>
      </c>
      <c r="C84" s="292" t="s">
        <v>11185</v>
      </c>
      <c r="D84" s="293" t="s">
        <v>11186</v>
      </c>
    </row>
    <row r="85" spans="1:4" ht="14.1" customHeight="1" x14ac:dyDescent="0.25">
      <c r="A85" s="292" t="s">
        <v>11137</v>
      </c>
      <c r="B85" s="293" t="s">
        <v>11138</v>
      </c>
      <c r="C85" s="292" t="s">
        <v>11187</v>
      </c>
      <c r="D85" s="293" t="s">
        <v>11028</v>
      </c>
    </row>
    <row r="86" spans="1:4" ht="14.1" customHeight="1" x14ac:dyDescent="0.25">
      <c r="A86" s="292" t="s">
        <v>11137</v>
      </c>
      <c r="B86" s="293" t="s">
        <v>11138</v>
      </c>
      <c r="C86" s="292" t="s">
        <v>11188</v>
      </c>
      <c r="D86" s="293" t="s">
        <v>11189</v>
      </c>
    </row>
    <row r="87" spans="1:4" ht="14.1" customHeight="1" x14ac:dyDescent="0.25">
      <c r="A87" s="292" t="s">
        <v>11137</v>
      </c>
      <c r="B87" s="293" t="s">
        <v>11138</v>
      </c>
      <c r="C87" s="292" t="s">
        <v>11190</v>
      </c>
      <c r="D87" s="293" t="s">
        <v>11191</v>
      </c>
    </row>
    <row r="88" spans="1:4" ht="14.1" customHeight="1" x14ac:dyDescent="0.25">
      <c r="A88" s="292" t="s">
        <v>11137</v>
      </c>
      <c r="B88" s="293" t="s">
        <v>11138</v>
      </c>
      <c r="C88" s="292" t="s">
        <v>11192</v>
      </c>
      <c r="D88" s="293" t="s">
        <v>11193</v>
      </c>
    </row>
    <row r="89" spans="1:4" ht="14.1" customHeight="1" x14ac:dyDescent="0.25">
      <c r="A89" s="292" t="s">
        <v>11137</v>
      </c>
      <c r="B89" s="293" t="s">
        <v>11138</v>
      </c>
      <c r="C89" s="292" t="s">
        <v>11194</v>
      </c>
      <c r="D89" s="293" t="s">
        <v>11195</v>
      </c>
    </row>
    <row r="90" spans="1:4" ht="14.1" customHeight="1" x14ac:dyDescent="0.25">
      <c r="A90" s="292" t="s">
        <v>11137</v>
      </c>
      <c r="B90" s="293" t="s">
        <v>11138</v>
      </c>
      <c r="C90" s="292" t="s">
        <v>11196</v>
      </c>
      <c r="D90" s="293" t="s">
        <v>11197</v>
      </c>
    </row>
    <row r="91" spans="1:4" ht="14.1" customHeight="1" x14ac:dyDescent="0.25">
      <c r="A91" s="292" t="s">
        <v>11137</v>
      </c>
      <c r="B91" s="293" t="s">
        <v>11138</v>
      </c>
      <c r="C91" s="292" t="s">
        <v>11198</v>
      </c>
      <c r="D91" s="293" t="s">
        <v>11199</v>
      </c>
    </row>
    <row r="92" spans="1:4" ht="14.1" customHeight="1" x14ac:dyDescent="0.25">
      <c r="A92" s="292" t="s">
        <v>11137</v>
      </c>
      <c r="B92" s="293" t="s">
        <v>11138</v>
      </c>
      <c r="C92" s="292" t="s">
        <v>11200</v>
      </c>
      <c r="D92" s="293" t="s">
        <v>11201</v>
      </c>
    </row>
    <row r="93" spans="1:4" ht="14.1" customHeight="1" x14ac:dyDescent="0.25">
      <c r="A93" s="292" t="s">
        <v>11137</v>
      </c>
      <c r="B93" s="293" t="s">
        <v>11138</v>
      </c>
      <c r="C93" s="292" t="s">
        <v>11202</v>
      </c>
      <c r="D93" s="293" t="s">
        <v>11203</v>
      </c>
    </row>
    <row r="94" spans="1:4" ht="14.1" customHeight="1" x14ac:dyDescent="0.25">
      <c r="A94" s="292" t="s">
        <v>11137</v>
      </c>
      <c r="B94" s="293" t="s">
        <v>11138</v>
      </c>
      <c r="C94" s="292" t="s">
        <v>11204</v>
      </c>
      <c r="D94" s="293" t="s">
        <v>11205</v>
      </c>
    </row>
    <row r="95" spans="1:4" ht="14.1" customHeight="1" x14ac:dyDescent="0.25">
      <c r="A95" s="292" t="s">
        <v>11137</v>
      </c>
      <c r="B95" s="293" t="s">
        <v>11138</v>
      </c>
      <c r="C95" s="292" t="s">
        <v>11206</v>
      </c>
      <c r="D95" s="293" t="s">
        <v>11207</v>
      </c>
    </row>
    <row r="96" spans="1:4" ht="14.1" customHeight="1" x14ac:dyDescent="0.25">
      <c r="A96" s="292" t="s">
        <v>11137</v>
      </c>
      <c r="B96" s="293" t="s">
        <v>11138</v>
      </c>
      <c r="C96" s="292" t="s">
        <v>11208</v>
      </c>
      <c r="D96" s="293" t="s">
        <v>11209</v>
      </c>
    </row>
    <row r="97" spans="1:4" ht="14.1" customHeight="1" x14ac:dyDescent="0.25">
      <c r="A97" s="292" t="s">
        <v>11137</v>
      </c>
      <c r="B97" s="293" t="s">
        <v>11138</v>
      </c>
      <c r="C97" s="292" t="s">
        <v>11210</v>
      </c>
      <c r="D97" s="293" t="s">
        <v>11211</v>
      </c>
    </row>
    <row r="98" spans="1:4" ht="14.1" customHeight="1" x14ac:dyDescent="0.25">
      <c r="A98" s="292" t="s">
        <v>11137</v>
      </c>
      <c r="B98" s="293" t="s">
        <v>11138</v>
      </c>
      <c r="C98" s="292" t="s">
        <v>11212</v>
      </c>
      <c r="D98" s="293" t="s">
        <v>11213</v>
      </c>
    </row>
    <row r="99" spans="1:4" ht="14.1" customHeight="1" x14ac:dyDescent="0.25">
      <c r="A99" s="292" t="s">
        <v>11137</v>
      </c>
      <c r="B99" s="293" t="s">
        <v>11138</v>
      </c>
      <c r="C99" s="292" t="s">
        <v>11214</v>
      </c>
      <c r="D99" s="293" t="s">
        <v>11215</v>
      </c>
    </row>
    <row r="100" spans="1:4" ht="14.1" customHeight="1" x14ac:dyDescent="0.25">
      <c r="A100" s="331" t="s">
        <v>11137</v>
      </c>
      <c r="B100" s="293" t="s">
        <v>11138</v>
      </c>
      <c r="C100" s="292" t="s">
        <v>11216</v>
      </c>
      <c r="D100" s="339" t="s">
        <v>13551</v>
      </c>
    </row>
    <row r="101" spans="1:4" ht="14.1" customHeight="1" x14ac:dyDescent="0.25">
      <c r="A101" s="292" t="s">
        <v>11137</v>
      </c>
      <c r="B101" s="293" t="s">
        <v>11138</v>
      </c>
      <c r="C101" s="292" t="s">
        <v>11218</v>
      </c>
      <c r="D101" s="293" t="s">
        <v>11219</v>
      </c>
    </row>
    <row r="102" spans="1:4" ht="14.1" customHeight="1" x14ac:dyDescent="0.25">
      <c r="A102" s="292" t="s">
        <v>11137</v>
      </c>
      <c r="B102" s="293" t="s">
        <v>11138</v>
      </c>
      <c r="C102" s="292" t="s">
        <v>11220</v>
      </c>
      <c r="D102" s="293" t="s">
        <v>11221</v>
      </c>
    </row>
    <row r="103" spans="1:4" ht="14.1" customHeight="1" x14ac:dyDescent="0.25">
      <c r="A103" s="292" t="s">
        <v>11137</v>
      </c>
      <c r="B103" s="293" t="s">
        <v>11138</v>
      </c>
      <c r="C103" s="292" t="s">
        <v>11222</v>
      </c>
      <c r="D103" s="293" t="s">
        <v>11223</v>
      </c>
    </row>
    <row r="104" spans="1:4" ht="14.1" customHeight="1" x14ac:dyDescent="0.25">
      <c r="A104" s="292" t="s">
        <v>11137</v>
      </c>
      <c r="B104" s="293" t="s">
        <v>11138</v>
      </c>
      <c r="C104" s="292" t="s">
        <v>11224</v>
      </c>
      <c r="D104" s="293" t="s">
        <v>11225</v>
      </c>
    </row>
    <row r="105" spans="1:4" ht="14.1" customHeight="1" x14ac:dyDescent="0.25">
      <c r="A105" s="292" t="s">
        <v>11137</v>
      </c>
      <c r="B105" s="293" t="s">
        <v>11138</v>
      </c>
      <c r="C105" s="292" t="s">
        <v>11226</v>
      </c>
      <c r="D105" s="293" t="s">
        <v>11227</v>
      </c>
    </row>
    <row r="106" spans="1:4" ht="14.1" customHeight="1" x14ac:dyDescent="0.25">
      <c r="A106" s="292" t="s">
        <v>11137</v>
      </c>
      <c r="B106" s="293" t="s">
        <v>11138</v>
      </c>
      <c r="C106" s="292" t="s">
        <v>11228</v>
      </c>
      <c r="D106" s="293" t="s">
        <v>11229</v>
      </c>
    </row>
    <row r="107" spans="1:4" ht="14.1" customHeight="1" x14ac:dyDescent="0.25">
      <c r="A107" s="292" t="s">
        <v>11137</v>
      </c>
      <c r="B107" s="293" t="s">
        <v>11138</v>
      </c>
      <c r="C107" s="292" t="s">
        <v>11230</v>
      </c>
      <c r="D107" s="293" t="s">
        <v>11231</v>
      </c>
    </row>
    <row r="108" spans="1:4" ht="14.1" customHeight="1" x14ac:dyDescent="0.25">
      <c r="A108" s="292" t="s">
        <v>11137</v>
      </c>
      <c r="B108" s="293" t="s">
        <v>11138</v>
      </c>
      <c r="C108" s="292" t="s">
        <v>11232</v>
      </c>
      <c r="D108" s="293" t="s">
        <v>11233</v>
      </c>
    </row>
    <row r="109" spans="1:4" ht="14.1" customHeight="1" x14ac:dyDescent="0.25">
      <c r="A109" s="292" t="s">
        <v>11137</v>
      </c>
      <c r="B109" s="293" t="s">
        <v>11138</v>
      </c>
      <c r="C109" s="292" t="s">
        <v>11234</v>
      </c>
      <c r="D109" s="293" t="s">
        <v>11235</v>
      </c>
    </row>
    <row r="110" spans="1:4" ht="14.1" customHeight="1" x14ac:dyDescent="0.25">
      <c r="A110" s="292" t="s">
        <v>11137</v>
      </c>
      <c r="B110" s="293" t="s">
        <v>11138</v>
      </c>
      <c r="C110" s="292" t="s">
        <v>11236</v>
      </c>
      <c r="D110" s="293" t="s">
        <v>11237</v>
      </c>
    </row>
    <row r="111" spans="1:4" ht="14.1" customHeight="1" x14ac:dyDescent="0.25">
      <c r="A111" s="292" t="s">
        <v>11137</v>
      </c>
      <c r="B111" s="293" t="s">
        <v>11138</v>
      </c>
      <c r="C111" s="292" t="s">
        <v>11238</v>
      </c>
      <c r="D111" s="293" t="s">
        <v>11239</v>
      </c>
    </row>
    <row r="112" spans="1:4" ht="14.1" customHeight="1" x14ac:dyDescent="0.25">
      <c r="A112" s="292" t="s">
        <v>11137</v>
      </c>
      <c r="B112" s="293" t="s">
        <v>11138</v>
      </c>
      <c r="C112" s="292" t="s">
        <v>11240</v>
      </c>
      <c r="D112" s="293" t="s">
        <v>11241</v>
      </c>
    </row>
    <row r="113" spans="1:4" ht="14.1" customHeight="1" x14ac:dyDescent="0.25">
      <c r="A113" s="292" t="s">
        <v>11137</v>
      </c>
      <c r="B113" s="293" t="s">
        <v>11138</v>
      </c>
      <c r="C113" s="292" t="s">
        <v>11242</v>
      </c>
      <c r="D113" s="293" t="s">
        <v>11243</v>
      </c>
    </row>
    <row r="114" spans="1:4" ht="14.1" customHeight="1" x14ac:dyDescent="0.25">
      <c r="A114" s="292" t="s">
        <v>11137</v>
      </c>
      <c r="B114" s="293" t="s">
        <v>11138</v>
      </c>
      <c r="C114" s="292" t="s">
        <v>11244</v>
      </c>
      <c r="D114" s="293" t="s">
        <v>11245</v>
      </c>
    </row>
    <row r="115" spans="1:4" ht="14.1" customHeight="1" x14ac:dyDescent="0.25">
      <c r="A115" s="292" t="s">
        <v>11137</v>
      </c>
      <c r="B115" s="293" t="s">
        <v>11138</v>
      </c>
      <c r="C115" s="292" t="s">
        <v>11246</v>
      </c>
      <c r="D115" s="293" t="s">
        <v>11247</v>
      </c>
    </row>
    <row r="116" spans="1:4" ht="14.1" customHeight="1" x14ac:dyDescent="0.25">
      <c r="A116" s="292" t="s">
        <v>11137</v>
      </c>
      <c r="B116" s="293" t="s">
        <v>11138</v>
      </c>
      <c r="C116" s="292" t="s">
        <v>11248</v>
      </c>
      <c r="D116" s="293" t="s">
        <v>11249</v>
      </c>
    </row>
    <row r="117" spans="1:4" ht="14.1" customHeight="1" x14ac:dyDescent="0.25">
      <c r="A117" s="292" t="s">
        <v>11250</v>
      </c>
      <c r="B117" s="293" t="s">
        <v>11251</v>
      </c>
      <c r="C117" s="292" t="s">
        <v>11252</v>
      </c>
      <c r="D117" s="293" t="s">
        <v>11253</v>
      </c>
    </row>
    <row r="118" spans="1:4" ht="14.1" customHeight="1" x14ac:dyDescent="0.25">
      <c r="A118" s="292" t="s">
        <v>11250</v>
      </c>
      <c r="B118" s="293" t="s">
        <v>11251</v>
      </c>
      <c r="C118" s="292" t="s">
        <v>11254</v>
      </c>
      <c r="D118" s="293" t="s">
        <v>11255</v>
      </c>
    </row>
    <row r="119" spans="1:4" ht="14.1" customHeight="1" x14ac:dyDescent="0.25">
      <c r="A119" s="292" t="s">
        <v>11250</v>
      </c>
      <c r="B119" s="293" t="s">
        <v>11251</v>
      </c>
      <c r="C119" s="292" t="s">
        <v>11256</v>
      </c>
      <c r="D119" s="293" t="s">
        <v>11257</v>
      </c>
    </row>
    <row r="120" spans="1:4" ht="14.1" customHeight="1" x14ac:dyDescent="0.25">
      <c r="A120" s="292" t="s">
        <v>11250</v>
      </c>
      <c r="B120" s="293" t="s">
        <v>11251</v>
      </c>
      <c r="C120" s="292" t="s">
        <v>11258</v>
      </c>
      <c r="D120" s="293" t="s">
        <v>11259</v>
      </c>
    </row>
    <row r="121" spans="1:4" ht="14.1" customHeight="1" x14ac:dyDescent="0.25">
      <c r="A121" s="292" t="s">
        <v>11250</v>
      </c>
      <c r="B121" s="293" t="s">
        <v>11251</v>
      </c>
      <c r="C121" s="292" t="s">
        <v>11260</v>
      </c>
      <c r="D121" s="293" t="s">
        <v>11261</v>
      </c>
    </row>
    <row r="122" spans="1:4" ht="14.1" customHeight="1" x14ac:dyDescent="0.25">
      <c r="A122" s="292" t="s">
        <v>11250</v>
      </c>
      <c r="B122" s="293" t="s">
        <v>11251</v>
      </c>
      <c r="C122" s="292" t="s">
        <v>11262</v>
      </c>
      <c r="D122" s="293" t="s">
        <v>11263</v>
      </c>
    </row>
    <row r="123" spans="1:4" ht="14.1" customHeight="1" x14ac:dyDescent="0.25">
      <c r="A123" s="292" t="s">
        <v>11250</v>
      </c>
      <c r="B123" s="293" t="s">
        <v>11251</v>
      </c>
      <c r="C123" s="292" t="s">
        <v>11264</v>
      </c>
      <c r="D123" s="293" t="s">
        <v>11265</v>
      </c>
    </row>
    <row r="124" spans="1:4" ht="14.1" customHeight="1" x14ac:dyDescent="0.25">
      <c r="A124" s="292" t="s">
        <v>11250</v>
      </c>
      <c r="B124" s="293" t="s">
        <v>11251</v>
      </c>
      <c r="C124" s="292" t="s">
        <v>11266</v>
      </c>
      <c r="D124" s="293" t="s">
        <v>11267</v>
      </c>
    </row>
    <row r="125" spans="1:4" ht="14.1" customHeight="1" x14ac:dyDescent="0.25">
      <c r="A125" s="292" t="s">
        <v>11250</v>
      </c>
      <c r="B125" s="293" t="s">
        <v>11251</v>
      </c>
      <c r="C125" s="292" t="s">
        <v>11268</v>
      </c>
      <c r="D125" s="293" t="s">
        <v>11269</v>
      </c>
    </row>
    <row r="126" spans="1:4" ht="14.1" customHeight="1" x14ac:dyDescent="0.25">
      <c r="A126" s="292" t="s">
        <v>11250</v>
      </c>
      <c r="B126" s="293" t="s">
        <v>11251</v>
      </c>
      <c r="C126" s="292" t="s">
        <v>11270</v>
      </c>
      <c r="D126" s="293" t="s">
        <v>11271</v>
      </c>
    </row>
    <row r="127" spans="1:4" ht="14.1" customHeight="1" x14ac:dyDescent="0.25">
      <c r="A127" s="292" t="s">
        <v>11250</v>
      </c>
      <c r="B127" s="293" t="s">
        <v>11251</v>
      </c>
      <c r="C127" s="292" t="s">
        <v>11272</v>
      </c>
      <c r="D127" s="293" t="s">
        <v>11273</v>
      </c>
    </row>
    <row r="128" spans="1:4" ht="14.1" customHeight="1" x14ac:dyDescent="0.25">
      <c r="A128" s="292" t="s">
        <v>11250</v>
      </c>
      <c r="B128" s="293" t="s">
        <v>11251</v>
      </c>
      <c r="C128" s="292" t="s">
        <v>11274</v>
      </c>
      <c r="D128" s="293" t="s">
        <v>11275</v>
      </c>
    </row>
    <row r="129" spans="1:4" ht="14.1" customHeight="1" x14ac:dyDescent="0.25">
      <c r="A129" s="292" t="s">
        <v>11250</v>
      </c>
      <c r="B129" s="293" t="s">
        <v>11251</v>
      </c>
      <c r="C129" s="292" t="s">
        <v>11276</v>
      </c>
      <c r="D129" s="293" t="s">
        <v>11277</v>
      </c>
    </row>
    <row r="130" spans="1:4" ht="14.1" customHeight="1" x14ac:dyDescent="0.25">
      <c r="A130" s="292" t="s">
        <v>11250</v>
      </c>
      <c r="B130" s="293" t="s">
        <v>11251</v>
      </c>
      <c r="C130" s="292" t="s">
        <v>11278</v>
      </c>
      <c r="D130" s="293" t="s">
        <v>11279</v>
      </c>
    </row>
    <row r="131" spans="1:4" ht="14.1" customHeight="1" x14ac:dyDescent="0.25">
      <c r="A131" s="292" t="s">
        <v>11250</v>
      </c>
      <c r="B131" s="293" t="s">
        <v>11251</v>
      </c>
      <c r="C131" s="292" t="s">
        <v>11280</v>
      </c>
      <c r="D131" s="293" t="s">
        <v>13360</v>
      </c>
    </row>
    <row r="132" spans="1:4" ht="14.1" customHeight="1" x14ac:dyDescent="0.25">
      <c r="A132" s="292" t="s">
        <v>11250</v>
      </c>
      <c r="B132" s="293" t="s">
        <v>11251</v>
      </c>
      <c r="C132" s="292" t="s">
        <v>11281</v>
      </c>
      <c r="D132" s="293" t="s">
        <v>11282</v>
      </c>
    </row>
    <row r="133" spans="1:4" ht="14.1" customHeight="1" x14ac:dyDescent="0.25">
      <c r="A133" s="292" t="s">
        <v>11250</v>
      </c>
      <c r="B133" s="293" t="s">
        <v>11251</v>
      </c>
      <c r="C133" s="292" t="s">
        <v>11283</v>
      </c>
      <c r="D133" s="293" t="s">
        <v>11284</v>
      </c>
    </row>
    <row r="134" spans="1:4" ht="14.1" customHeight="1" x14ac:dyDescent="0.25">
      <c r="A134" s="292" t="s">
        <v>11250</v>
      </c>
      <c r="B134" s="293" t="s">
        <v>11251</v>
      </c>
      <c r="C134" s="292" t="s">
        <v>11285</v>
      </c>
      <c r="D134" s="293" t="s">
        <v>11286</v>
      </c>
    </row>
    <row r="135" spans="1:4" ht="14.1" customHeight="1" x14ac:dyDescent="0.25">
      <c r="A135" s="292" t="s">
        <v>11250</v>
      </c>
      <c r="B135" s="293" t="s">
        <v>11251</v>
      </c>
      <c r="C135" s="292" t="s">
        <v>11287</v>
      </c>
      <c r="D135" s="293" t="s">
        <v>11288</v>
      </c>
    </row>
    <row r="136" spans="1:4" ht="14.1" customHeight="1" x14ac:dyDescent="0.25">
      <c r="A136" s="292" t="s">
        <v>11250</v>
      </c>
      <c r="B136" s="293" t="s">
        <v>11251</v>
      </c>
      <c r="C136" s="292" t="s">
        <v>11289</v>
      </c>
      <c r="D136" s="293" t="s">
        <v>11290</v>
      </c>
    </row>
    <row r="137" spans="1:4" ht="14.1" customHeight="1" x14ac:dyDescent="0.25">
      <c r="A137" s="292" t="s">
        <v>11250</v>
      </c>
      <c r="B137" s="293" t="s">
        <v>11251</v>
      </c>
      <c r="C137" s="292" t="s">
        <v>10963</v>
      </c>
      <c r="D137" s="293" t="s">
        <v>11291</v>
      </c>
    </row>
    <row r="138" spans="1:4" ht="14.1" customHeight="1" x14ac:dyDescent="0.25">
      <c r="A138" s="292" t="s">
        <v>11250</v>
      </c>
      <c r="B138" s="293" t="s">
        <v>11251</v>
      </c>
      <c r="C138" s="292" t="s">
        <v>11292</v>
      </c>
      <c r="D138" s="293" t="s">
        <v>11293</v>
      </c>
    </row>
    <row r="139" spans="1:4" ht="14.1" customHeight="1" x14ac:dyDescent="0.25">
      <c r="A139" s="292" t="s">
        <v>11250</v>
      </c>
      <c r="B139" s="293" t="s">
        <v>11251</v>
      </c>
      <c r="C139" s="292" t="s">
        <v>11294</v>
      </c>
      <c r="D139" s="293" t="s">
        <v>11295</v>
      </c>
    </row>
    <row r="140" spans="1:4" ht="14.1" customHeight="1" x14ac:dyDescent="0.25">
      <c r="A140" s="292" t="s">
        <v>11250</v>
      </c>
      <c r="B140" s="293" t="s">
        <v>11251</v>
      </c>
      <c r="C140" s="292" t="s">
        <v>11296</v>
      </c>
      <c r="D140" s="293" t="s">
        <v>11297</v>
      </c>
    </row>
    <row r="141" spans="1:4" ht="14.1" customHeight="1" x14ac:dyDescent="0.25">
      <c r="A141" s="292" t="s">
        <v>11250</v>
      </c>
      <c r="B141" s="293" t="s">
        <v>11251</v>
      </c>
      <c r="C141" s="292" t="s">
        <v>11298</v>
      </c>
      <c r="D141" s="293" t="s">
        <v>11299</v>
      </c>
    </row>
    <row r="142" spans="1:4" ht="14.1" customHeight="1" x14ac:dyDescent="0.25">
      <c r="A142" s="292" t="s">
        <v>11250</v>
      </c>
      <c r="B142" s="293" t="s">
        <v>11251</v>
      </c>
      <c r="C142" s="292" t="s">
        <v>11300</v>
      </c>
      <c r="D142" s="293" t="s">
        <v>11301</v>
      </c>
    </row>
    <row r="143" spans="1:4" ht="14.1" customHeight="1" x14ac:dyDescent="0.25">
      <c r="A143" s="292" t="s">
        <v>11250</v>
      </c>
      <c r="B143" s="293" t="s">
        <v>11251</v>
      </c>
      <c r="C143" s="292" t="s">
        <v>11302</v>
      </c>
      <c r="D143" s="293" t="s">
        <v>11303</v>
      </c>
    </row>
    <row r="144" spans="1:4" ht="14.1" customHeight="1" x14ac:dyDescent="0.25">
      <c r="A144" s="292" t="s">
        <v>11250</v>
      </c>
      <c r="B144" s="293" t="s">
        <v>11251</v>
      </c>
      <c r="C144" s="292" t="s">
        <v>11304</v>
      </c>
      <c r="D144" s="293" t="s">
        <v>11305</v>
      </c>
    </row>
    <row r="145" spans="1:4" ht="14.1" customHeight="1" x14ac:dyDescent="0.25">
      <c r="A145" s="292" t="s">
        <v>936</v>
      </c>
      <c r="B145" s="293" t="s">
        <v>11306</v>
      </c>
      <c r="C145" s="292" t="s">
        <v>11307</v>
      </c>
      <c r="D145" s="293" t="s">
        <v>11308</v>
      </c>
    </row>
    <row r="146" spans="1:4" ht="14.1" customHeight="1" x14ac:dyDescent="0.25">
      <c r="A146" s="292" t="s">
        <v>936</v>
      </c>
      <c r="B146" s="293" t="s">
        <v>11306</v>
      </c>
      <c r="C146" s="292" t="s">
        <v>11309</v>
      </c>
      <c r="D146" s="293" t="s">
        <v>11310</v>
      </c>
    </row>
    <row r="147" spans="1:4" ht="14.1" customHeight="1" x14ac:dyDescent="0.25">
      <c r="A147" s="292" t="s">
        <v>936</v>
      </c>
      <c r="B147" s="293" t="s">
        <v>11306</v>
      </c>
      <c r="C147" s="292" t="s">
        <v>11311</v>
      </c>
      <c r="D147" s="293" t="s">
        <v>11312</v>
      </c>
    </row>
    <row r="148" spans="1:4" ht="14.1" customHeight="1" x14ac:dyDescent="0.25">
      <c r="A148" s="292" t="s">
        <v>936</v>
      </c>
      <c r="B148" s="293" t="s">
        <v>11306</v>
      </c>
      <c r="C148" s="292" t="s">
        <v>11313</v>
      </c>
      <c r="D148" s="293" t="s">
        <v>11314</v>
      </c>
    </row>
    <row r="149" spans="1:4" ht="14.1" customHeight="1" x14ac:dyDescent="0.25">
      <c r="A149" s="292" t="s">
        <v>936</v>
      </c>
      <c r="B149" s="293" t="s">
        <v>11306</v>
      </c>
      <c r="C149" s="292" t="s">
        <v>11315</v>
      </c>
      <c r="D149" s="293" t="s">
        <v>11316</v>
      </c>
    </row>
    <row r="150" spans="1:4" ht="14.1" customHeight="1" x14ac:dyDescent="0.25">
      <c r="A150" s="292" t="s">
        <v>936</v>
      </c>
      <c r="B150" s="293" t="s">
        <v>11306</v>
      </c>
      <c r="C150" s="292" t="s">
        <v>11317</v>
      </c>
      <c r="D150" s="293" t="s">
        <v>11318</v>
      </c>
    </row>
    <row r="151" spans="1:4" ht="14.1" customHeight="1" x14ac:dyDescent="0.25">
      <c r="A151" s="292" t="s">
        <v>936</v>
      </c>
      <c r="B151" s="293" t="s">
        <v>11306</v>
      </c>
      <c r="C151" s="292" t="s">
        <v>11319</v>
      </c>
      <c r="D151" s="293" t="s">
        <v>11320</v>
      </c>
    </row>
    <row r="152" spans="1:4" ht="14.1" customHeight="1" x14ac:dyDescent="0.25">
      <c r="A152" s="292" t="s">
        <v>936</v>
      </c>
      <c r="B152" s="293" t="s">
        <v>11306</v>
      </c>
      <c r="C152" s="292" t="s">
        <v>11321</v>
      </c>
      <c r="D152" s="293" t="s">
        <v>11239</v>
      </c>
    </row>
    <row r="153" spans="1:4" ht="14.1" customHeight="1" x14ac:dyDescent="0.25">
      <c r="A153" s="292" t="s">
        <v>11322</v>
      </c>
      <c r="B153" s="293" t="s">
        <v>11323</v>
      </c>
      <c r="C153" s="292" t="s">
        <v>11324</v>
      </c>
      <c r="D153" s="293" t="s">
        <v>11325</v>
      </c>
    </row>
    <row r="154" spans="1:4" ht="14.1" customHeight="1" x14ac:dyDescent="0.25">
      <c r="A154" s="292" t="s">
        <v>11322</v>
      </c>
      <c r="B154" s="293" t="s">
        <v>11323</v>
      </c>
      <c r="C154" s="292" t="s">
        <v>11326</v>
      </c>
      <c r="D154" s="293" t="s">
        <v>11327</v>
      </c>
    </row>
    <row r="155" spans="1:4" ht="14.1" customHeight="1" x14ac:dyDescent="0.25">
      <c r="A155" s="292" t="s">
        <v>11322</v>
      </c>
      <c r="B155" s="293" t="s">
        <v>11323</v>
      </c>
      <c r="C155" s="292" t="s">
        <v>11328</v>
      </c>
      <c r="D155" s="293" t="s">
        <v>11329</v>
      </c>
    </row>
    <row r="156" spans="1:4" ht="14.1" customHeight="1" x14ac:dyDescent="0.25">
      <c r="A156" s="292" t="s">
        <v>11322</v>
      </c>
      <c r="B156" s="293" t="s">
        <v>11323</v>
      </c>
      <c r="C156" s="292" t="s">
        <v>11330</v>
      </c>
      <c r="D156" s="293" t="s">
        <v>11331</v>
      </c>
    </row>
    <row r="157" spans="1:4" ht="14.1" customHeight="1" x14ac:dyDescent="0.25">
      <c r="A157" s="292" t="s">
        <v>11322</v>
      </c>
      <c r="B157" s="293" t="s">
        <v>11323</v>
      </c>
      <c r="C157" s="292" t="s">
        <v>11332</v>
      </c>
      <c r="D157" s="293" t="s">
        <v>11333</v>
      </c>
    </row>
    <row r="158" spans="1:4" ht="14.1" customHeight="1" x14ac:dyDescent="0.25">
      <c r="A158" s="292" t="s">
        <v>11322</v>
      </c>
      <c r="B158" s="293" t="s">
        <v>11323</v>
      </c>
      <c r="C158" s="292" t="s">
        <v>11334</v>
      </c>
      <c r="D158" s="293" t="s">
        <v>11335</v>
      </c>
    </row>
    <row r="159" spans="1:4" ht="14.1" customHeight="1" x14ac:dyDescent="0.25">
      <c r="A159" s="292" t="s">
        <v>11322</v>
      </c>
      <c r="B159" s="293" t="s">
        <v>11323</v>
      </c>
      <c r="C159" s="292" t="s">
        <v>11336</v>
      </c>
      <c r="D159" s="293" t="s">
        <v>11337</v>
      </c>
    </row>
    <row r="160" spans="1:4" ht="14.1" customHeight="1" x14ac:dyDescent="0.25">
      <c r="A160" s="292" t="s">
        <v>11338</v>
      </c>
      <c r="B160" s="293" t="s">
        <v>11339</v>
      </c>
      <c r="C160" s="292" t="s">
        <v>11340</v>
      </c>
      <c r="D160" s="293" t="s">
        <v>11341</v>
      </c>
    </row>
    <row r="161" spans="1:4" ht="14.1" customHeight="1" x14ac:dyDescent="0.25">
      <c r="A161" s="292" t="s">
        <v>11338</v>
      </c>
      <c r="B161" s="293" t="s">
        <v>11339</v>
      </c>
      <c r="C161" s="292" t="s">
        <v>11342</v>
      </c>
      <c r="D161" s="293" t="s">
        <v>11343</v>
      </c>
    </row>
    <row r="162" spans="1:4" ht="14.1" customHeight="1" x14ac:dyDescent="0.25">
      <c r="A162" s="292" t="s">
        <v>11338</v>
      </c>
      <c r="B162" s="293" t="s">
        <v>11339</v>
      </c>
      <c r="C162" s="292" t="s">
        <v>11344</v>
      </c>
      <c r="D162" s="293" t="s">
        <v>11345</v>
      </c>
    </row>
    <row r="163" spans="1:4" ht="14.1" customHeight="1" x14ac:dyDescent="0.25">
      <c r="A163" s="292" t="s">
        <v>11338</v>
      </c>
      <c r="B163" s="293" t="s">
        <v>11339</v>
      </c>
      <c r="C163" s="292" t="s">
        <v>11346</v>
      </c>
      <c r="D163" s="293" t="s">
        <v>11347</v>
      </c>
    </row>
    <row r="164" spans="1:4" ht="14.1" customHeight="1" x14ac:dyDescent="0.25">
      <c r="A164" s="292" t="s">
        <v>11338</v>
      </c>
      <c r="B164" s="293" t="s">
        <v>11339</v>
      </c>
      <c r="C164" s="292" t="s">
        <v>11348</v>
      </c>
      <c r="D164" s="293" t="s">
        <v>11349</v>
      </c>
    </row>
    <row r="165" spans="1:4" ht="14.1" customHeight="1" x14ac:dyDescent="0.25">
      <c r="A165" s="292" t="s">
        <v>11338</v>
      </c>
      <c r="B165" s="293" t="s">
        <v>11339</v>
      </c>
      <c r="C165" s="292" t="s">
        <v>11350</v>
      </c>
      <c r="D165" s="293" t="s">
        <v>11351</v>
      </c>
    </row>
    <row r="166" spans="1:4" ht="14.1" customHeight="1" x14ac:dyDescent="0.25">
      <c r="A166" s="292" t="s">
        <v>969</v>
      </c>
      <c r="B166" s="293" t="s">
        <v>11352</v>
      </c>
      <c r="C166" s="292" t="s">
        <v>11353</v>
      </c>
      <c r="D166" s="293" t="s">
        <v>11354</v>
      </c>
    </row>
    <row r="167" spans="1:4" ht="14.1" customHeight="1" x14ac:dyDescent="0.25">
      <c r="A167" s="292" t="s">
        <v>969</v>
      </c>
      <c r="B167" s="293" t="s">
        <v>11352</v>
      </c>
      <c r="C167" s="292" t="s">
        <v>11355</v>
      </c>
      <c r="D167" s="293" t="s">
        <v>11356</v>
      </c>
    </row>
    <row r="168" spans="1:4" ht="14.1" customHeight="1" x14ac:dyDescent="0.25">
      <c r="A168" s="292" t="s">
        <v>969</v>
      </c>
      <c r="B168" s="293" t="s">
        <v>11352</v>
      </c>
      <c r="C168" s="292" t="s">
        <v>11357</v>
      </c>
      <c r="D168" s="293" t="s">
        <v>11358</v>
      </c>
    </row>
    <row r="169" spans="1:4" ht="14.1" customHeight="1" x14ac:dyDescent="0.25">
      <c r="A169" s="292" t="s">
        <v>969</v>
      </c>
      <c r="B169" s="293" t="s">
        <v>11352</v>
      </c>
      <c r="C169" s="292" t="s">
        <v>11359</v>
      </c>
      <c r="D169" s="293" t="s">
        <v>11360</v>
      </c>
    </row>
    <row r="170" spans="1:4" ht="14.1" customHeight="1" x14ac:dyDescent="0.25">
      <c r="A170" s="292" t="s">
        <v>969</v>
      </c>
      <c r="B170" s="293" t="s">
        <v>11352</v>
      </c>
      <c r="C170" s="292" t="s">
        <v>13346</v>
      </c>
      <c r="D170" s="293" t="s">
        <v>13347</v>
      </c>
    </row>
    <row r="171" spans="1:4" ht="14.1" customHeight="1" x14ac:dyDescent="0.25">
      <c r="A171" s="292" t="s">
        <v>969</v>
      </c>
      <c r="B171" s="293" t="s">
        <v>11352</v>
      </c>
      <c r="C171" s="292" t="s">
        <v>11361</v>
      </c>
      <c r="D171" s="293" t="s">
        <v>11362</v>
      </c>
    </row>
    <row r="172" spans="1:4" ht="14.1" customHeight="1" x14ac:dyDescent="0.25">
      <c r="A172" s="292" t="s">
        <v>11363</v>
      </c>
      <c r="B172" s="293" t="s">
        <v>11364</v>
      </c>
      <c r="C172" s="292" t="s">
        <v>11365</v>
      </c>
      <c r="D172" s="293" t="s">
        <v>11366</v>
      </c>
    </row>
    <row r="173" spans="1:4" ht="14.1" customHeight="1" x14ac:dyDescent="0.25">
      <c r="A173" s="292" t="s">
        <v>11363</v>
      </c>
      <c r="B173" s="293" t="s">
        <v>11364</v>
      </c>
      <c r="C173" s="292" t="s">
        <v>11367</v>
      </c>
      <c r="D173" s="293" t="s">
        <v>11368</v>
      </c>
    </row>
    <row r="174" spans="1:4" ht="14.1" customHeight="1" x14ac:dyDescent="0.25">
      <c r="A174" s="292" t="s">
        <v>11363</v>
      </c>
      <c r="B174" s="293" t="s">
        <v>11364</v>
      </c>
      <c r="C174" s="292" t="s">
        <v>11369</v>
      </c>
      <c r="D174" s="293" t="s">
        <v>13362</v>
      </c>
    </row>
    <row r="175" spans="1:4" ht="14.1" customHeight="1" x14ac:dyDescent="0.25">
      <c r="A175" s="292" t="s">
        <v>11363</v>
      </c>
      <c r="B175" s="293" t="s">
        <v>11364</v>
      </c>
      <c r="C175" s="292" t="s">
        <v>11370</v>
      </c>
      <c r="D175" s="293" t="s">
        <v>11371</v>
      </c>
    </row>
    <row r="176" spans="1:4" ht="14.1" customHeight="1" x14ac:dyDescent="0.25">
      <c r="A176" s="292" t="s">
        <v>11363</v>
      </c>
      <c r="B176" s="293" t="s">
        <v>11364</v>
      </c>
      <c r="C176" s="292" t="s">
        <v>11372</v>
      </c>
      <c r="D176" s="293" t="s">
        <v>11373</v>
      </c>
    </row>
    <row r="177" spans="1:4" ht="14.1" customHeight="1" x14ac:dyDescent="0.25">
      <c r="A177" s="292" t="s">
        <v>11363</v>
      </c>
      <c r="B177" s="293" t="s">
        <v>11364</v>
      </c>
      <c r="C177" s="292" t="s">
        <v>11374</v>
      </c>
      <c r="D177" s="293" t="s">
        <v>11375</v>
      </c>
    </row>
    <row r="178" spans="1:4" ht="14.1" customHeight="1" x14ac:dyDescent="0.25">
      <c r="A178" s="292" t="s">
        <v>11363</v>
      </c>
      <c r="B178" s="293" t="s">
        <v>11364</v>
      </c>
      <c r="C178" s="292" t="s">
        <v>11377</v>
      </c>
      <c r="D178" s="293" t="s">
        <v>11378</v>
      </c>
    </row>
    <row r="179" spans="1:4" ht="14.1" customHeight="1" x14ac:dyDescent="0.25">
      <c r="A179" s="292" t="s">
        <v>11363</v>
      </c>
      <c r="B179" s="293" t="s">
        <v>11364</v>
      </c>
      <c r="C179" s="292" t="s">
        <v>11379</v>
      </c>
      <c r="D179" s="293" t="s">
        <v>11380</v>
      </c>
    </row>
    <row r="180" spans="1:4" ht="14.1" customHeight="1" x14ac:dyDescent="0.25">
      <c r="A180" s="292" t="s">
        <v>11363</v>
      </c>
      <c r="B180" s="293" t="s">
        <v>11364</v>
      </c>
      <c r="C180" s="292" t="s">
        <v>10049</v>
      </c>
      <c r="D180" s="293" t="s">
        <v>11381</v>
      </c>
    </row>
    <row r="181" spans="1:4" ht="14.1" customHeight="1" x14ac:dyDescent="0.25">
      <c r="A181" s="292" t="s">
        <v>11363</v>
      </c>
      <c r="B181" s="293" t="s">
        <v>11364</v>
      </c>
      <c r="C181" s="292" t="s">
        <v>11382</v>
      </c>
      <c r="D181" s="293" t="s">
        <v>11383</v>
      </c>
    </row>
    <row r="182" spans="1:4" ht="14.1" customHeight="1" x14ac:dyDescent="0.25">
      <c r="A182" s="292" t="s">
        <v>11363</v>
      </c>
      <c r="B182" s="293" t="s">
        <v>11364</v>
      </c>
      <c r="C182" s="292" t="s">
        <v>11384</v>
      </c>
      <c r="D182" s="293" t="s">
        <v>11385</v>
      </c>
    </row>
    <row r="183" spans="1:4" ht="14.1" customHeight="1" x14ac:dyDescent="0.25">
      <c r="A183" s="292" t="s">
        <v>11363</v>
      </c>
      <c r="B183" s="293" t="s">
        <v>11364</v>
      </c>
      <c r="C183" s="292" t="s">
        <v>11386</v>
      </c>
      <c r="D183" s="293" t="s">
        <v>11241</v>
      </c>
    </row>
    <row r="184" spans="1:4" ht="14.1" customHeight="1" x14ac:dyDescent="0.25">
      <c r="A184" s="292" t="s">
        <v>11363</v>
      </c>
      <c r="B184" s="293" t="s">
        <v>11364</v>
      </c>
      <c r="C184" s="292" t="s">
        <v>11387</v>
      </c>
      <c r="D184" s="293" t="s">
        <v>11388</v>
      </c>
    </row>
    <row r="185" spans="1:4" ht="14.1" customHeight="1" x14ac:dyDescent="0.25">
      <c r="A185" s="292" t="s">
        <v>1000</v>
      </c>
      <c r="B185" s="293" t="s">
        <v>11389</v>
      </c>
      <c r="C185" s="292" t="s">
        <v>11390</v>
      </c>
      <c r="D185" s="293" t="s">
        <v>11391</v>
      </c>
    </row>
    <row r="186" spans="1:4" ht="14.1" customHeight="1" x14ac:dyDescent="0.25">
      <c r="A186" s="292" t="s">
        <v>1000</v>
      </c>
      <c r="B186" s="293" t="s">
        <v>11389</v>
      </c>
      <c r="C186" s="292" t="s">
        <v>11392</v>
      </c>
      <c r="D186" s="293" t="s">
        <v>11393</v>
      </c>
    </row>
    <row r="187" spans="1:4" ht="14.1" customHeight="1" x14ac:dyDescent="0.25">
      <c r="A187" s="292" t="s">
        <v>1000</v>
      </c>
      <c r="B187" s="293" t="s">
        <v>11389</v>
      </c>
      <c r="C187" s="292" t="s">
        <v>11394</v>
      </c>
      <c r="D187" s="293" t="s">
        <v>11395</v>
      </c>
    </row>
    <row r="188" spans="1:4" ht="14.1" customHeight="1" x14ac:dyDescent="0.25">
      <c r="A188" s="292" t="s">
        <v>11396</v>
      </c>
      <c r="B188" s="293" t="s">
        <v>11397</v>
      </c>
      <c r="C188" s="292" t="s">
        <v>11398</v>
      </c>
      <c r="D188" s="293" t="s">
        <v>11399</v>
      </c>
    </row>
    <row r="189" spans="1:4" ht="14.1" customHeight="1" x14ac:dyDescent="0.25">
      <c r="A189" s="292" t="s">
        <v>11396</v>
      </c>
      <c r="B189" s="293" t="s">
        <v>11397</v>
      </c>
      <c r="C189" s="292" t="s">
        <v>11400</v>
      </c>
      <c r="D189" s="293" t="s">
        <v>11401</v>
      </c>
    </row>
    <row r="190" spans="1:4" ht="14.1" customHeight="1" x14ac:dyDescent="0.25">
      <c r="A190" s="292" t="s">
        <v>11396</v>
      </c>
      <c r="B190" s="293" t="s">
        <v>11397</v>
      </c>
      <c r="C190" s="292" t="s">
        <v>11402</v>
      </c>
      <c r="D190" s="293" t="s">
        <v>11403</v>
      </c>
    </row>
    <row r="191" spans="1:4" ht="14.1" customHeight="1" x14ac:dyDescent="0.25">
      <c r="A191" s="292" t="s">
        <v>11404</v>
      </c>
      <c r="B191" s="293" t="s">
        <v>11405</v>
      </c>
      <c r="C191" s="292" t="s">
        <v>11406</v>
      </c>
      <c r="D191" s="293" t="s">
        <v>11407</v>
      </c>
    </row>
    <row r="192" spans="1:4" ht="14.1" customHeight="1" x14ac:dyDescent="0.25">
      <c r="A192" s="292" t="s">
        <v>11404</v>
      </c>
      <c r="B192" s="293" t="s">
        <v>11405</v>
      </c>
      <c r="C192" s="292" t="s">
        <v>11408</v>
      </c>
      <c r="D192" s="293" t="s">
        <v>11409</v>
      </c>
    </row>
    <row r="193" spans="1:4" ht="14.1" customHeight="1" x14ac:dyDescent="0.25">
      <c r="A193" s="292" t="s">
        <v>11404</v>
      </c>
      <c r="B193" s="293" t="s">
        <v>11405</v>
      </c>
      <c r="C193" s="292" t="s">
        <v>11410</v>
      </c>
      <c r="D193" s="293" t="s">
        <v>11411</v>
      </c>
    </row>
    <row r="194" spans="1:4" ht="14.1" customHeight="1" x14ac:dyDescent="0.25">
      <c r="A194" s="292" t="s">
        <v>11404</v>
      </c>
      <c r="B194" s="293" t="s">
        <v>11405</v>
      </c>
      <c r="C194" s="292" t="s">
        <v>11412</v>
      </c>
      <c r="D194" s="293" t="s">
        <v>11413</v>
      </c>
    </row>
    <row r="195" spans="1:4" ht="14.1" customHeight="1" x14ac:dyDescent="0.25">
      <c r="A195" s="292" t="s">
        <v>11414</v>
      </c>
      <c r="B195" s="293" t="s">
        <v>11415</v>
      </c>
      <c r="C195" s="292" t="s">
        <v>11416</v>
      </c>
      <c r="D195" s="293" t="s">
        <v>11417</v>
      </c>
    </row>
    <row r="196" spans="1:4" ht="14.1" customHeight="1" x14ac:dyDescent="0.25">
      <c r="A196" s="292" t="s">
        <v>11414</v>
      </c>
      <c r="B196" s="293" t="s">
        <v>11415</v>
      </c>
      <c r="C196" s="292" t="s">
        <v>11418</v>
      </c>
      <c r="D196" s="293" t="s">
        <v>11419</v>
      </c>
    </row>
    <row r="197" spans="1:4" ht="14.1" customHeight="1" x14ac:dyDescent="0.25">
      <c r="A197" s="292" t="s">
        <v>11420</v>
      </c>
      <c r="B197" s="293" t="s">
        <v>11421</v>
      </c>
      <c r="C197" s="292" t="s">
        <v>11422</v>
      </c>
      <c r="D197" s="293" t="s">
        <v>11423</v>
      </c>
    </row>
    <row r="198" spans="1:4" ht="14.1" customHeight="1" x14ac:dyDescent="0.25">
      <c r="A198" s="292" t="s">
        <v>11420</v>
      </c>
      <c r="B198" s="293" t="s">
        <v>11421</v>
      </c>
      <c r="C198" s="292" t="s">
        <v>11424</v>
      </c>
      <c r="D198" s="293" t="s">
        <v>11425</v>
      </c>
    </row>
    <row r="199" spans="1:4" ht="14.1" customHeight="1" x14ac:dyDescent="0.25">
      <c r="A199" s="292" t="s">
        <v>11420</v>
      </c>
      <c r="B199" s="293" t="s">
        <v>11421</v>
      </c>
      <c r="C199" s="292" t="s">
        <v>11426</v>
      </c>
      <c r="D199" s="293" t="s">
        <v>11427</v>
      </c>
    </row>
    <row r="200" spans="1:4" ht="14.1" customHeight="1" x14ac:dyDescent="0.25">
      <c r="A200" s="292" t="s">
        <v>11428</v>
      </c>
      <c r="B200" s="293" t="s">
        <v>11429</v>
      </c>
      <c r="C200" s="292" t="s">
        <v>11430</v>
      </c>
      <c r="D200" s="293" t="s">
        <v>11431</v>
      </c>
    </row>
    <row r="201" spans="1:4" ht="14.1" customHeight="1" x14ac:dyDescent="0.25">
      <c r="A201" s="292" t="s">
        <v>11428</v>
      </c>
      <c r="B201" s="293" t="s">
        <v>11429</v>
      </c>
      <c r="C201" s="292" t="s">
        <v>11432</v>
      </c>
      <c r="D201" s="293" t="s">
        <v>11433</v>
      </c>
    </row>
    <row r="202" spans="1:4" ht="14.1" customHeight="1" x14ac:dyDescent="0.25">
      <c r="A202" s="292" t="s">
        <v>11428</v>
      </c>
      <c r="B202" s="293" t="s">
        <v>11429</v>
      </c>
      <c r="C202" s="292" t="s">
        <v>11434</v>
      </c>
      <c r="D202" s="293" t="s">
        <v>11435</v>
      </c>
    </row>
    <row r="203" spans="1:4" ht="14.1" customHeight="1" x14ac:dyDescent="0.25">
      <c r="A203" s="292" t="s">
        <v>11428</v>
      </c>
      <c r="B203" s="293" t="s">
        <v>11429</v>
      </c>
      <c r="C203" s="292" t="s">
        <v>11436</v>
      </c>
      <c r="D203" s="293" t="s">
        <v>11437</v>
      </c>
    </row>
    <row r="204" spans="1:4" ht="14.1" customHeight="1" x14ac:dyDescent="0.25">
      <c r="A204" s="292" t="s">
        <v>11428</v>
      </c>
      <c r="B204" s="293" t="s">
        <v>11429</v>
      </c>
      <c r="C204" s="292" t="s">
        <v>11438</v>
      </c>
      <c r="D204" s="293" t="s">
        <v>13364</v>
      </c>
    </row>
    <row r="205" spans="1:4" ht="14.1" customHeight="1" x14ac:dyDescent="0.25">
      <c r="A205" s="292" t="s">
        <v>11428</v>
      </c>
      <c r="B205" s="293" t="s">
        <v>11429</v>
      </c>
      <c r="C205" s="292" t="s">
        <v>11439</v>
      </c>
      <c r="D205" s="293" t="s">
        <v>11440</v>
      </c>
    </row>
    <row r="206" spans="1:4" ht="14.1" customHeight="1" x14ac:dyDescent="0.25">
      <c r="A206" s="292" t="s">
        <v>11428</v>
      </c>
      <c r="B206" s="293" t="s">
        <v>11429</v>
      </c>
      <c r="C206" s="292" t="s">
        <v>11441</v>
      </c>
      <c r="D206" s="293" t="s">
        <v>11442</v>
      </c>
    </row>
    <row r="207" spans="1:4" ht="14.1" customHeight="1" x14ac:dyDescent="0.25">
      <c r="A207" s="292" t="s">
        <v>11428</v>
      </c>
      <c r="B207" s="293" t="s">
        <v>11429</v>
      </c>
      <c r="C207" s="292" t="s">
        <v>11443</v>
      </c>
      <c r="D207" s="293" t="s">
        <v>11444</v>
      </c>
    </row>
    <row r="208" spans="1:4" ht="14.1" customHeight="1" x14ac:dyDescent="0.25">
      <c r="A208" s="292" t="s">
        <v>11428</v>
      </c>
      <c r="B208" s="293" t="s">
        <v>11429</v>
      </c>
      <c r="C208" s="292" t="s">
        <v>11445</v>
      </c>
      <c r="D208" s="293" t="s">
        <v>11446</v>
      </c>
    </row>
    <row r="209" spans="1:4" ht="14.1" customHeight="1" x14ac:dyDescent="0.25">
      <c r="A209" s="292" t="s">
        <v>11428</v>
      </c>
      <c r="B209" s="293" t="s">
        <v>11429</v>
      </c>
      <c r="C209" s="292" t="s">
        <v>11447</v>
      </c>
      <c r="D209" s="293" t="s">
        <v>11448</v>
      </c>
    </row>
    <row r="210" spans="1:4" ht="14.1" customHeight="1" x14ac:dyDescent="0.25">
      <c r="A210" s="292" t="s">
        <v>11428</v>
      </c>
      <c r="B210" s="293" t="s">
        <v>11429</v>
      </c>
      <c r="C210" s="292" t="s">
        <v>11449</v>
      </c>
      <c r="D210" s="293" t="s">
        <v>11450</v>
      </c>
    </row>
    <row r="211" spans="1:4" ht="14.1" customHeight="1" x14ac:dyDescent="0.25">
      <c r="A211" s="292" t="s">
        <v>11428</v>
      </c>
      <c r="B211" s="293" t="s">
        <v>11429</v>
      </c>
      <c r="C211" s="292" t="s">
        <v>11451</v>
      </c>
      <c r="D211" s="293" t="s">
        <v>11452</v>
      </c>
    </row>
    <row r="212" spans="1:4" ht="14.1" customHeight="1" x14ac:dyDescent="0.25">
      <c r="A212" s="292" t="s">
        <v>11428</v>
      </c>
      <c r="B212" s="293" t="s">
        <v>11429</v>
      </c>
      <c r="C212" s="292" t="s">
        <v>11453</v>
      </c>
      <c r="D212" s="293" t="s">
        <v>11454</v>
      </c>
    </row>
    <row r="213" spans="1:4" ht="14.1" customHeight="1" x14ac:dyDescent="0.25">
      <c r="A213" s="292" t="s">
        <v>11428</v>
      </c>
      <c r="B213" s="293" t="s">
        <v>11429</v>
      </c>
      <c r="C213" s="292" t="s">
        <v>11455</v>
      </c>
      <c r="D213" s="293" t="s">
        <v>11456</v>
      </c>
    </row>
    <row r="214" spans="1:4" ht="14.1" customHeight="1" x14ac:dyDescent="0.25">
      <c r="A214" s="292" t="s">
        <v>11428</v>
      </c>
      <c r="B214" s="293" t="s">
        <v>11429</v>
      </c>
      <c r="C214" s="292" t="s">
        <v>11457</v>
      </c>
      <c r="D214" s="293" t="s">
        <v>11458</v>
      </c>
    </row>
    <row r="215" spans="1:4" ht="14.1" customHeight="1" x14ac:dyDescent="0.25">
      <c r="A215" s="292" t="s">
        <v>11428</v>
      </c>
      <c r="B215" s="293" t="s">
        <v>11429</v>
      </c>
      <c r="C215" s="292" t="s">
        <v>11459</v>
      </c>
      <c r="D215" s="293" t="s">
        <v>11460</v>
      </c>
    </row>
    <row r="216" spans="1:4" ht="14.1" customHeight="1" x14ac:dyDescent="0.25">
      <c r="A216" s="292" t="s">
        <v>11428</v>
      </c>
      <c r="B216" s="293" t="s">
        <v>11429</v>
      </c>
      <c r="C216" s="292" t="s">
        <v>11461</v>
      </c>
      <c r="D216" s="293" t="s">
        <v>11462</v>
      </c>
    </row>
    <row r="217" spans="1:4" ht="14.1" customHeight="1" x14ac:dyDescent="0.25">
      <c r="A217" s="292" t="s">
        <v>11428</v>
      </c>
      <c r="B217" s="293" t="s">
        <v>11429</v>
      </c>
      <c r="C217" s="292" t="s">
        <v>11463</v>
      </c>
      <c r="D217" s="293" t="s">
        <v>11464</v>
      </c>
    </row>
    <row r="218" spans="1:4" ht="14.1" customHeight="1" x14ac:dyDescent="0.25">
      <c r="A218" s="292" t="s">
        <v>11428</v>
      </c>
      <c r="B218" s="293" t="s">
        <v>11429</v>
      </c>
      <c r="C218" s="292" t="s">
        <v>11465</v>
      </c>
      <c r="D218" s="293" t="s">
        <v>11466</v>
      </c>
    </row>
    <row r="219" spans="1:4" ht="14.1" customHeight="1" x14ac:dyDescent="0.25">
      <c r="A219" s="292" t="s">
        <v>11467</v>
      </c>
      <c r="B219" s="293" t="s">
        <v>11468</v>
      </c>
      <c r="C219" s="292" t="s">
        <v>11469</v>
      </c>
      <c r="D219" s="293" t="s">
        <v>11470</v>
      </c>
    </row>
    <row r="220" spans="1:4" ht="14.1" customHeight="1" x14ac:dyDescent="0.25">
      <c r="A220" s="292" t="s">
        <v>11467</v>
      </c>
      <c r="B220" s="293" t="s">
        <v>11468</v>
      </c>
      <c r="C220" s="292" t="s">
        <v>11471</v>
      </c>
      <c r="D220" s="293" t="s">
        <v>11472</v>
      </c>
    </row>
    <row r="221" spans="1:4" ht="14.1" customHeight="1" x14ac:dyDescent="0.25">
      <c r="A221" s="292" t="s">
        <v>11473</v>
      </c>
      <c r="B221" s="293" t="s">
        <v>11474</v>
      </c>
      <c r="C221" s="292" t="s">
        <v>11475</v>
      </c>
      <c r="D221" s="293" t="s">
        <v>11476</v>
      </c>
    </row>
    <row r="222" spans="1:4" ht="14.1" customHeight="1" x14ac:dyDescent="0.25">
      <c r="A222" s="292" t="s">
        <v>11473</v>
      </c>
      <c r="B222" s="293" t="s">
        <v>11474</v>
      </c>
      <c r="C222" s="292" t="s">
        <v>11477</v>
      </c>
      <c r="D222" s="293" t="s">
        <v>11478</v>
      </c>
    </row>
    <row r="223" spans="1:4" ht="14.1" customHeight="1" x14ac:dyDescent="0.25">
      <c r="A223" s="292" t="s">
        <v>11473</v>
      </c>
      <c r="B223" s="293" t="s">
        <v>11474</v>
      </c>
      <c r="C223" s="292" t="s">
        <v>11479</v>
      </c>
      <c r="D223" s="293" t="s">
        <v>11480</v>
      </c>
    </row>
    <row r="224" spans="1:4" ht="14.1" customHeight="1" x14ac:dyDescent="0.25">
      <c r="A224" s="292" t="s">
        <v>11473</v>
      </c>
      <c r="B224" s="293" t="s">
        <v>11474</v>
      </c>
      <c r="C224" s="292" t="s">
        <v>11481</v>
      </c>
      <c r="D224" s="293" t="s">
        <v>11482</v>
      </c>
    </row>
    <row r="225" spans="1:4" ht="14.1" customHeight="1" x14ac:dyDescent="0.25">
      <c r="A225" s="292" t="s">
        <v>11483</v>
      </c>
      <c r="B225" s="293" t="s">
        <v>11484</v>
      </c>
      <c r="C225" s="292" t="s">
        <v>11485</v>
      </c>
      <c r="D225" s="293" t="s">
        <v>11486</v>
      </c>
    </row>
    <row r="226" spans="1:4" ht="14.1" customHeight="1" x14ac:dyDescent="0.25">
      <c r="A226" s="292" t="s">
        <v>11487</v>
      </c>
      <c r="B226" s="293" t="s">
        <v>11488</v>
      </c>
      <c r="C226" s="292" t="s">
        <v>11489</v>
      </c>
      <c r="D226" s="293" t="s">
        <v>11490</v>
      </c>
    </row>
    <row r="227" spans="1:4" ht="14.1" customHeight="1" x14ac:dyDescent="0.25">
      <c r="A227" s="292" t="s">
        <v>11487</v>
      </c>
      <c r="B227" s="293" t="s">
        <v>11488</v>
      </c>
      <c r="C227" s="292" t="s">
        <v>11491</v>
      </c>
      <c r="D227" s="293" t="s">
        <v>11492</v>
      </c>
    </row>
    <row r="228" spans="1:4" ht="14.1" customHeight="1" x14ac:dyDescent="0.25">
      <c r="A228" s="292" t="s">
        <v>11493</v>
      </c>
      <c r="B228" s="293" t="s">
        <v>11494</v>
      </c>
      <c r="C228" s="292" t="s">
        <v>11495</v>
      </c>
      <c r="D228" s="293" t="s">
        <v>11496</v>
      </c>
    </row>
    <row r="229" spans="1:4" ht="14.1" customHeight="1" x14ac:dyDescent="0.25">
      <c r="A229" s="292" t="s">
        <v>7617</v>
      </c>
      <c r="B229" s="293" t="s">
        <v>11497</v>
      </c>
      <c r="C229" s="292" t="s">
        <v>11498</v>
      </c>
      <c r="D229" s="293" t="s">
        <v>11499</v>
      </c>
    </row>
    <row r="230" spans="1:4" ht="14.1" customHeight="1" x14ac:dyDescent="0.25">
      <c r="A230" s="292" t="s">
        <v>7617</v>
      </c>
      <c r="B230" s="293" t="s">
        <v>11497</v>
      </c>
      <c r="C230" s="292" t="s">
        <v>11500</v>
      </c>
      <c r="D230" s="293" t="s">
        <v>11501</v>
      </c>
    </row>
    <row r="231" spans="1:4" ht="14.1" customHeight="1" x14ac:dyDescent="0.25">
      <c r="A231" s="292" t="s">
        <v>7617</v>
      </c>
      <c r="B231" s="293" t="s">
        <v>11497</v>
      </c>
      <c r="C231" s="292" t="s">
        <v>11502</v>
      </c>
      <c r="D231" s="293" t="s">
        <v>11503</v>
      </c>
    </row>
    <row r="232" spans="1:4" ht="14.1" customHeight="1" x14ac:dyDescent="0.25">
      <c r="A232" s="292" t="s">
        <v>7617</v>
      </c>
      <c r="B232" s="293" t="s">
        <v>11497</v>
      </c>
      <c r="C232" s="292" t="s">
        <v>10575</v>
      </c>
      <c r="D232" s="293" t="s">
        <v>11504</v>
      </c>
    </row>
    <row r="233" spans="1:4" ht="14.1" customHeight="1" x14ac:dyDescent="0.25">
      <c r="A233" s="292" t="s">
        <v>7617</v>
      </c>
      <c r="B233" s="293" t="s">
        <v>11497</v>
      </c>
      <c r="C233" s="292" t="s">
        <v>11505</v>
      </c>
      <c r="D233" s="293" t="s">
        <v>11506</v>
      </c>
    </row>
    <row r="234" spans="1:4" ht="14.1" customHeight="1" x14ac:dyDescent="0.25">
      <c r="A234" s="292" t="s">
        <v>7617</v>
      </c>
      <c r="B234" s="293" t="s">
        <v>11497</v>
      </c>
      <c r="C234" s="292" t="s">
        <v>11507</v>
      </c>
      <c r="D234" s="293" t="s">
        <v>11508</v>
      </c>
    </row>
    <row r="235" spans="1:4" ht="14.1" customHeight="1" x14ac:dyDescent="0.25">
      <c r="A235" s="292" t="s">
        <v>7617</v>
      </c>
      <c r="B235" s="293" t="s">
        <v>11497</v>
      </c>
      <c r="C235" s="292" t="s">
        <v>13374</v>
      </c>
      <c r="D235" s="293" t="s">
        <v>13375</v>
      </c>
    </row>
    <row r="236" spans="1:4" ht="14.1" customHeight="1" x14ac:dyDescent="0.25">
      <c r="A236" s="292" t="s">
        <v>7617</v>
      </c>
      <c r="B236" s="293" t="s">
        <v>11497</v>
      </c>
      <c r="C236" s="292" t="s">
        <v>11509</v>
      </c>
      <c r="D236" s="293" t="s">
        <v>11510</v>
      </c>
    </row>
    <row r="237" spans="1:4" ht="14.1" customHeight="1" x14ac:dyDescent="0.25">
      <c r="A237" s="338" t="s">
        <v>7617</v>
      </c>
      <c r="B237" s="293" t="s">
        <v>11497</v>
      </c>
      <c r="C237" s="336" t="s">
        <v>11511</v>
      </c>
      <c r="D237" s="337" t="s">
        <v>11512</v>
      </c>
    </row>
    <row r="238" spans="1:4" ht="14.1" customHeight="1" x14ac:dyDescent="0.25">
      <c r="A238" s="292" t="s">
        <v>7617</v>
      </c>
      <c r="B238" s="293" t="s">
        <v>11497</v>
      </c>
      <c r="C238" s="292" t="s">
        <v>11513</v>
      </c>
      <c r="D238" s="293" t="s">
        <v>11514</v>
      </c>
    </row>
    <row r="239" spans="1:4" ht="14.1" customHeight="1" x14ac:dyDescent="0.25">
      <c r="A239" s="292" t="s">
        <v>7617</v>
      </c>
      <c r="B239" s="293" t="s">
        <v>11497</v>
      </c>
      <c r="C239" s="292" t="s">
        <v>11515</v>
      </c>
      <c r="D239" s="293" t="s">
        <v>11516</v>
      </c>
    </row>
    <row r="240" spans="1:4" ht="14.1" customHeight="1" x14ac:dyDescent="0.25">
      <c r="A240" s="292" t="s">
        <v>7617</v>
      </c>
      <c r="B240" s="293" t="s">
        <v>11497</v>
      </c>
      <c r="C240" s="292" t="s">
        <v>11517</v>
      </c>
      <c r="D240" s="293" t="s">
        <v>11518</v>
      </c>
    </row>
    <row r="241" spans="1:4" ht="14.1" customHeight="1" x14ac:dyDescent="0.25">
      <c r="A241" s="292" t="s">
        <v>7617</v>
      </c>
      <c r="B241" s="293" t="s">
        <v>11497</v>
      </c>
      <c r="C241" s="292" t="s">
        <v>11519</v>
      </c>
      <c r="D241" s="293" t="s">
        <v>11520</v>
      </c>
    </row>
    <row r="242" spans="1:4" ht="14.1" customHeight="1" x14ac:dyDescent="0.25">
      <c r="A242" s="331" t="s">
        <v>7617</v>
      </c>
      <c r="B242" s="293" t="s">
        <v>11497</v>
      </c>
      <c r="C242" s="292" t="s">
        <v>11521</v>
      </c>
      <c r="D242" s="339" t="s">
        <v>13550</v>
      </c>
    </row>
    <row r="243" spans="1:4" ht="14.1" customHeight="1" x14ac:dyDescent="0.25">
      <c r="A243" s="292" t="s">
        <v>7617</v>
      </c>
      <c r="B243" s="293" t="s">
        <v>11497</v>
      </c>
      <c r="C243" s="292" t="s">
        <v>11522</v>
      </c>
      <c r="D243" s="293" t="s">
        <v>11523</v>
      </c>
    </row>
    <row r="244" spans="1:4" ht="14.1" customHeight="1" x14ac:dyDescent="0.25">
      <c r="A244" s="292" t="s">
        <v>7617</v>
      </c>
      <c r="B244" s="293" t="s">
        <v>11497</v>
      </c>
      <c r="C244" s="292" t="s">
        <v>11524</v>
      </c>
      <c r="D244" s="293" t="s">
        <v>11525</v>
      </c>
    </row>
    <row r="245" spans="1:4" ht="14.1" customHeight="1" x14ac:dyDescent="0.25">
      <c r="A245" s="292" t="s">
        <v>7617</v>
      </c>
      <c r="B245" s="293" t="s">
        <v>11497</v>
      </c>
      <c r="C245" s="292" t="s">
        <v>11526</v>
      </c>
      <c r="D245" s="293" t="s">
        <v>11527</v>
      </c>
    </row>
    <row r="246" spans="1:4" ht="14.1" customHeight="1" x14ac:dyDescent="0.25">
      <c r="A246" s="292" t="s">
        <v>7617</v>
      </c>
      <c r="B246" s="293" t="s">
        <v>11497</v>
      </c>
      <c r="C246" s="292" t="s">
        <v>11528</v>
      </c>
      <c r="D246" s="293" t="s">
        <v>11529</v>
      </c>
    </row>
    <row r="247" spans="1:4" ht="14.1" customHeight="1" x14ac:dyDescent="0.25">
      <c r="A247" s="292" t="s">
        <v>7617</v>
      </c>
      <c r="B247" s="293" t="s">
        <v>11497</v>
      </c>
      <c r="C247" s="292" t="s">
        <v>11530</v>
      </c>
      <c r="D247" s="293" t="s">
        <v>11531</v>
      </c>
    </row>
    <row r="248" spans="1:4" ht="14.1" customHeight="1" x14ac:dyDescent="0.25">
      <c r="A248" s="292" t="s">
        <v>7617</v>
      </c>
      <c r="B248" s="293" t="s">
        <v>11497</v>
      </c>
      <c r="C248" s="292" t="s">
        <v>11532</v>
      </c>
      <c r="D248" s="293" t="s">
        <v>11533</v>
      </c>
    </row>
    <row r="249" spans="1:4" ht="14.1" customHeight="1" x14ac:dyDescent="0.25">
      <c r="A249" s="292" t="s">
        <v>7617</v>
      </c>
      <c r="B249" s="293" t="s">
        <v>11497</v>
      </c>
      <c r="C249" s="292" t="s">
        <v>11534</v>
      </c>
      <c r="D249" s="293" t="s">
        <v>11535</v>
      </c>
    </row>
    <row r="250" spans="1:4" ht="14.1" customHeight="1" x14ac:dyDescent="0.25">
      <c r="A250" s="292" t="s">
        <v>7617</v>
      </c>
      <c r="B250" s="293" t="s">
        <v>11497</v>
      </c>
      <c r="C250" s="292" t="s">
        <v>11536</v>
      </c>
      <c r="D250" s="293" t="s">
        <v>11537</v>
      </c>
    </row>
    <row r="251" spans="1:4" ht="14.1" customHeight="1" x14ac:dyDescent="0.25">
      <c r="A251" s="292" t="s">
        <v>11538</v>
      </c>
      <c r="B251" s="293" t="s">
        <v>11539</v>
      </c>
      <c r="C251" s="292" t="s">
        <v>11540</v>
      </c>
      <c r="D251" s="293" t="s">
        <v>11541</v>
      </c>
    </row>
    <row r="252" spans="1:4" ht="14.1" customHeight="1" x14ac:dyDescent="0.25">
      <c r="A252" s="292" t="s">
        <v>7570</v>
      </c>
      <c r="B252" s="293" t="s">
        <v>11542</v>
      </c>
      <c r="C252" s="292" t="s">
        <v>11543</v>
      </c>
      <c r="D252" s="293" t="s">
        <v>11544</v>
      </c>
    </row>
    <row r="253" spans="1:4" ht="14.1" customHeight="1" x14ac:dyDescent="0.25">
      <c r="A253" s="292" t="s">
        <v>7570</v>
      </c>
      <c r="B253" s="293" t="s">
        <v>11542</v>
      </c>
      <c r="C253" s="292" t="s">
        <v>11545</v>
      </c>
      <c r="D253" s="293" t="s">
        <v>11546</v>
      </c>
    </row>
    <row r="254" spans="1:4" ht="14.1" customHeight="1" x14ac:dyDescent="0.25">
      <c r="A254" s="292" t="s">
        <v>7570</v>
      </c>
      <c r="B254" s="293" t="s">
        <v>11542</v>
      </c>
      <c r="C254" s="292" t="s">
        <v>11547</v>
      </c>
      <c r="D254" s="293" t="s">
        <v>11548</v>
      </c>
    </row>
    <row r="255" spans="1:4" ht="14.1" customHeight="1" x14ac:dyDescent="0.25">
      <c r="A255" s="292" t="s">
        <v>11549</v>
      </c>
      <c r="B255" s="293" t="s">
        <v>11550</v>
      </c>
      <c r="C255" s="292" t="s">
        <v>11551</v>
      </c>
      <c r="D255" s="293" t="s">
        <v>11552</v>
      </c>
    </row>
    <row r="256" spans="1:4" ht="14.1" customHeight="1" x14ac:dyDescent="0.25">
      <c r="A256" s="292" t="s">
        <v>11549</v>
      </c>
      <c r="B256" s="293" t="s">
        <v>11550</v>
      </c>
      <c r="C256" s="292" t="s">
        <v>11553</v>
      </c>
      <c r="D256" s="293" t="s">
        <v>11554</v>
      </c>
    </row>
    <row r="257" spans="1:4" ht="14.1" customHeight="1" x14ac:dyDescent="0.25">
      <c r="A257" s="292" t="s">
        <v>11549</v>
      </c>
      <c r="B257" s="293" t="s">
        <v>11550</v>
      </c>
      <c r="C257" s="292" t="s">
        <v>11555</v>
      </c>
      <c r="D257" s="293" t="s">
        <v>11556</v>
      </c>
    </row>
    <row r="258" spans="1:4" ht="14.1" customHeight="1" x14ac:dyDescent="0.25">
      <c r="A258" s="292" t="s">
        <v>11557</v>
      </c>
      <c r="B258" s="293" t="s">
        <v>11558</v>
      </c>
      <c r="C258" s="292" t="s">
        <v>11559</v>
      </c>
      <c r="D258" s="293" t="s">
        <v>11560</v>
      </c>
    </row>
    <row r="259" spans="1:4" ht="14.1" customHeight="1" x14ac:dyDescent="0.25">
      <c r="A259" s="292" t="s">
        <v>11557</v>
      </c>
      <c r="B259" s="293" t="s">
        <v>11558</v>
      </c>
      <c r="C259" s="292" t="s">
        <v>11561</v>
      </c>
      <c r="D259" s="293" t="s">
        <v>11562</v>
      </c>
    </row>
    <row r="260" spans="1:4" ht="14.1" customHeight="1" x14ac:dyDescent="0.25">
      <c r="A260" s="292" t="s">
        <v>11563</v>
      </c>
      <c r="B260" s="293" t="s">
        <v>11564</v>
      </c>
      <c r="C260" s="292" t="s">
        <v>11565</v>
      </c>
      <c r="D260" s="293" t="s">
        <v>11566</v>
      </c>
    </row>
    <row r="261" spans="1:4" ht="14.1" customHeight="1" x14ac:dyDescent="0.25">
      <c r="A261" s="292" t="s">
        <v>11563</v>
      </c>
      <c r="B261" s="293" t="s">
        <v>11564</v>
      </c>
      <c r="C261" s="292" t="s">
        <v>11567</v>
      </c>
      <c r="D261" s="293" t="s">
        <v>11568</v>
      </c>
    </row>
    <row r="262" spans="1:4" ht="14.1" customHeight="1" x14ac:dyDescent="0.25">
      <c r="A262" s="292" t="s">
        <v>11569</v>
      </c>
      <c r="B262" s="293" t="s">
        <v>11570</v>
      </c>
      <c r="C262" s="292" t="s">
        <v>11571</v>
      </c>
      <c r="D262" s="293" t="s">
        <v>11572</v>
      </c>
    </row>
    <row r="263" spans="1:4" s="332" customFormat="1" ht="14.1" customHeight="1" x14ac:dyDescent="0.25">
      <c r="A263" s="335" t="s">
        <v>13528</v>
      </c>
      <c r="B263" s="334" t="s">
        <v>13530</v>
      </c>
      <c r="C263" s="333" t="s">
        <v>13531</v>
      </c>
      <c r="D263" s="334" t="s">
        <v>13529</v>
      </c>
    </row>
    <row r="264" spans="1:4" ht="14.1" customHeight="1" x14ac:dyDescent="0.25">
      <c r="A264" s="292" t="s">
        <v>11573</v>
      </c>
      <c r="B264" s="293" t="s">
        <v>11574</v>
      </c>
      <c r="C264" s="292" t="s">
        <v>11575</v>
      </c>
      <c r="D264" s="293" t="s">
        <v>11576</v>
      </c>
    </row>
    <row r="265" spans="1:4" ht="14.1" customHeight="1" x14ac:dyDescent="0.25">
      <c r="A265" s="292" t="s">
        <v>11577</v>
      </c>
      <c r="B265" s="293" t="s">
        <v>11578</v>
      </c>
      <c r="C265" s="292" t="s">
        <v>11579</v>
      </c>
      <c r="D265" s="293" t="s">
        <v>11580</v>
      </c>
    </row>
    <row r="266" spans="1:4" ht="14.1" customHeight="1" x14ac:dyDescent="0.25">
      <c r="A266" s="292" t="s">
        <v>11577</v>
      </c>
      <c r="B266" s="293" t="s">
        <v>11578</v>
      </c>
      <c r="C266" s="292" t="s">
        <v>11581</v>
      </c>
      <c r="D266" s="293" t="s">
        <v>11582</v>
      </c>
    </row>
    <row r="267" spans="1:4" ht="14.1" customHeight="1" x14ac:dyDescent="0.25">
      <c r="A267" s="292" t="s">
        <v>11583</v>
      </c>
      <c r="B267" s="293" t="s">
        <v>11584</v>
      </c>
      <c r="C267" s="292" t="s">
        <v>11585</v>
      </c>
      <c r="D267" s="293" t="s">
        <v>11586</v>
      </c>
    </row>
    <row r="268" spans="1:4" ht="14.1" customHeight="1" x14ac:dyDescent="0.25">
      <c r="A268" s="292" t="s">
        <v>11583</v>
      </c>
      <c r="B268" s="293" t="s">
        <v>11584</v>
      </c>
      <c r="C268" s="292" t="s">
        <v>11587</v>
      </c>
      <c r="D268" s="293" t="s">
        <v>11588</v>
      </c>
    </row>
    <row r="269" spans="1:4" ht="14.1" customHeight="1" x14ac:dyDescent="0.25">
      <c r="A269" s="292" t="s">
        <v>11589</v>
      </c>
      <c r="B269" s="293" t="s">
        <v>11590</v>
      </c>
      <c r="C269" s="292" t="s">
        <v>11591</v>
      </c>
      <c r="D269" s="293" t="s">
        <v>11592</v>
      </c>
    </row>
    <row r="270" spans="1:4" ht="14.1" customHeight="1" x14ac:dyDescent="0.25">
      <c r="A270" s="292" t="s">
        <v>11589</v>
      </c>
      <c r="B270" s="293" t="s">
        <v>11590</v>
      </c>
      <c r="C270" s="292" t="s">
        <v>11593</v>
      </c>
      <c r="D270" s="293" t="s">
        <v>11594</v>
      </c>
    </row>
    <row r="271" spans="1:4" ht="14.1" customHeight="1" x14ac:dyDescent="0.25">
      <c r="A271" s="292" t="s">
        <v>11595</v>
      </c>
      <c r="B271" s="293" t="s">
        <v>11596</v>
      </c>
      <c r="C271" s="292" t="s">
        <v>11597</v>
      </c>
      <c r="D271" s="293" t="s">
        <v>11598</v>
      </c>
    </row>
    <row r="272" spans="1:4" ht="14.1" customHeight="1" x14ac:dyDescent="0.25">
      <c r="A272" s="292" t="s">
        <v>11595</v>
      </c>
      <c r="B272" s="293" t="s">
        <v>11596</v>
      </c>
      <c r="C272" s="292" t="s">
        <v>11599</v>
      </c>
      <c r="D272" s="293" t="s">
        <v>11600</v>
      </c>
    </row>
    <row r="273" spans="1:4" ht="14.1" customHeight="1" x14ac:dyDescent="0.25">
      <c r="A273" s="292" t="s">
        <v>11595</v>
      </c>
      <c r="B273" s="293" t="s">
        <v>11596</v>
      </c>
      <c r="C273" s="292" t="s">
        <v>11601</v>
      </c>
      <c r="D273" s="293" t="s">
        <v>11602</v>
      </c>
    </row>
    <row r="274" spans="1:4" ht="14.1" customHeight="1" x14ac:dyDescent="0.25">
      <c r="A274" s="292" t="s">
        <v>11595</v>
      </c>
      <c r="B274" s="293" t="s">
        <v>11596</v>
      </c>
      <c r="C274" s="292" t="s">
        <v>11603</v>
      </c>
      <c r="D274" s="293" t="s">
        <v>11604</v>
      </c>
    </row>
    <row r="275" spans="1:4" ht="14.1" customHeight="1" x14ac:dyDescent="0.25">
      <c r="A275" s="292" t="s">
        <v>11595</v>
      </c>
      <c r="B275" s="293" t="s">
        <v>11596</v>
      </c>
      <c r="C275" s="292" t="s">
        <v>11605</v>
      </c>
      <c r="D275" s="293" t="s">
        <v>11606</v>
      </c>
    </row>
    <row r="276" spans="1:4" ht="14.1" customHeight="1" x14ac:dyDescent="0.25">
      <c r="A276" s="292" t="s">
        <v>11595</v>
      </c>
      <c r="B276" s="293" t="s">
        <v>11596</v>
      </c>
      <c r="C276" s="292" t="s">
        <v>11607</v>
      </c>
      <c r="D276" s="293" t="s">
        <v>11608</v>
      </c>
    </row>
    <row r="277" spans="1:4" ht="14.1" customHeight="1" x14ac:dyDescent="0.25">
      <c r="A277" s="292" t="s">
        <v>11595</v>
      </c>
      <c r="B277" s="293" t="s">
        <v>11596</v>
      </c>
      <c r="C277" s="292" t="s">
        <v>11609</v>
      </c>
      <c r="D277" s="293" t="s">
        <v>11610</v>
      </c>
    </row>
    <row r="278" spans="1:4" ht="14.1" customHeight="1" x14ac:dyDescent="0.25">
      <c r="A278" s="292" t="s">
        <v>11595</v>
      </c>
      <c r="B278" s="293" t="s">
        <v>11596</v>
      </c>
      <c r="C278" s="292" t="s">
        <v>11611</v>
      </c>
      <c r="D278" s="293" t="s">
        <v>11612</v>
      </c>
    </row>
    <row r="279" spans="1:4" ht="14.1" customHeight="1" x14ac:dyDescent="0.25">
      <c r="A279" s="292" t="s">
        <v>11595</v>
      </c>
      <c r="B279" s="293" t="s">
        <v>11596</v>
      </c>
      <c r="C279" s="292" t="s">
        <v>11613</v>
      </c>
      <c r="D279" s="293" t="s">
        <v>11614</v>
      </c>
    </row>
    <row r="280" spans="1:4" ht="14.1" customHeight="1" x14ac:dyDescent="0.25">
      <c r="A280" s="292" t="s">
        <v>11595</v>
      </c>
      <c r="B280" s="293" t="s">
        <v>11596</v>
      </c>
      <c r="C280" s="292" t="s">
        <v>11615</v>
      </c>
      <c r="D280" s="293" t="s">
        <v>11616</v>
      </c>
    </row>
    <row r="281" spans="1:4" ht="14.1" customHeight="1" x14ac:dyDescent="0.25">
      <c r="A281" s="292" t="s">
        <v>11617</v>
      </c>
      <c r="B281" s="293" t="s">
        <v>11618</v>
      </c>
      <c r="C281" s="292" t="s">
        <v>11619</v>
      </c>
      <c r="D281" s="293" t="s">
        <v>11620</v>
      </c>
    </row>
    <row r="282" spans="1:4" ht="14.1" customHeight="1" x14ac:dyDescent="0.25">
      <c r="A282" s="292" t="s">
        <v>7482</v>
      </c>
      <c r="B282" s="293" t="s">
        <v>11621</v>
      </c>
      <c r="C282" s="292" t="s">
        <v>11622</v>
      </c>
      <c r="D282" s="293" t="s">
        <v>11623</v>
      </c>
    </row>
    <row r="283" spans="1:4" ht="14.1" customHeight="1" x14ac:dyDescent="0.25">
      <c r="A283" s="292" t="s">
        <v>11624</v>
      </c>
      <c r="B283" s="293" t="s">
        <v>11625</v>
      </c>
      <c r="C283" s="292" t="s">
        <v>11626</v>
      </c>
      <c r="D283" s="293" t="s">
        <v>11627</v>
      </c>
    </row>
    <row r="284" spans="1:4" ht="14.1" customHeight="1" x14ac:dyDescent="0.25">
      <c r="A284" s="292" t="s">
        <v>11624</v>
      </c>
      <c r="B284" s="293" t="s">
        <v>11625</v>
      </c>
      <c r="C284" s="292" t="s">
        <v>11628</v>
      </c>
      <c r="D284" s="293" t="s">
        <v>11629</v>
      </c>
    </row>
    <row r="285" spans="1:4" ht="14.1" customHeight="1" x14ac:dyDescent="0.25">
      <c r="A285" s="292" t="s">
        <v>11624</v>
      </c>
      <c r="B285" s="293" t="s">
        <v>11625</v>
      </c>
      <c r="C285" s="292" t="s">
        <v>11630</v>
      </c>
      <c r="D285" s="293" t="s">
        <v>11631</v>
      </c>
    </row>
    <row r="286" spans="1:4" ht="14.1" customHeight="1" x14ac:dyDescent="0.25">
      <c r="A286" s="292" t="s">
        <v>11624</v>
      </c>
      <c r="B286" s="293" t="s">
        <v>11625</v>
      </c>
      <c r="C286" s="292" t="s">
        <v>11632</v>
      </c>
      <c r="D286" s="293" t="s">
        <v>11633</v>
      </c>
    </row>
    <row r="287" spans="1:4" ht="14.1" customHeight="1" x14ac:dyDescent="0.25">
      <c r="A287" s="292" t="s">
        <v>11624</v>
      </c>
      <c r="B287" s="293" t="s">
        <v>11625</v>
      </c>
      <c r="C287" s="292" t="s">
        <v>11634</v>
      </c>
      <c r="D287" s="293" t="s">
        <v>11635</v>
      </c>
    </row>
    <row r="288" spans="1:4" ht="14.1" customHeight="1" x14ac:dyDescent="0.25">
      <c r="A288" s="292" t="s">
        <v>11624</v>
      </c>
      <c r="B288" s="293" t="s">
        <v>11625</v>
      </c>
      <c r="C288" s="292" t="s">
        <v>11636</v>
      </c>
      <c r="D288" s="293" t="s">
        <v>11637</v>
      </c>
    </row>
    <row r="289" spans="1:4" ht="14.1" customHeight="1" x14ac:dyDescent="0.25">
      <c r="A289" s="292" t="s">
        <v>11638</v>
      </c>
      <c r="B289" s="293" t="s">
        <v>11639</v>
      </c>
      <c r="C289" s="292" t="s">
        <v>11640</v>
      </c>
      <c r="D289" s="293" t="s">
        <v>11641</v>
      </c>
    </row>
    <row r="290" spans="1:4" ht="14.1" customHeight="1" x14ac:dyDescent="0.25">
      <c r="A290" s="292" t="s">
        <v>11638</v>
      </c>
      <c r="B290" s="293" t="s">
        <v>11639</v>
      </c>
      <c r="C290" s="292" t="s">
        <v>11642</v>
      </c>
      <c r="D290" s="293" t="s">
        <v>11643</v>
      </c>
    </row>
    <row r="291" spans="1:4" ht="14.1" customHeight="1" x14ac:dyDescent="0.25">
      <c r="A291" s="292" t="s">
        <v>11638</v>
      </c>
      <c r="B291" s="293" t="s">
        <v>11639</v>
      </c>
      <c r="C291" s="292" t="s">
        <v>11644</v>
      </c>
      <c r="D291" s="293" t="s">
        <v>11645</v>
      </c>
    </row>
    <row r="292" spans="1:4" ht="14.1" customHeight="1" x14ac:dyDescent="0.25">
      <c r="A292" s="292" t="s">
        <v>11638</v>
      </c>
      <c r="B292" s="293" t="s">
        <v>11639</v>
      </c>
      <c r="C292" s="292" t="s">
        <v>11646</v>
      </c>
      <c r="D292" s="293" t="s">
        <v>11647</v>
      </c>
    </row>
    <row r="293" spans="1:4" ht="14.1" customHeight="1" x14ac:dyDescent="0.25">
      <c r="A293" s="292" t="s">
        <v>11648</v>
      </c>
      <c r="B293" s="293" t="s">
        <v>11649</v>
      </c>
      <c r="C293" s="292" t="s">
        <v>11650</v>
      </c>
      <c r="D293" s="293" t="s">
        <v>11651</v>
      </c>
    </row>
    <row r="294" spans="1:4" ht="14.1" customHeight="1" x14ac:dyDescent="0.25">
      <c r="A294" s="292" t="s">
        <v>11648</v>
      </c>
      <c r="B294" s="293" t="s">
        <v>11649</v>
      </c>
      <c r="C294" s="292" t="s">
        <v>11652</v>
      </c>
      <c r="D294" s="293" t="s">
        <v>11653</v>
      </c>
    </row>
    <row r="295" spans="1:4" ht="14.1" customHeight="1" x14ac:dyDescent="0.25">
      <c r="A295" s="292" t="s">
        <v>11648</v>
      </c>
      <c r="B295" s="293" t="s">
        <v>11649</v>
      </c>
      <c r="C295" s="292" t="s">
        <v>11654</v>
      </c>
      <c r="D295" s="293" t="s">
        <v>11655</v>
      </c>
    </row>
    <row r="296" spans="1:4" ht="14.1" customHeight="1" x14ac:dyDescent="0.25">
      <c r="A296" s="292" t="s">
        <v>11648</v>
      </c>
      <c r="B296" s="293" t="s">
        <v>11649</v>
      </c>
      <c r="C296" s="292" t="s">
        <v>11656</v>
      </c>
      <c r="D296" s="293" t="s">
        <v>11655</v>
      </c>
    </row>
    <row r="297" spans="1:4" ht="14.1" customHeight="1" x14ac:dyDescent="0.25">
      <c r="A297" s="292" t="s">
        <v>11648</v>
      </c>
      <c r="B297" s="293" t="s">
        <v>11649</v>
      </c>
      <c r="C297" s="292" t="s">
        <v>11657</v>
      </c>
      <c r="D297" s="293" t="s">
        <v>11658</v>
      </c>
    </row>
    <row r="298" spans="1:4" ht="14.1" customHeight="1" x14ac:dyDescent="0.25">
      <c r="A298" s="292" t="s">
        <v>11648</v>
      </c>
      <c r="B298" s="293" t="s">
        <v>11649</v>
      </c>
      <c r="C298" s="292" t="s">
        <v>11659</v>
      </c>
      <c r="D298" s="293" t="s">
        <v>11660</v>
      </c>
    </row>
    <row r="299" spans="1:4" ht="14.1" customHeight="1" x14ac:dyDescent="0.25">
      <c r="A299" s="292" t="s">
        <v>11648</v>
      </c>
      <c r="B299" s="293" t="s">
        <v>11649</v>
      </c>
      <c r="C299" s="292" t="s">
        <v>11661</v>
      </c>
      <c r="D299" s="293" t="s">
        <v>11662</v>
      </c>
    </row>
    <row r="300" spans="1:4" ht="14.1" customHeight="1" x14ac:dyDescent="0.25">
      <c r="A300" s="292" t="s">
        <v>11648</v>
      </c>
      <c r="B300" s="293" t="s">
        <v>11649</v>
      </c>
      <c r="C300" s="292" t="s">
        <v>10090</v>
      </c>
      <c r="D300" s="293" t="s">
        <v>11663</v>
      </c>
    </row>
    <row r="301" spans="1:4" ht="14.1" customHeight="1" x14ac:dyDescent="0.25">
      <c r="A301" s="292" t="s">
        <v>11648</v>
      </c>
      <c r="B301" s="293" t="s">
        <v>11649</v>
      </c>
      <c r="C301" s="292" t="s">
        <v>11664</v>
      </c>
      <c r="D301" s="293" t="s">
        <v>11665</v>
      </c>
    </row>
    <row r="302" spans="1:4" ht="14.1" customHeight="1" x14ac:dyDescent="0.25">
      <c r="A302" s="292" t="s">
        <v>11648</v>
      </c>
      <c r="B302" s="293" t="s">
        <v>11649</v>
      </c>
      <c r="C302" s="292" t="s">
        <v>11666</v>
      </c>
      <c r="D302" s="293" t="s">
        <v>11667</v>
      </c>
    </row>
    <row r="303" spans="1:4" ht="14.1" customHeight="1" x14ac:dyDescent="0.25">
      <c r="A303" s="292" t="s">
        <v>11668</v>
      </c>
      <c r="B303" s="293" t="s">
        <v>11669</v>
      </c>
      <c r="C303" s="292" t="s">
        <v>11670</v>
      </c>
      <c r="D303" s="293" t="s">
        <v>11671</v>
      </c>
    </row>
    <row r="304" spans="1:4" ht="14.1" customHeight="1" x14ac:dyDescent="0.25">
      <c r="A304" s="292" t="s">
        <v>11668</v>
      </c>
      <c r="B304" s="293" t="s">
        <v>11669</v>
      </c>
      <c r="C304" s="292" t="s">
        <v>11672</v>
      </c>
      <c r="D304" s="293" t="s">
        <v>11673</v>
      </c>
    </row>
    <row r="305" spans="1:4" ht="14.1" customHeight="1" x14ac:dyDescent="0.25">
      <c r="A305" s="292" t="s">
        <v>11668</v>
      </c>
      <c r="B305" s="293" t="s">
        <v>11669</v>
      </c>
      <c r="C305" s="292" t="s">
        <v>11674</v>
      </c>
      <c r="D305" s="293" t="s">
        <v>11675</v>
      </c>
    </row>
    <row r="306" spans="1:4" ht="14.1" customHeight="1" x14ac:dyDescent="0.25">
      <c r="A306" s="292" t="s">
        <v>11668</v>
      </c>
      <c r="B306" s="293" t="s">
        <v>11669</v>
      </c>
      <c r="C306" s="292" t="s">
        <v>11676</v>
      </c>
      <c r="D306" s="293" t="s">
        <v>11677</v>
      </c>
    </row>
    <row r="307" spans="1:4" ht="14.1" customHeight="1" x14ac:dyDescent="0.25">
      <c r="A307" s="292" t="s">
        <v>11668</v>
      </c>
      <c r="B307" s="293" t="s">
        <v>11669</v>
      </c>
      <c r="C307" s="292" t="s">
        <v>11678</v>
      </c>
      <c r="D307" s="293" t="s">
        <v>11679</v>
      </c>
    </row>
    <row r="308" spans="1:4" ht="14.1" customHeight="1" x14ac:dyDescent="0.25">
      <c r="A308" s="292" t="s">
        <v>11668</v>
      </c>
      <c r="B308" s="293" t="s">
        <v>11669</v>
      </c>
      <c r="C308" s="292" t="s">
        <v>11680</v>
      </c>
      <c r="D308" s="293" t="s">
        <v>11681</v>
      </c>
    </row>
    <row r="309" spans="1:4" ht="14.1" customHeight="1" x14ac:dyDescent="0.25">
      <c r="A309" s="292" t="s">
        <v>11668</v>
      </c>
      <c r="B309" s="293" t="s">
        <v>11669</v>
      </c>
      <c r="C309" s="292" t="s">
        <v>11682</v>
      </c>
      <c r="D309" s="293" t="s">
        <v>11683</v>
      </c>
    </row>
    <row r="310" spans="1:4" ht="14.1" customHeight="1" x14ac:dyDescent="0.25">
      <c r="A310" s="292" t="s">
        <v>11668</v>
      </c>
      <c r="B310" s="293" t="s">
        <v>11669</v>
      </c>
      <c r="C310" s="292" t="s">
        <v>11684</v>
      </c>
      <c r="D310" s="293" t="s">
        <v>11685</v>
      </c>
    </row>
    <row r="311" spans="1:4" ht="14.1" customHeight="1" x14ac:dyDescent="0.25">
      <c r="A311" s="292" t="s">
        <v>11686</v>
      </c>
      <c r="B311" s="293" t="s">
        <v>11687</v>
      </c>
      <c r="C311" s="292" t="s">
        <v>11688</v>
      </c>
      <c r="D311" s="293" t="s">
        <v>11689</v>
      </c>
    </row>
    <row r="312" spans="1:4" ht="14.1" customHeight="1" x14ac:dyDescent="0.25">
      <c r="A312" s="292" t="s">
        <v>11690</v>
      </c>
      <c r="B312" s="293" t="s">
        <v>11691</v>
      </c>
      <c r="C312" s="292" t="s">
        <v>11692</v>
      </c>
      <c r="D312" s="293" t="s">
        <v>11693</v>
      </c>
    </row>
    <row r="313" spans="1:4" ht="14.1" customHeight="1" x14ac:dyDescent="0.25">
      <c r="A313" s="292" t="s">
        <v>11690</v>
      </c>
      <c r="B313" s="293" t="s">
        <v>11691</v>
      </c>
      <c r="C313" s="292" t="s">
        <v>11694</v>
      </c>
      <c r="D313" s="293" t="s">
        <v>11695</v>
      </c>
    </row>
    <row r="314" spans="1:4" ht="14.1" customHeight="1" x14ac:dyDescent="0.25">
      <c r="A314" s="292" t="s">
        <v>11690</v>
      </c>
      <c r="B314" s="293" t="s">
        <v>11691</v>
      </c>
      <c r="C314" s="292" t="s">
        <v>11696</v>
      </c>
      <c r="D314" s="293" t="s">
        <v>11697</v>
      </c>
    </row>
    <row r="315" spans="1:4" ht="14.1" customHeight="1" x14ac:dyDescent="0.25">
      <c r="A315" s="292" t="s">
        <v>11698</v>
      </c>
      <c r="B315" s="293" t="s">
        <v>11699</v>
      </c>
      <c r="C315" s="292" t="s">
        <v>11700</v>
      </c>
      <c r="D315" s="293" t="s">
        <v>11701</v>
      </c>
    </row>
    <row r="316" spans="1:4" ht="14.1" customHeight="1" x14ac:dyDescent="0.25">
      <c r="A316" s="292" t="s">
        <v>11702</v>
      </c>
      <c r="B316" s="293" t="s">
        <v>11703</v>
      </c>
      <c r="C316" s="292" t="s">
        <v>11704</v>
      </c>
      <c r="D316" s="293" t="s">
        <v>11705</v>
      </c>
    </row>
    <row r="317" spans="1:4" ht="14.1" customHeight="1" x14ac:dyDescent="0.25">
      <c r="A317" s="292" t="s">
        <v>11706</v>
      </c>
      <c r="B317" s="293" t="s">
        <v>11707</v>
      </c>
      <c r="C317" s="292" t="s">
        <v>11708</v>
      </c>
      <c r="D317" s="293" t="s">
        <v>11709</v>
      </c>
    </row>
    <row r="318" spans="1:4" ht="14.1" customHeight="1" x14ac:dyDescent="0.25">
      <c r="A318" s="292" t="s">
        <v>11710</v>
      </c>
      <c r="B318" s="293" t="s">
        <v>11711</v>
      </c>
      <c r="C318" s="292" t="s">
        <v>11712</v>
      </c>
      <c r="D318" s="293" t="s">
        <v>11713</v>
      </c>
    </row>
    <row r="319" spans="1:4" ht="14.1" customHeight="1" x14ac:dyDescent="0.25">
      <c r="A319" s="292" t="s">
        <v>11714</v>
      </c>
      <c r="B319" s="293" t="s">
        <v>11715</v>
      </c>
      <c r="C319" s="292" t="s">
        <v>11716</v>
      </c>
      <c r="D319" s="293" t="s">
        <v>11717</v>
      </c>
    </row>
    <row r="320" spans="1:4" ht="14.1" customHeight="1" x14ac:dyDescent="0.25">
      <c r="A320" s="292" t="s">
        <v>11718</v>
      </c>
      <c r="B320" s="293" t="s">
        <v>11719</v>
      </c>
      <c r="C320" s="292" t="s">
        <v>11720</v>
      </c>
      <c r="D320" s="293" t="s">
        <v>11721</v>
      </c>
    </row>
    <row r="321" spans="1:4" ht="14.1" customHeight="1" x14ac:dyDescent="0.25">
      <c r="A321" s="292" t="s">
        <v>11722</v>
      </c>
      <c r="B321" s="293" t="s">
        <v>11723</v>
      </c>
      <c r="C321" s="292" t="s">
        <v>11724</v>
      </c>
      <c r="D321" s="293" t="s">
        <v>11725</v>
      </c>
    </row>
    <row r="322" spans="1:4" ht="14.1" customHeight="1" x14ac:dyDescent="0.25">
      <c r="A322" s="292" t="s">
        <v>7631</v>
      </c>
      <c r="B322" s="293" t="s">
        <v>11726</v>
      </c>
      <c r="C322" s="292" t="s">
        <v>10771</v>
      </c>
      <c r="D322" s="293" t="s">
        <v>11727</v>
      </c>
    </row>
    <row r="323" spans="1:4" ht="14.1" customHeight="1" x14ac:dyDescent="0.25">
      <c r="A323" s="292" t="s">
        <v>7631</v>
      </c>
      <c r="B323" s="293" t="s">
        <v>11726</v>
      </c>
      <c r="C323" s="292" t="s">
        <v>11728</v>
      </c>
      <c r="D323" s="293" t="s">
        <v>11729</v>
      </c>
    </row>
    <row r="324" spans="1:4" ht="14.1" customHeight="1" x14ac:dyDescent="0.25">
      <c r="A324" s="292" t="s">
        <v>11730</v>
      </c>
      <c r="B324" s="293" t="s">
        <v>11731</v>
      </c>
      <c r="C324" s="292" t="s">
        <v>11732</v>
      </c>
      <c r="D324" s="293" t="s">
        <v>11733</v>
      </c>
    </row>
    <row r="325" spans="1:4" ht="14.1" customHeight="1" x14ac:dyDescent="0.25">
      <c r="A325" s="292" t="s">
        <v>11730</v>
      </c>
      <c r="B325" s="293" t="s">
        <v>11731</v>
      </c>
      <c r="C325" s="292" t="s">
        <v>11734</v>
      </c>
      <c r="D325" s="293" t="s">
        <v>11735</v>
      </c>
    </row>
    <row r="326" spans="1:4" ht="14.1" customHeight="1" x14ac:dyDescent="0.25">
      <c r="A326" s="292" t="s">
        <v>11730</v>
      </c>
      <c r="B326" s="293" t="s">
        <v>11731</v>
      </c>
      <c r="C326" s="292" t="s">
        <v>11736</v>
      </c>
      <c r="D326" s="293" t="s">
        <v>11737</v>
      </c>
    </row>
    <row r="327" spans="1:4" ht="14.1" customHeight="1" x14ac:dyDescent="0.25">
      <c r="A327" s="292" t="s">
        <v>11730</v>
      </c>
      <c r="B327" s="293" t="s">
        <v>11731</v>
      </c>
      <c r="C327" s="292" t="s">
        <v>11738</v>
      </c>
      <c r="D327" s="293" t="s">
        <v>11739</v>
      </c>
    </row>
    <row r="328" spans="1:4" ht="14.1" customHeight="1" x14ac:dyDescent="0.25">
      <c r="A328" s="292" t="s">
        <v>7557</v>
      </c>
      <c r="B328" s="293" t="s">
        <v>11740</v>
      </c>
      <c r="C328" s="292" t="s">
        <v>11741</v>
      </c>
      <c r="D328" s="293" t="s">
        <v>11742</v>
      </c>
    </row>
    <row r="329" spans="1:4" ht="14.1" customHeight="1" x14ac:dyDescent="0.25">
      <c r="A329" s="292" t="s">
        <v>7557</v>
      </c>
      <c r="B329" s="293" t="s">
        <v>11740</v>
      </c>
      <c r="C329" s="292" t="s">
        <v>11743</v>
      </c>
      <c r="D329" s="293" t="s">
        <v>11744</v>
      </c>
    </row>
    <row r="330" spans="1:4" ht="14.1" customHeight="1" x14ac:dyDescent="0.25">
      <c r="A330" s="292" t="s">
        <v>7557</v>
      </c>
      <c r="B330" s="293" t="s">
        <v>11740</v>
      </c>
      <c r="C330" s="292" t="s">
        <v>11745</v>
      </c>
      <c r="D330" s="293" t="s">
        <v>11746</v>
      </c>
    </row>
    <row r="331" spans="1:4" ht="14.1" customHeight="1" x14ac:dyDescent="0.25">
      <c r="A331" s="292" t="s">
        <v>7557</v>
      </c>
      <c r="B331" s="293" t="s">
        <v>11740</v>
      </c>
      <c r="C331" s="292" t="s">
        <v>11747</v>
      </c>
      <c r="D331" s="293" t="s">
        <v>11748</v>
      </c>
    </row>
    <row r="332" spans="1:4" ht="14.1" customHeight="1" x14ac:dyDescent="0.25">
      <c r="A332" s="292" t="s">
        <v>7557</v>
      </c>
      <c r="B332" s="293" t="s">
        <v>11740</v>
      </c>
      <c r="C332" s="292" t="s">
        <v>11749</v>
      </c>
      <c r="D332" s="293" t="s">
        <v>11750</v>
      </c>
    </row>
    <row r="333" spans="1:4" ht="14.1" customHeight="1" x14ac:dyDescent="0.25">
      <c r="A333" s="292" t="s">
        <v>7557</v>
      </c>
      <c r="B333" s="293" t="s">
        <v>11740</v>
      </c>
      <c r="C333" s="292" t="s">
        <v>11751</v>
      </c>
      <c r="D333" s="293" t="s">
        <v>11752</v>
      </c>
    </row>
    <row r="334" spans="1:4" ht="14.1" customHeight="1" x14ac:dyDescent="0.25">
      <c r="A334" s="292" t="s">
        <v>11753</v>
      </c>
      <c r="B334" s="293" t="s">
        <v>11754</v>
      </c>
      <c r="C334" s="292" t="s">
        <v>11755</v>
      </c>
      <c r="D334" s="293" t="s">
        <v>11756</v>
      </c>
    </row>
    <row r="335" spans="1:4" ht="14.1" customHeight="1" x14ac:dyDescent="0.25">
      <c r="A335" s="292" t="s">
        <v>11753</v>
      </c>
      <c r="B335" s="293" t="s">
        <v>11754</v>
      </c>
      <c r="C335" s="292" t="s">
        <v>11757</v>
      </c>
      <c r="D335" s="293" t="s">
        <v>11758</v>
      </c>
    </row>
    <row r="336" spans="1:4" ht="14.1" customHeight="1" x14ac:dyDescent="0.25">
      <c r="A336" s="292" t="s">
        <v>11753</v>
      </c>
      <c r="B336" s="293" t="s">
        <v>11754</v>
      </c>
      <c r="C336" s="292" t="s">
        <v>11759</v>
      </c>
      <c r="D336" s="293" t="s">
        <v>11760</v>
      </c>
    </row>
    <row r="337" spans="1:4" ht="14.1" customHeight="1" x14ac:dyDescent="0.25">
      <c r="A337" s="292" t="s">
        <v>7559</v>
      </c>
      <c r="B337" s="293" t="s">
        <v>11761</v>
      </c>
      <c r="C337" s="292" t="s">
        <v>11762</v>
      </c>
      <c r="D337" s="293" t="s">
        <v>11763</v>
      </c>
    </row>
    <row r="338" spans="1:4" ht="14.1" customHeight="1" x14ac:dyDescent="0.25">
      <c r="A338" s="292" t="s">
        <v>7559</v>
      </c>
      <c r="B338" s="293" t="s">
        <v>11761</v>
      </c>
      <c r="C338" s="292" t="s">
        <v>11764</v>
      </c>
      <c r="D338" s="293" t="s">
        <v>11765</v>
      </c>
    </row>
    <row r="339" spans="1:4" ht="14.1" customHeight="1" x14ac:dyDescent="0.25">
      <c r="A339" s="292" t="s">
        <v>7559</v>
      </c>
      <c r="B339" s="293" t="s">
        <v>11761</v>
      </c>
      <c r="C339" s="292" t="s">
        <v>11766</v>
      </c>
      <c r="D339" s="293" t="s">
        <v>11767</v>
      </c>
    </row>
    <row r="340" spans="1:4" ht="14.1" customHeight="1" x14ac:dyDescent="0.25">
      <c r="A340" s="292" t="s">
        <v>11768</v>
      </c>
      <c r="B340" s="293" t="s">
        <v>11769</v>
      </c>
      <c r="C340" s="292" t="s">
        <v>11770</v>
      </c>
      <c r="D340" s="293" t="s">
        <v>11771</v>
      </c>
    </row>
    <row r="341" spans="1:4" ht="14.1" customHeight="1" x14ac:dyDescent="0.25">
      <c r="A341" s="292" t="s">
        <v>11768</v>
      </c>
      <c r="B341" s="293" t="s">
        <v>11769</v>
      </c>
      <c r="C341" s="292" t="s">
        <v>11772</v>
      </c>
      <c r="D341" s="293" t="s">
        <v>11773</v>
      </c>
    </row>
    <row r="342" spans="1:4" ht="14.1" customHeight="1" x14ac:dyDescent="0.25">
      <c r="A342" s="292" t="s">
        <v>11768</v>
      </c>
      <c r="B342" s="293" t="s">
        <v>11769</v>
      </c>
      <c r="C342" s="292" t="s">
        <v>11774</v>
      </c>
      <c r="D342" s="293" t="s">
        <v>11775</v>
      </c>
    </row>
    <row r="343" spans="1:4" ht="14.1" customHeight="1" x14ac:dyDescent="0.25">
      <c r="A343" s="292" t="s">
        <v>11776</v>
      </c>
      <c r="B343" s="293" t="s">
        <v>11777</v>
      </c>
      <c r="C343" s="292" t="s">
        <v>11778</v>
      </c>
      <c r="D343" s="293" t="s">
        <v>11779</v>
      </c>
    </row>
    <row r="344" spans="1:4" ht="14.1" customHeight="1" x14ac:dyDescent="0.25">
      <c r="A344" s="292" t="s">
        <v>11780</v>
      </c>
      <c r="B344" s="293" t="s">
        <v>11781</v>
      </c>
      <c r="C344" s="292" t="s">
        <v>11782</v>
      </c>
      <c r="D344" s="293" t="s">
        <v>11783</v>
      </c>
    </row>
    <row r="345" spans="1:4" ht="14.1" customHeight="1" x14ac:dyDescent="0.25">
      <c r="A345" s="292" t="s">
        <v>11784</v>
      </c>
      <c r="B345" s="293" t="s">
        <v>11785</v>
      </c>
      <c r="C345" s="292" t="s">
        <v>11786</v>
      </c>
      <c r="D345" s="293" t="s">
        <v>11787</v>
      </c>
    </row>
    <row r="346" spans="1:4" ht="14.1" customHeight="1" x14ac:dyDescent="0.25">
      <c r="A346" s="292" t="s">
        <v>11788</v>
      </c>
      <c r="B346" s="293" t="s">
        <v>11789</v>
      </c>
      <c r="C346" s="292" t="s">
        <v>11790</v>
      </c>
      <c r="D346" s="293" t="s">
        <v>11791</v>
      </c>
    </row>
    <row r="347" spans="1:4" ht="14.1" customHeight="1" x14ac:dyDescent="0.25">
      <c r="A347" s="292" t="s">
        <v>11788</v>
      </c>
      <c r="B347" s="293" t="s">
        <v>11789</v>
      </c>
      <c r="C347" s="292" t="s">
        <v>11792</v>
      </c>
      <c r="D347" s="293" t="s">
        <v>11793</v>
      </c>
    </row>
    <row r="348" spans="1:4" ht="14.1" customHeight="1" x14ac:dyDescent="0.25">
      <c r="A348" s="335" t="s">
        <v>13541</v>
      </c>
      <c r="B348" s="334" t="s">
        <v>13543</v>
      </c>
      <c r="C348" s="333" t="s">
        <v>13542</v>
      </c>
      <c r="D348" s="334" t="s">
        <v>13540</v>
      </c>
    </row>
    <row r="349" spans="1:4" ht="14.1" customHeight="1" x14ac:dyDescent="0.25">
      <c r="A349" s="292" t="s">
        <v>11794</v>
      </c>
      <c r="B349" s="293" t="s">
        <v>11795</v>
      </c>
      <c r="C349" s="292" t="s">
        <v>11796</v>
      </c>
      <c r="D349" s="293" t="s">
        <v>11797</v>
      </c>
    </row>
    <row r="350" spans="1:4" ht="14.1" customHeight="1" x14ac:dyDescent="0.25">
      <c r="A350" s="292" t="s">
        <v>11794</v>
      </c>
      <c r="B350" s="293" t="s">
        <v>11795</v>
      </c>
      <c r="C350" s="292" t="s">
        <v>11798</v>
      </c>
      <c r="D350" s="293" t="s">
        <v>11799</v>
      </c>
    </row>
    <row r="351" spans="1:4" ht="14.1" customHeight="1" x14ac:dyDescent="0.25">
      <c r="A351" s="292" t="s">
        <v>11794</v>
      </c>
      <c r="B351" s="293" t="s">
        <v>11795</v>
      </c>
      <c r="C351" s="292" t="s">
        <v>11800</v>
      </c>
      <c r="D351" s="293" t="s">
        <v>11801</v>
      </c>
    </row>
    <row r="352" spans="1:4" ht="14.1" customHeight="1" x14ac:dyDescent="0.25">
      <c r="A352" s="292" t="s">
        <v>11794</v>
      </c>
      <c r="B352" s="293" t="s">
        <v>11795</v>
      </c>
      <c r="C352" s="292" t="s">
        <v>11802</v>
      </c>
      <c r="D352" s="293" t="s">
        <v>11803</v>
      </c>
    </row>
    <row r="353" spans="1:4" ht="14.1" customHeight="1" x14ac:dyDescent="0.25">
      <c r="A353" s="292" t="s">
        <v>11794</v>
      </c>
      <c r="B353" s="293" t="s">
        <v>11795</v>
      </c>
      <c r="C353" s="292" t="s">
        <v>11804</v>
      </c>
      <c r="D353" s="293" t="s">
        <v>11805</v>
      </c>
    </row>
    <row r="354" spans="1:4" ht="14.1" customHeight="1" x14ac:dyDescent="0.25">
      <c r="A354" s="292" t="s">
        <v>11806</v>
      </c>
      <c r="B354" s="293" t="s">
        <v>11807</v>
      </c>
      <c r="C354" s="292" t="s">
        <v>11808</v>
      </c>
      <c r="D354" s="293" t="s">
        <v>11809</v>
      </c>
    </row>
    <row r="355" spans="1:4" ht="14.1" customHeight="1" x14ac:dyDescent="0.25">
      <c r="A355" s="115" t="s">
        <v>11806</v>
      </c>
      <c r="B355" s="293" t="s">
        <v>11807</v>
      </c>
      <c r="C355" s="292" t="s">
        <v>11810</v>
      </c>
      <c r="D355" s="293" t="s">
        <v>11811</v>
      </c>
    </row>
    <row r="356" spans="1:4" ht="14.1" customHeight="1" x14ac:dyDescent="0.25">
      <c r="A356" s="115" t="s">
        <v>11806</v>
      </c>
      <c r="B356" s="293" t="s">
        <v>11807</v>
      </c>
      <c r="C356" s="292" t="s">
        <v>11812</v>
      </c>
      <c r="D356" s="293" t="s">
        <v>11813</v>
      </c>
    </row>
    <row r="357" spans="1:4" ht="14.1" customHeight="1" x14ac:dyDescent="0.25">
      <c r="A357" s="292" t="s">
        <v>11806</v>
      </c>
      <c r="B357" s="293" t="s">
        <v>11807</v>
      </c>
      <c r="C357" s="292" t="s">
        <v>11814</v>
      </c>
      <c r="D357" s="293" t="s">
        <v>11815</v>
      </c>
    </row>
    <row r="358" spans="1:4" ht="14.1" customHeight="1" x14ac:dyDescent="0.25">
      <c r="A358" s="292" t="s">
        <v>11806</v>
      </c>
      <c r="B358" s="293" t="s">
        <v>11807</v>
      </c>
      <c r="C358" s="292" t="s">
        <v>11816</v>
      </c>
      <c r="D358" s="293" t="s">
        <v>11817</v>
      </c>
    </row>
    <row r="359" spans="1:4" ht="14.1" customHeight="1" x14ac:dyDescent="0.25">
      <c r="A359" s="292" t="s">
        <v>11818</v>
      </c>
      <c r="B359" s="293" t="s">
        <v>11819</v>
      </c>
      <c r="C359" s="292" t="s">
        <v>11820</v>
      </c>
      <c r="D359" s="293" t="s">
        <v>11821</v>
      </c>
    </row>
    <row r="360" spans="1:4" ht="14.1" customHeight="1" x14ac:dyDescent="0.25">
      <c r="A360" s="292" t="s">
        <v>11822</v>
      </c>
      <c r="B360" s="293" t="s">
        <v>11823</v>
      </c>
      <c r="C360" s="292" t="s">
        <v>11824</v>
      </c>
      <c r="D360" s="293" t="s">
        <v>11825</v>
      </c>
    </row>
    <row r="361" spans="1:4" ht="14.1" customHeight="1" x14ac:dyDescent="0.25">
      <c r="A361" s="115" t="s">
        <v>11822</v>
      </c>
      <c r="B361" s="293" t="s">
        <v>11823</v>
      </c>
      <c r="C361" s="292" t="s">
        <v>11826</v>
      </c>
      <c r="D361" s="293" t="s">
        <v>11827</v>
      </c>
    </row>
    <row r="362" spans="1:4" ht="14.1" customHeight="1" x14ac:dyDescent="0.25">
      <c r="A362" s="292" t="s">
        <v>11828</v>
      </c>
      <c r="B362" s="293" t="s">
        <v>11829</v>
      </c>
      <c r="C362" s="292" t="s">
        <v>11830</v>
      </c>
      <c r="D362" s="293" t="s">
        <v>11831</v>
      </c>
    </row>
    <row r="363" spans="1:4" ht="14.1" customHeight="1" x14ac:dyDescent="0.25">
      <c r="A363" s="292" t="s">
        <v>11832</v>
      </c>
      <c r="B363" s="293" t="s">
        <v>11833</v>
      </c>
      <c r="C363" s="292" t="s">
        <v>11834</v>
      </c>
      <c r="D363" s="293" t="s">
        <v>11835</v>
      </c>
    </row>
    <row r="364" spans="1:4" ht="14.1" customHeight="1" x14ac:dyDescent="0.25">
      <c r="A364" s="292" t="s">
        <v>11832</v>
      </c>
      <c r="B364" s="293" t="s">
        <v>11833</v>
      </c>
      <c r="C364" s="292" t="s">
        <v>11836</v>
      </c>
      <c r="D364" s="293" t="s">
        <v>11837</v>
      </c>
    </row>
    <row r="365" spans="1:4" ht="14.1" customHeight="1" x14ac:dyDescent="0.25">
      <c r="A365" s="292" t="s">
        <v>11832</v>
      </c>
      <c r="B365" s="293" t="s">
        <v>11833</v>
      </c>
      <c r="C365" s="292" t="s">
        <v>11838</v>
      </c>
      <c r="D365" s="293" t="s">
        <v>11839</v>
      </c>
    </row>
    <row r="366" spans="1:4" ht="14.1" customHeight="1" x14ac:dyDescent="0.25">
      <c r="A366" s="292" t="s">
        <v>11840</v>
      </c>
      <c r="B366" s="293" t="s">
        <v>11841</v>
      </c>
      <c r="C366" s="292" t="s">
        <v>11842</v>
      </c>
      <c r="D366" s="293" t="s">
        <v>11843</v>
      </c>
    </row>
    <row r="367" spans="1:4" ht="14.1" customHeight="1" x14ac:dyDescent="0.25">
      <c r="A367" s="292" t="s">
        <v>11840</v>
      </c>
      <c r="B367" s="293" t="s">
        <v>11841</v>
      </c>
      <c r="C367" s="292" t="s">
        <v>13372</v>
      </c>
      <c r="D367" s="293" t="s">
        <v>13373</v>
      </c>
    </row>
    <row r="368" spans="1:4" ht="14.1" customHeight="1" x14ac:dyDescent="0.25">
      <c r="A368" s="292" t="s">
        <v>11844</v>
      </c>
      <c r="B368" s="293" t="s">
        <v>11845</v>
      </c>
      <c r="C368" s="292" t="s">
        <v>11846</v>
      </c>
      <c r="D368" s="293" t="s">
        <v>11847</v>
      </c>
    </row>
    <row r="369" spans="1:4" ht="14.1" customHeight="1" x14ac:dyDescent="0.25">
      <c r="A369" s="292" t="s">
        <v>11848</v>
      </c>
      <c r="B369" s="293" t="s">
        <v>11849</v>
      </c>
      <c r="C369" s="292" t="s">
        <v>11850</v>
      </c>
      <c r="D369" s="293" t="s">
        <v>11851</v>
      </c>
    </row>
    <row r="370" spans="1:4" ht="14.1" customHeight="1" x14ac:dyDescent="0.25">
      <c r="A370" s="292" t="s">
        <v>11848</v>
      </c>
      <c r="B370" s="293" t="s">
        <v>11849</v>
      </c>
      <c r="C370" s="292" t="s">
        <v>11852</v>
      </c>
      <c r="D370" s="293" t="s">
        <v>11853</v>
      </c>
    </row>
    <row r="371" spans="1:4" ht="14.1" customHeight="1" x14ac:dyDescent="0.25">
      <c r="A371" s="292" t="s">
        <v>11848</v>
      </c>
      <c r="B371" s="293" t="s">
        <v>11849</v>
      </c>
      <c r="C371" s="292" t="s">
        <v>11854</v>
      </c>
      <c r="D371" s="293" t="s">
        <v>11855</v>
      </c>
    </row>
    <row r="372" spans="1:4" ht="14.1" customHeight="1" x14ac:dyDescent="0.25">
      <c r="A372" s="292" t="s">
        <v>11848</v>
      </c>
      <c r="B372" s="293" t="s">
        <v>11849</v>
      </c>
      <c r="C372" s="292" t="s">
        <v>11856</v>
      </c>
      <c r="D372" s="293" t="s">
        <v>11857</v>
      </c>
    </row>
    <row r="373" spans="1:4" ht="14.1" customHeight="1" x14ac:dyDescent="0.25">
      <c r="A373" s="292" t="s">
        <v>11848</v>
      </c>
      <c r="B373" s="293" t="s">
        <v>11849</v>
      </c>
      <c r="C373" s="292" t="s">
        <v>11858</v>
      </c>
      <c r="D373" s="293" t="s">
        <v>11859</v>
      </c>
    </row>
    <row r="374" spans="1:4" ht="14.1" customHeight="1" x14ac:dyDescent="0.25">
      <c r="A374" s="292" t="s">
        <v>11848</v>
      </c>
      <c r="B374" s="293" t="s">
        <v>11849</v>
      </c>
      <c r="C374" s="292" t="s">
        <v>11860</v>
      </c>
      <c r="D374" s="293" t="s">
        <v>11861</v>
      </c>
    </row>
    <row r="375" spans="1:4" ht="14.1" customHeight="1" x14ac:dyDescent="0.25">
      <c r="A375" s="292" t="s">
        <v>11848</v>
      </c>
      <c r="B375" s="293" t="s">
        <v>11849</v>
      </c>
      <c r="C375" s="292" t="s">
        <v>11862</v>
      </c>
      <c r="D375" s="293" t="s">
        <v>11863</v>
      </c>
    </row>
    <row r="376" spans="1:4" ht="14.1" customHeight="1" x14ac:dyDescent="0.25">
      <c r="A376" s="292" t="s">
        <v>11848</v>
      </c>
      <c r="B376" s="293" t="s">
        <v>11849</v>
      </c>
      <c r="C376" s="292" t="s">
        <v>11864</v>
      </c>
      <c r="D376" s="293" t="s">
        <v>11865</v>
      </c>
    </row>
    <row r="377" spans="1:4" ht="14.1" customHeight="1" x14ac:dyDescent="0.25">
      <c r="A377" s="292" t="s">
        <v>11848</v>
      </c>
      <c r="B377" s="293" t="s">
        <v>11849</v>
      </c>
      <c r="C377" s="292" t="s">
        <v>11866</v>
      </c>
      <c r="D377" s="293" t="s">
        <v>11867</v>
      </c>
    </row>
    <row r="378" spans="1:4" ht="14.1" customHeight="1" x14ac:dyDescent="0.25">
      <c r="A378" s="292" t="s">
        <v>11848</v>
      </c>
      <c r="B378" s="293" t="s">
        <v>11849</v>
      </c>
      <c r="C378" s="292" t="s">
        <v>11868</v>
      </c>
      <c r="D378" s="293" t="s">
        <v>11869</v>
      </c>
    </row>
    <row r="379" spans="1:4" ht="14.1" customHeight="1" x14ac:dyDescent="0.25">
      <c r="A379" s="292" t="s">
        <v>11848</v>
      </c>
      <c r="B379" s="293" t="s">
        <v>11849</v>
      </c>
      <c r="C379" s="292" t="s">
        <v>11870</v>
      </c>
      <c r="D379" s="293" t="s">
        <v>11871</v>
      </c>
    </row>
    <row r="380" spans="1:4" ht="14.1" customHeight="1" x14ac:dyDescent="0.25">
      <c r="A380" s="292" t="s">
        <v>11848</v>
      </c>
      <c r="B380" s="293" t="s">
        <v>11849</v>
      </c>
      <c r="C380" s="292" t="s">
        <v>11872</v>
      </c>
      <c r="D380" s="293" t="s">
        <v>11873</v>
      </c>
    </row>
    <row r="381" spans="1:4" ht="14.1" customHeight="1" x14ac:dyDescent="0.25">
      <c r="A381" s="292" t="s">
        <v>11848</v>
      </c>
      <c r="B381" s="293" t="s">
        <v>11849</v>
      </c>
      <c r="C381" s="292" t="s">
        <v>11874</v>
      </c>
      <c r="D381" s="293" t="s">
        <v>11875</v>
      </c>
    </row>
    <row r="382" spans="1:4" ht="14.1" customHeight="1" x14ac:dyDescent="0.25">
      <c r="A382" s="292" t="s">
        <v>11848</v>
      </c>
      <c r="B382" s="293" t="s">
        <v>11849</v>
      </c>
      <c r="C382" s="292" t="s">
        <v>11876</v>
      </c>
      <c r="D382" s="293" t="s">
        <v>13359</v>
      </c>
    </row>
    <row r="383" spans="1:4" ht="14.1" customHeight="1" x14ac:dyDescent="0.25">
      <c r="A383" s="292" t="s">
        <v>11848</v>
      </c>
      <c r="B383" s="293" t="s">
        <v>11849</v>
      </c>
      <c r="C383" s="292" t="s">
        <v>11877</v>
      </c>
      <c r="D383" s="293" t="s">
        <v>11878</v>
      </c>
    </row>
    <row r="384" spans="1:4" ht="14.1" customHeight="1" x14ac:dyDescent="0.25">
      <c r="A384" s="292" t="s">
        <v>11848</v>
      </c>
      <c r="B384" s="293" t="s">
        <v>11849</v>
      </c>
      <c r="C384" s="292" t="s">
        <v>11879</v>
      </c>
      <c r="D384" s="293" t="s">
        <v>11880</v>
      </c>
    </row>
    <row r="385" spans="1:4" ht="14.1" customHeight="1" x14ac:dyDescent="0.25">
      <c r="A385" s="292" t="s">
        <v>11848</v>
      </c>
      <c r="B385" s="293" t="s">
        <v>11849</v>
      </c>
      <c r="C385" s="292" t="s">
        <v>11881</v>
      </c>
      <c r="D385" s="293" t="s">
        <v>11182</v>
      </c>
    </row>
    <row r="386" spans="1:4" ht="14.1" customHeight="1" x14ac:dyDescent="0.25">
      <c r="A386" s="292" t="s">
        <v>11848</v>
      </c>
      <c r="B386" s="293" t="s">
        <v>11849</v>
      </c>
      <c r="C386" s="292" t="s">
        <v>11882</v>
      </c>
      <c r="D386" s="293" t="s">
        <v>11883</v>
      </c>
    </row>
    <row r="387" spans="1:4" ht="14.1" customHeight="1" x14ac:dyDescent="0.25">
      <c r="A387" s="292" t="s">
        <v>11848</v>
      </c>
      <c r="B387" s="293" t="s">
        <v>11849</v>
      </c>
      <c r="C387" s="292" t="s">
        <v>11884</v>
      </c>
      <c r="D387" s="293" t="s">
        <v>11885</v>
      </c>
    </row>
    <row r="388" spans="1:4" ht="14.1" customHeight="1" x14ac:dyDescent="0.25">
      <c r="A388" s="292" t="s">
        <v>11848</v>
      </c>
      <c r="B388" s="293" t="s">
        <v>11849</v>
      </c>
      <c r="C388" s="292" t="s">
        <v>11886</v>
      </c>
      <c r="D388" s="293" t="s">
        <v>11201</v>
      </c>
    </row>
    <row r="389" spans="1:4" ht="14.1" customHeight="1" x14ac:dyDescent="0.25">
      <c r="A389" s="292" t="s">
        <v>11848</v>
      </c>
      <c r="B389" s="293" t="s">
        <v>11849</v>
      </c>
      <c r="C389" s="292" t="s">
        <v>11887</v>
      </c>
      <c r="D389" s="293" t="s">
        <v>11888</v>
      </c>
    </row>
    <row r="390" spans="1:4" ht="14.1" customHeight="1" x14ac:dyDescent="0.25">
      <c r="A390" s="292" t="s">
        <v>11848</v>
      </c>
      <c r="B390" s="293" t="s">
        <v>11849</v>
      </c>
      <c r="C390" s="292" t="s">
        <v>11889</v>
      </c>
      <c r="D390" s="293" t="s">
        <v>11890</v>
      </c>
    </row>
    <row r="391" spans="1:4" ht="14.1" customHeight="1" x14ac:dyDescent="0.25">
      <c r="A391" s="292" t="s">
        <v>11848</v>
      </c>
      <c r="B391" s="293" t="s">
        <v>11849</v>
      </c>
      <c r="C391" s="292" t="s">
        <v>11891</v>
      </c>
      <c r="D391" s="293" t="s">
        <v>11892</v>
      </c>
    </row>
    <row r="392" spans="1:4" ht="14.1" customHeight="1" x14ac:dyDescent="0.25">
      <c r="A392" s="292" t="s">
        <v>11848</v>
      </c>
      <c r="B392" s="293" t="s">
        <v>11849</v>
      </c>
      <c r="C392" s="292" t="s">
        <v>11893</v>
      </c>
      <c r="D392" s="293" t="s">
        <v>11894</v>
      </c>
    </row>
    <row r="393" spans="1:4" ht="14.1" customHeight="1" x14ac:dyDescent="0.25">
      <c r="A393" s="292" t="s">
        <v>11848</v>
      </c>
      <c r="B393" s="293" t="s">
        <v>11849</v>
      </c>
      <c r="C393" s="292" t="s">
        <v>11895</v>
      </c>
      <c r="D393" s="293" t="s">
        <v>11896</v>
      </c>
    </row>
    <row r="394" spans="1:4" ht="14.1" customHeight="1" x14ac:dyDescent="0.25">
      <c r="A394" s="292" t="s">
        <v>11848</v>
      </c>
      <c r="B394" s="293" t="s">
        <v>11849</v>
      </c>
      <c r="C394" s="292" t="s">
        <v>11897</v>
      </c>
      <c r="D394" s="293" t="s">
        <v>11898</v>
      </c>
    </row>
    <row r="395" spans="1:4" ht="14.1" customHeight="1" x14ac:dyDescent="0.25">
      <c r="A395" s="292" t="s">
        <v>11848</v>
      </c>
      <c r="B395" s="293" t="s">
        <v>11849</v>
      </c>
      <c r="C395" s="292" t="s">
        <v>11899</v>
      </c>
      <c r="D395" s="293" t="s">
        <v>11900</v>
      </c>
    </row>
    <row r="396" spans="1:4" ht="14.1" customHeight="1" x14ac:dyDescent="0.25">
      <c r="A396" s="292" t="s">
        <v>11901</v>
      </c>
      <c r="B396" s="293" t="s">
        <v>11902</v>
      </c>
      <c r="C396" s="292" t="s">
        <v>11903</v>
      </c>
      <c r="D396" s="293" t="s">
        <v>11904</v>
      </c>
    </row>
    <row r="397" spans="1:4" ht="14.1" customHeight="1" x14ac:dyDescent="0.25">
      <c r="A397" s="292" t="s">
        <v>11905</v>
      </c>
      <c r="B397" s="293" t="s">
        <v>11906</v>
      </c>
      <c r="C397" s="292" t="s">
        <v>11907</v>
      </c>
      <c r="D397" s="293" t="s">
        <v>11908</v>
      </c>
    </row>
    <row r="398" spans="1:4" ht="14.1" customHeight="1" x14ac:dyDescent="0.25">
      <c r="A398" s="292" t="s">
        <v>11909</v>
      </c>
      <c r="B398" s="293" t="s">
        <v>11910</v>
      </c>
      <c r="C398" s="292" t="s">
        <v>11911</v>
      </c>
      <c r="D398" s="293" t="s">
        <v>11912</v>
      </c>
    </row>
    <row r="399" spans="1:4" ht="14.1" customHeight="1" x14ac:dyDescent="0.25">
      <c r="A399" s="292" t="s">
        <v>11913</v>
      </c>
      <c r="B399" s="293" t="s">
        <v>11914</v>
      </c>
      <c r="C399" s="292" t="s">
        <v>11915</v>
      </c>
      <c r="D399" s="293" t="s">
        <v>11916</v>
      </c>
    </row>
    <row r="400" spans="1:4" ht="14.1" customHeight="1" x14ac:dyDescent="0.25">
      <c r="A400" s="292" t="s">
        <v>11917</v>
      </c>
      <c r="B400" s="293" t="s">
        <v>11918</v>
      </c>
      <c r="C400" s="292" t="s">
        <v>11919</v>
      </c>
      <c r="D400" s="293" t="s">
        <v>11920</v>
      </c>
    </row>
    <row r="401" spans="1:4" ht="14.1" customHeight="1" x14ac:dyDescent="0.25">
      <c r="A401" s="292" t="s">
        <v>11917</v>
      </c>
      <c r="B401" s="293" t="s">
        <v>11918</v>
      </c>
      <c r="C401" s="292" t="s">
        <v>11921</v>
      </c>
      <c r="D401" s="293" t="s">
        <v>11922</v>
      </c>
    </row>
    <row r="402" spans="1:4" ht="14.1" customHeight="1" x14ac:dyDescent="0.25">
      <c r="A402" s="292" t="s">
        <v>11917</v>
      </c>
      <c r="B402" s="293" t="s">
        <v>11918</v>
      </c>
      <c r="C402" s="292" t="s">
        <v>11923</v>
      </c>
      <c r="D402" s="293" t="s">
        <v>11924</v>
      </c>
    </row>
    <row r="403" spans="1:4" ht="14.1" customHeight="1" x14ac:dyDescent="0.25">
      <c r="A403" s="292" t="s">
        <v>11925</v>
      </c>
      <c r="B403" s="293" t="s">
        <v>11926</v>
      </c>
      <c r="C403" s="292" t="s">
        <v>11927</v>
      </c>
      <c r="D403" s="293" t="s">
        <v>11928</v>
      </c>
    </row>
    <row r="404" spans="1:4" ht="14.1" customHeight="1" x14ac:dyDescent="0.25">
      <c r="A404" s="292" t="s">
        <v>11925</v>
      </c>
      <c r="B404" s="293" t="s">
        <v>11926</v>
      </c>
      <c r="C404" s="292" t="s">
        <v>11929</v>
      </c>
      <c r="D404" s="293" t="s">
        <v>11930</v>
      </c>
    </row>
    <row r="405" spans="1:4" ht="14.1" customHeight="1" x14ac:dyDescent="0.25">
      <c r="A405" s="292" t="s">
        <v>11925</v>
      </c>
      <c r="B405" s="293" t="s">
        <v>11926</v>
      </c>
      <c r="C405" s="292" t="s">
        <v>11931</v>
      </c>
      <c r="D405" s="293" t="s">
        <v>11932</v>
      </c>
    </row>
    <row r="406" spans="1:4" ht="14.1" customHeight="1" x14ac:dyDescent="0.25">
      <c r="A406" s="292" t="s">
        <v>11933</v>
      </c>
      <c r="B406" s="293" t="s">
        <v>11934</v>
      </c>
      <c r="C406" s="292" t="s">
        <v>11935</v>
      </c>
      <c r="D406" s="293" t="s">
        <v>11936</v>
      </c>
    </row>
    <row r="407" spans="1:4" ht="14.1" customHeight="1" x14ac:dyDescent="0.25">
      <c r="A407" s="292" t="s">
        <v>11933</v>
      </c>
      <c r="B407" s="293" t="s">
        <v>11934</v>
      </c>
      <c r="C407" s="292" t="s">
        <v>11937</v>
      </c>
      <c r="D407" s="293" t="s">
        <v>11938</v>
      </c>
    </row>
    <row r="408" spans="1:4" ht="14.1" customHeight="1" x14ac:dyDescent="0.25">
      <c r="A408" s="292" t="s">
        <v>11933</v>
      </c>
      <c r="B408" s="293" t="s">
        <v>11934</v>
      </c>
      <c r="C408" s="292" t="s">
        <v>11939</v>
      </c>
      <c r="D408" s="293" t="s">
        <v>11940</v>
      </c>
    </row>
    <row r="409" spans="1:4" ht="14.1" customHeight="1" x14ac:dyDescent="0.25">
      <c r="A409" s="292" t="s">
        <v>11933</v>
      </c>
      <c r="B409" s="293" t="s">
        <v>11934</v>
      </c>
      <c r="C409" s="292" t="s">
        <v>11941</v>
      </c>
      <c r="D409" s="293" t="s">
        <v>11942</v>
      </c>
    </row>
    <row r="410" spans="1:4" ht="14.1" customHeight="1" x14ac:dyDescent="0.25">
      <c r="A410" s="292" t="s">
        <v>11933</v>
      </c>
      <c r="B410" s="293" t="s">
        <v>11934</v>
      </c>
      <c r="C410" s="292" t="s">
        <v>11943</v>
      </c>
      <c r="D410" s="293" t="s">
        <v>11944</v>
      </c>
    </row>
    <row r="411" spans="1:4" ht="14.1" customHeight="1" x14ac:dyDescent="0.25">
      <c r="A411" s="292" t="s">
        <v>11945</v>
      </c>
      <c r="B411" s="293" t="s">
        <v>11946</v>
      </c>
      <c r="C411" s="292" t="s">
        <v>11947</v>
      </c>
      <c r="D411" s="293" t="s">
        <v>11948</v>
      </c>
    </row>
    <row r="412" spans="1:4" ht="14.1" customHeight="1" x14ac:dyDescent="0.25">
      <c r="A412" s="292" t="s">
        <v>11945</v>
      </c>
      <c r="B412" s="293" t="s">
        <v>11946</v>
      </c>
      <c r="C412" s="292" t="s">
        <v>11949</v>
      </c>
      <c r="D412" s="293" t="s">
        <v>11950</v>
      </c>
    </row>
    <row r="413" spans="1:4" ht="14.1" customHeight="1" x14ac:dyDescent="0.25">
      <c r="A413" s="292" t="s">
        <v>11951</v>
      </c>
      <c r="B413" s="293" t="s">
        <v>11952</v>
      </c>
      <c r="C413" s="292" t="s">
        <v>11953</v>
      </c>
      <c r="D413" s="293" t="s">
        <v>11954</v>
      </c>
    </row>
    <row r="414" spans="1:4" ht="14.1" customHeight="1" x14ac:dyDescent="0.25">
      <c r="A414" s="292" t="s">
        <v>11955</v>
      </c>
      <c r="B414" s="293" t="s">
        <v>11956</v>
      </c>
      <c r="C414" s="292" t="s">
        <v>11957</v>
      </c>
      <c r="D414" s="293" t="s">
        <v>11958</v>
      </c>
    </row>
    <row r="415" spans="1:4" ht="14.1" customHeight="1" x14ac:dyDescent="0.25">
      <c r="A415" s="292" t="s">
        <v>11955</v>
      </c>
      <c r="B415" s="293" t="s">
        <v>11956</v>
      </c>
      <c r="C415" s="292" t="s">
        <v>11959</v>
      </c>
      <c r="D415" s="293" t="s">
        <v>11960</v>
      </c>
    </row>
    <row r="416" spans="1:4" ht="14.1" customHeight="1" x14ac:dyDescent="0.25">
      <c r="A416" s="292" t="s">
        <v>11955</v>
      </c>
      <c r="B416" s="293" t="s">
        <v>11956</v>
      </c>
      <c r="C416" s="292" t="s">
        <v>11961</v>
      </c>
      <c r="D416" s="293" t="s">
        <v>11962</v>
      </c>
    </row>
    <row r="417" spans="1:4" ht="14.1" customHeight="1" x14ac:dyDescent="0.25">
      <c r="A417" s="292" t="s">
        <v>7584</v>
      </c>
      <c r="B417" s="293" t="s">
        <v>11963</v>
      </c>
      <c r="C417" s="292" t="s">
        <v>11964</v>
      </c>
      <c r="D417" s="293" t="s">
        <v>11965</v>
      </c>
    </row>
    <row r="418" spans="1:4" ht="14.1" customHeight="1" x14ac:dyDescent="0.25">
      <c r="A418" s="292" t="s">
        <v>7584</v>
      </c>
      <c r="B418" s="293" t="s">
        <v>11963</v>
      </c>
      <c r="C418" s="292" t="s">
        <v>11966</v>
      </c>
      <c r="D418" s="293" t="s">
        <v>11967</v>
      </c>
    </row>
    <row r="419" spans="1:4" ht="14.1" customHeight="1" x14ac:dyDescent="0.25">
      <c r="A419" s="292" t="s">
        <v>7584</v>
      </c>
      <c r="B419" s="293" t="s">
        <v>11963</v>
      </c>
      <c r="C419" s="292" t="s">
        <v>11968</v>
      </c>
      <c r="D419" s="293" t="s">
        <v>11969</v>
      </c>
    </row>
    <row r="420" spans="1:4" ht="14.1" customHeight="1" x14ac:dyDescent="0.25">
      <c r="A420" s="292" t="s">
        <v>7584</v>
      </c>
      <c r="B420" s="293" t="s">
        <v>11963</v>
      </c>
      <c r="C420" s="292" t="s">
        <v>11970</v>
      </c>
      <c r="D420" s="293" t="s">
        <v>11971</v>
      </c>
    </row>
    <row r="421" spans="1:4" ht="14.1" customHeight="1" x14ac:dyDescent="0.25">
      <c r="A421" s="292" t="s">
        <v>7584</v>
      </c>
      <c r="B421" s="293" t="s">
        <v>11963</v>
      </c>
      <c r="C421" s="292" t="s">
        <v>11972</v>
      </c>
      <c r="D421" s="293" t="s">
        <v>11193</v>
      </c>
    </row>
    <row r="422" spans="1:4" ht="14.1" customHeight="1" x14ac:dyDescent="0.25">
      <c r="A422" s="292" t="s">
        <v>7584</v>
      </c>
      <c r="B422" s="293" t="s">
        <v>11963</v>
      </c>
      <c r="C422" s="292" t="s">
        <v>11973</v>
      </c>
      <c r="D422" s="293" t="s">
        <v>13367</v>
      </c>
    </row>
    <row r="423" spans="1:4" ht="14.1" customHeight="1" x14ac:dyDescent="0.25">
      <c r="A423" s="292" t="s">
        <v>7584</v>
      </c>
      <c r="B423" s="293" t="s">
        <v>11963</v>
      </c>
      <c r="C423" s="292" t="s">
        <v>11974</v>
      </c>
      <c r="D423" s="293" t="s">
        <v>13368</v>
      </c>
    </row>
    <row r="424" spans="1:4" ht="14.1" customHeight="1" x14ac:dyDescent="0.25">
      <c r="A424" s="292" t="s">
        <v>7584</v>
      </c>
      <c r="B424" s="293" t="s">
        <v>11963</v>
      </c>
      <c r="C424" s="292" t="s">
        <v>11975</v>
      </c>
      <c r="D424" s="293" t="s">
        <v>11976</v>
      </c>
    </row>
    <row r="425" spans="1:4" ht="14.1" customHeight="1" x14ac:dyDescent="0.25">
      <c r="A425" s="292" t="s">
        <v>7584</v>
      </c>
      <c r="B425" s="293" t="s">
        <v>11963</v>
      </c>
      <c r="C425" s="292" t="s">
        <v>11977</v>
      </c>
      <c r="D425" s="293" t="s">
        <v>11978</v>
      </c>
    </row>
    <row r="426" spans="1:4" ht="14.1" customHeight="1" x14ac:dyDescent="0.25">
      <c r="A426" s="292" t="s">
        <v>7584</v>
      </c>
      <c r="B426" s="293" t="s">
        <v>11963</v>
      </c>
      <c r="C426" s="292" t="s">
        <v>10573</v>
      </c>
      <c r="D426" s="293" t="s">
        <v>11979</v>
      </c>
    </row>
    <row r="427" spans="1:4" ht="14.1" customHeight="1" x14ac:dyDescent="0.25">
      <c r="A427" s="292" t="s">
        <v>7584</v>
      </c>
      <c r="B427" s="293" t="s">
        <v>11963</v>
      </c>
      <c r="C427" s="292" t="s">
        <v>11980</v>
      </c>
      <c r="D427" s="293" t="s">
        <v>11981</v>
      </c>
    </row>
    <row r="428" spans="1:4" ht="14.1" customHeight="1" x14ac:dyDescent="0.25">
      <c r="A428" s="292" t="s">
        <v>7584</v>
      </c>
      <c r="B428" s="293" t="s">
        <v>11963</v>
      </c>
      <c r="C428" s="292" t="s">
        <v>11982</v>
      </c>
      <c r="D428" s="293" t="s">
        <v>11983</v>
      </c>
    </row>
    <row r="429" spans="1:4" ht="14.1" customHeight="1" x14ac:dyDescent="0.25">
      <c r="A429" s="292" t="s">
        <v>7584</v>
      </c>
      <c r="B429" s="293" t="s">
        <v>11963</v>
      </c>
      <c r="C429" s="292" t="s">
        <v>11984</v>
      </c>
      <c r="D429" s="293" t="s">
        <v>11985</v>
      </c>
    </row>
    <row r="430" spans="1:4" ht="14.1" customHeight="1" x14ac:dyDescent="0.25">
      <c r="A430" s="292" t="s">
        <v>824</v>
      </c>
      <c r="B430" s="293" t="s">
        <v>11986</v>
      </c>
      <c r="C430" s="292" t="s">
        <v>11987</v>
      </c>
      <c r="D430" s="293" t="s">
        <v>11988</v>
      </c>
    </row>
    <row r="431" spans="1:4" ht="14.1" customHeight="1" x14ac:dyDescent="0.25">
      <c r="A431" s="292" t="s">
        <v>824</v>
      </c>
      <c r="B431" s="293" t="s">
        <v>11986</v>
      </c>
      <c r="C431" s="115" t="s">
        <v>11989</v>
      </c>
      <c r="D431" s="108" t="s">
        <v>11990</v>
      </c>
    </row>
    <row r="432" spans="1:4" ht="14.1" customHeight="1" x14ac:dyDescent="0.25">
      <c r="A432" s="292" t="s">
        <v>824</v>
      </c>
      <c r="B432" s="293" t="s">
        <v>11986</v>
      </c>
      <c r="C432" s="292" t="s">
        <v>11991</v>
      </c>
      <c r="D432" s="293" t="s">
        <v>11191</v>
      </c>
    </row>
    <row r="433" spans="1:4" ht="14.1" customHeight="1" x14ac:dyDescent="0.25">
      <c r="A433" s="292" t="s">
        <v>824</v>
      </c>
      <c r="B433" s="293" t="s">
        <v>11986</v>
      </c>
      <c r="C433" s="292" t="s">
        <v>11992</v>
      </c>
      <c r="D433" s="293" t="s">
        <v>11193</v>
      </c>
    </row>
    <row r="434" spans="1:4" ht="14.1" customHeight="1" x14ac:dyDescent="0.25">
      <c r="A434" s="292" t="s">
        <v>824</v>
      </c>
      <c r="B434" s="293" t="s">
        <v>11986</v>
      </c>
      <c r="C434" s="292" t="s">
        <v>11993</v>
      </c>
      <c r="D434" s="293" t="s">
        <v>11994</v>
      </c>
    </row>
    <row r="435" spans="1:4" ht="14.1" customHeight="1" x14ac:dyDescent="0.25">
      <c r="A435" s="292" t="s">
        <v>824</v>
      </c>
      <c r="B435" s="293" t="s">
        <v>11986</v>
      </c>
      <c r="C435" s="292" t="s">
        <v>10597</v>
      </c>
      <c r="D435" s="293" t="s">
        <v>11995</v>
      </c>
    </row>
    <row r="436" spans="1:4" ht="14.1" customHeight="1" x14ac:dyDescent="0.25">
      <c r="A436" s="292" t="s">
        <v>824</v>
      </c>
      <c r="B436" s="293" t="s">
        <v>11986</v>
      </c>
      <c r="C436" s="292" t="s">
        <v>11996</v>
      </c>
      <c r="D436" s="293" t="s">
        <v>11997</v>
      </c>
    </row>
    <row r="437" spans="1:4" ht="14.1" customHeight="1" x14ac:dyDescent="0.25">
      <c r="A437" s="292" t="s">
        <v>824</v>
      </c>
      <c r="B437" s="293" t="s">
        <v>11986</v>
      </c>
      <c r="C437" s="292" t="s">
        <v>11998</v>
      </c>
      <c r="D437" s="293" t="s">
        <v>11999</v>
      </c>
    </row>
    <row r="438" spans="1:4" ht="14.1" customHeight="1" x14ac:dyDescent="0.25">
      <c r="A438" s="292" t="s">
        <v>824</v>
      </c>
      <c r="B438" s="293" t="s">
        <v>11986</v>
      </c>
      <c r="C438" s="292" t="s">
        <v>12000</v>
      </c>
      <c r="D438" s="293" t="s">
        <v>13369</v>
      </c>
    </row>
    <row r="439" spans="1:4" ht="14.1" customHeight="1" x14ac:dyDescent="0.25">
      <c r="A439" s="292" t="s">
        <v>824</v>
      </c>
      <c r="B439" s="293" t="s">
        <v>11986</v>
      </c>
      <c r="C439" s="292" t="s">
        <v>12001</v>
      </c>
      <c r="D439" s="293" t="s">
        <v>12002</v>
      </c>
    </row>
    <row r="440" spans="1:4" ht="14.1" customHeight="1" x14ac:dyDescent="0.25">
      <c r="A440" s="292" t="s">
        <v>12003</v>
      </c>
      <c r="B440" s="293" t="s">
        <v>12004</v>
      </c>
      <c r="C440" s="292" t="s">
        <v>12005</v>
      </c>
      <c r="D440" s="293" t="s">
        <v>12006</v>
      </c>
    </row>
    <row r="441" spans="1:4" ht="14.1" customHeight="1" x14ac:dyDescent="0.25">
      <c r="A441" s="292" t="s">
        <v>12003</v>
      </c>
      <c r="B441" s="293" t="s">
        <v>12004</v>
      </c>
      <c r="C441" s="292" t="s">
        <v>12007</v>
      </c>
      <c r="D441" s="293" t="s">
        <v>12008</v>
      </c>
    </row>
    <row r="442" spans="1:4" ht="14.1" customHeight="1" x14ac:dyDescent="0.25">
      <c r="A442" s="292" t="s">
        <v>12003</v>
      </c>
      <c r="B442" s="293" t="s">
        <v>12004</v>
      </c>
      <c r="C442" s="292" t="s">
        <v>12009</v>
      </c>
      <c r="D442" s="293" t="s">
        <v>12010</v>
      </c>
    </row>
    <row r="443" spans="1:4" ht="14.1" customHeight="1" x14ac:dyDescent="0.25">
      <c r="A443" s="292" t="s">
        <v>12003</v>
      </c>
      <c r="B443" s="293" t="s">
        <v>12004</v>
      </c>
      <c r="C443" s="292" t="s">
        <v>12011</v>
      </c>
      <c r="D443" s="293" t="s">
        <v>12012</v>
      </c>
    </row>
    <row r="444" spans="1:4" ht="14.1" customHeight="1" x14ac:dyDescent="0.25">
      <c r="A444" s="292" t="s">
        <v>12003</v>
      </c>
      <c r="B444" s="293" t="s">
        <v>12004</v>
      </c>
      <c r="C444" s="292" t="s">
        <v>12013</v>
      </c>
      <c r="D444" s="293" t="s">
        <v>12014</v>
      </c>
    </row>
    <row r="445" spans="1:4" ht="14.1" customHeight="1" x14ac:dyDescent="0.25">
      <c r="A445" s="292" t="s">
        <v>12003</v>
      </c>
      <c r="B445" s="293" t="s">
        <v>12004</v>
      </c>
      <c r="C445" s="292" t="s">
        <v>12015</v>
      </c>
      <c r="D445" s="293" t="s">
        <v>12016</v>
      </c>
    </row>
    <row r="446" spans="1:4" ht="14.1" customHeight="1" x14ac:dyDescent="0.25">
      <c r="A446" s="292" t="s">
        <v>12003</v>
      </c>
      <c r="B446" s="293" t="s">
        <v>12004</v>
      </c>
      <c r="C446" s="292" t="s">
        <v>12017</v>
      </c>
      <c r="D446" s="293" t="s">
        <v>12018</v>
      </c>
    </row>
    <row r="447" spans="1:4" ht="14.1" customHeight="1" x14ac:dyDescent="0.25">
      <c r="A447" s="292" t="s">
        <v>12003</v>
      </c>
      <c r="B447" s="293" t="s">
        <v>12004</v>
      </c>
      <c r="C447" s="292" t="s">
        <v>12019</v>
      </c>
      <c r="D447" s="293" t="s">
        <v>12020</v>
      </c>
    </row>
    <row r="448" spans="1:4" ht="14.1" customHeight="1" x14ac:dyDescent="0.25">
      <c r="A448" s="292" t="s">
        <v>12003</v>
      </c>
      <c r="B448" s="293" t="s">
        <v>12004</v>
      </c>
      <c r="C448" s="292" t="s">
        <v>12021</v>
      </c>
      <c r="D448" s="293" t="s">
        <v>12022</v>
      </c>
    </row>
    <row r="449" spans="1:4" ht="14.1" customHeight="1" x14ac:dyDescent="0.25">
      <c r="A449" s="292" t="s">
        <v>12003</v>
      </c>
      <c r="B449" s="293" t="s">
        <v>12004</v>
      </c>
      <c r="C449" s="292" t="s">
        <v>12023</v>
      </c>
      <c r="D449" s="293" t="s">
        <v>12024</v>
      </c>
    </row>
    <row r="450" spans="1:4" ht="14.1" customHeight="1" x14ac:dyDescent="0.25">
      <c r="A450" s="292" t="s">
        <v>12003</v>
      </c>
      <c r="B450" s="293" t="s">
        <v>12004</v>
      </c>
      <c r="C450" s="292" t="s">
        <v>12025</v>
      </c>
      <c r="D450" s="293" t="s">
        <v>12026</v>
      </c>
    </row>
    <row r="451" spans="1:4" ht="14.1" customHeight="1" x14ac:dyDescent="0.25">
      <c r="A451" s="292" t="s">
        <v>12003</v>
      </c>
      <c r="B451" s="293" t="s">
        <v>12004</v>
      </c>
      <c r="C451" s="292" t="s">
        <v>12027</v>
      </c>
      <c r="D451" s="293" t="s">
        <v>12028</v>
      </c>
    </row>
    <row r="452" spans="1:4" ht="14.1" customHeight="1" x14ac:dyDescent="0.25">
      <c r="A452" s="292" t="s">
        <v>12003</v>
      </c>
      <c r="B452" s="293" t="s">
        <v>12004</v>
      </c>
      <c r="C452" s="292" t="s">
        <v>12029</v>
      </c>
      <c r="D452" s="293" t="s">
        <v>11269</v>
      </c>
    </row>
    <row r="453" spans="1:4" ht="14.1" customHeight="1" x14ac:dyDescent="0.25">
      <c r="A453" s="292" t="s">
        <v>12003</v>
      </c>
      <c r="B453" s="293" t="s">
        <v>12004</v>
      </c>
      <c r="C453" s="292" t="s">
        <v>12030</v>
      </c>
      <c r="D453" s="293" t="s">
        <v>12031</v>
      </c>
    </row>
    <row r="454" spans="1:4" ht="14.1" customHeight="1" x14ac:dyDescent="0.25">
      <c r="A454" s="292" t="s">
        <v>12003</v>
      </c>
      <c r="B454" s="293" t="s">
        <v>12004</v>
      </c>
      <c r="C454" s="292" t="s">
        <v>12032</v>
      </c>
      <c r="D454" s="293" t="s">
        <v>12033</v>
      </c>
    </row>
    <row r="455" spans="1:4" ht="14.1" customHeight="1" x14ac:dyDescent="0.25">
      <c r="A455" s="292" t="s">
        <v>12003</v>
      </c>
      <c r="B455" s="293" t="s">
        <v>12004</v>
      </c>
      <c r="C455" s="292" t="s">
        <v>12034</v>
      </c>
      <c r="D455" s="293" t="s">
        <v>12035</v>
      </c>
    </row>
    <row r="456" spans="1:4" ht="14.1" customHeight="1" x14ac:dyDescent="0.25">
      <c r="A456" s="292" t="s">
        <v>12003</v>
      </c>
      <c r="B456" s="293" t="s">
        <v>12004</v>
      </c>
      <c r="C456" s="292" t="s">
        <v>12036</v>
      </c>
      <c r="D456" s="293" t="s">
        <v>12037</v>
      </c>
    </row>
    <row r="457" spans="1:4" ht="14.1" customHeight="1" x14ac:dyDescent="0.25">
      <c r="A457" s="292" t="s">
        <v>12003</v>
      </c>
      <c r="B457" s="293" t="s">
        <v>12004</v>
      </c>
      <c r="C457" s="292" t="s">
        <v>12038</v>
      </c>
      <c r="D457" s="293" t="s">
        <v>12039</v>
      </c>
    </row>
    <row r="458" spans="1:4" ht="14.1" customHeight="1" x14ac:dyDescent="0.25">
      <c r="A458" s="292" t="s">
        <v>12003</v>
      </c>
      <c r="B458" s="293" t="s">
        <v>12004</v>
      </c>
      <c r="C458" s="292" t="s">
        <v>12040</v>
      </c>
      <c r="D458" s="293" t="s">
        <v>12041</v>
      </c>
    </row>
    <row r="459" spans="1:4" ht="14.1" customHeight="1" x14ac:dyDescent="0.25">
      <c r="A459" s="292" t="s">
        <v>12003</v>
      </c>
      <c r="B459" s="293" t="s">
        <v>12004</v>
      </c>
      <c r="C459" s="292" t="s">
        <v>12042</v>
      </c>
      <c r="D459" s="293" t="s">
        <v>12043</v>
      </c>
    </row>
    <row r="460" spans="1:4" ht="14.1" customHeight="1" x14ac:dyDescent="0.25">
      <c r="A460" s="292" t="s">
        <v>12003</v>
      </c>
      <c r="B460" s="293" t="s">
        <v>12004</v>
      </c>
      <c r="C460" s="292" t="s">
        <v>12044</v>
      </c>
      <c r="D460" s="293" t="s">
        <v>12045</v>
      </c>
    </row>
    <row r="461" spans="1:4" ht="14.1" customHeight="1" x14ac:dyDescent="0.25">
      <c r="A461" s="292" t="s">
        <v>12003</v>
      </c>
      <c r="B461" s="293" t="s">
        <v>12004</v>
      </c>
      <c r="C461" s="292" t="s">
        <v>12046</v>
      </c>
      <c r="D461" s="293" t="s">
        <v>11990</v>
      </c>
    </row>
    <row r="462" spans="1:4" ht="14.1" customHeight="1" x14ac:dyDescent="0.25">
      <c r="A462" s="292" t="s">
        <v>12003</v>
      </c>
      <c r="B462" s="293" t="s">
        <v>12004</v>
      </c>
      <c r="C462" s="292" t="s">
        <v>12047</v>
      </c>
      <c r="D462" s="293" t="s">
        <v>12048</v>
      </c>
    </row>
    <row r="463" spans="1:4" ht="14.1" customHeight="1" x14ac:dyDescent="0.25">
      <c r="A463" s="292" t="s">
        <v>12003</v>
      </c>
      <c r="B463" s="293" t="s">
        <v>12004</v>
      </c>
      <c r="C463" s="292" t="s">
        <v>12049</v>
      </c>
      <c r="D463" s="293" t="s">
        <v>12050</v>
      </c>
    </row>
    <row r="464" spans="1:4" ht="14.1" customHeight="1" x14ac:dyDescent="0.25">
      <c r="A464" s="292" t="s">
        <v>12003</v>
      </c>
      <c r="B464" s="293" t="s">
        <v>12004</v>
      </c>
      <c r="C464" s="292" t="s">
        <v>12051</v>
      </c>
      <c r="D464" s="293" t="s">
        <v>12052</v>
      </c>
    </row>
    <row r="465" spans="1:4" ht="14.1" customHeight="1" x14ac:dyDescent="0.25">
      <c r="A465" s="292" t="s">
        <v>12003</v>
      </c>
      <c r="B465" s="293" t="s">
        <v>12004</v>
      </c>
      <c r="C465" s="292" t="s">
        <v>12053</v>
      </c>
      <c r="D465" s="293" t="s">
        <v>12054</v>
      </c>
    </row>
    <row r="466" spans="1:4" ht="14.1" customHeight="1" x14ac:dyDescent="0.25">
      <c r="A466" s="292" t="s">
        <v>12003</v>
      </c>
      <c r="B466" s="293" t="s">
        <v>12004</v>
      </c>
      <c r="C466" s="292" t="s">
        <v>12055</v>
      </c>
      <c r="D466" s="293" t="s">
        <v>12056</v>
      </c>
    </row>
    <row r="467" spans="1:4" ht="14.1" customHeight="1" x14ac:dyDescent="0.25">
      <c r="A467" s="292" t="s">
        <v>12003</v>
      </c>
      <c r="B467" s="293" t="s">
        <v>12004</v>
      </c>
      <c r="C467" s="292" t="s">
        <v>12057</v>
      </c>
      <c r="D467" s="293" t="s">
        <v>12058</v>
      </c>
    </row>
    <row r="468" spans="1:4" ht="14.1" customHeight="1" x14ac:dyDescent="0.25">
      <c r="A468" s="292" t="s">
        <v>12003</v>
      </c>
      <c r="B468" s="293" t="s">
        <v>12004</v>
      </c>
      <c r="C468" s="292" t="s">
        <v>12059</v>
      </c>
      <c r="D468" s="293" t="s">
        <v>12060</v>
      </c>
    </row>
    <row r="469" spans="1:4" ht="14.1" customHeight="1" x14ac:dyDescent="0.25">
      <c r="A469" s="292" t="s">
        <v>12003</v>
      </c>
      <c r="B469" s="293" t="s">
        <v>12004</v>
      </c>
      <c r="C469" s="292" t="s">
        <v>12061</v>
      </c>
      <c r="D469" s="293" t="s">
        <v>12062</v>
      </c>
    </row>
    <row r="470" spans="1:4" ht="14.1" customHeight="1" x14ac:dyDescent="0.25">
      <c r="A470" s="292" t="s">
        <v>12003</v>
      </c>
      <c r="B470" s="293" t="s">
        <v>12004</v>
      </c>
      <c r="C470" s="292" t="s">
        <v>12063</v>
      </c>
      <c r="D470" s="293" t="s">
        <v>12064</v>
      </c>
    </row>
    <row r="471" spans="1:4" ht="14.1" customHeight="1" x14ac:dyDescent="0.25">
      <c r="A471" s="292" t="s">
        <v>12003</v>
      </c>
      <c r="B471" s="293" t="s">
        <v>12004</v>
      </c>
      <c r="C471" s="292" t="s">
        <v>12065</v>
      </c>
      <c r="D471" s="293" t="s">
        <v>12066</v>
      </c>
    </row>
    <row r="472" spans="1:4" ht="14.1" customHeight="1" x14ac:dyDescent="0.25">
      <c r="A472" s="292" t="s">
        <v>12003</v>
      </c>
      <c r="B472" s="293" t="s">
        <v>12004</v>
      </c>
      <c r="C472" s="292" t="s">
        <v>12067</v>
      </c>
      <c r="D472" s="293" t="s">
        <v>12068</v>
      </c>
    </row>
    <row r="473" spans="1:4" ht="14.1" customHeight="1" x14ac:dyDescent="0.25">
      <c r="A473" s="292" t="s">
        <v>12003</v>
      </c>
      <c r="B473" s="293" t="s">
        <v>12004</v>
      </c>
      <c r="C473" s="292" t="s">
        <v>12069</v>
      </c>
      <c r="D473" s="293" t="s">
        <v>12070</v>
      </c>
    </row>
    <row r="474" spans="1:4" ht="14.1" customHeight="1" x14ac:dyDescent="0.25">
      <c r="A474" s="292" t="s">
        <v>12003</v>
      </c>
      <c r="B474" s="293" t="s">
        <v>12004</v>
      </c>
      <c r="C474" s="292" t="s">
        <v>12071</v>
      </c>
      <c r="D474" s="293" t="s">
        <v>13353</v>
      </c>
    </row>
    <row r="475" spans="1:4" ht="14.1" customHeight="1" x14ac:dyDescent="0.25">
      <c r="A475" s="292" t="s">
        <v>12003</v>
      </c>
      <c r="B475" s="293" t="s">
        <v>12004</v>
      </c>
      <c r="C475" s="292" t="s">
        <v>12072</v>
      </c>
      <c r="D475" s="293" t="s">
        <v>12073</v>
      </c>
    </row>
    <row r="476" spans="1:4" ht="14.1" customHeight="1" x14ac:dyDescent="0.25">
      <c r="A476" s="292" t="s">
        <v>12003</v>
      </c>
      <c r="B476" s="293" t="s">
        <v>12004</v>
      </c>
      <c r="C476" s="292" t="s">
        <v>12074</v>
      </c>
      <c r="D476" s="293" t="s">
        <v>12075</v>
      </c>
    </row>
    <row r="477" spans="1:4" ht="14.1" customHeight="1" x14ac:dyDescent="0.25">
      <c r="A477" s="292" t="s">
        <v>12003</v>
      </c>
      <c r="B477" s="293" t="s">
        <v>12004</v>
      </c>
      <c r="C477" s="292" t="s">
        <v>12076</v>
      </c>
      <c r="D477" s="293" t="s">
        <v>12077</v>
      </c>
    </row>
    <row r="478" spans="1:4" ht="14.1" customHeight="1" x14ac:dyDescent="0.25">
      <c r="A478" s="292" t="s">
        <v>12003</v>
      </c>
      <c r="B478" s="293" t="s">
        <v>12004</v>
      </c>
      <c r="C478" s="292" t="s">
        <v>12078</v>
      </c>
      <c r="D478" s="293" t="s">
        <v>12079</v>
      </c>
    </row>
    <row r="479" spans="1:4" ht="14.1" customHeight="1" x14ac:dyDescent="0.25">
      <c r="A479" s="292" t="s">
        <v>12003</v>
      </c>
      <c r="B479" s="293" t="s">
        <v>12004</v>
      </c>
      <c r="C479" s="292" t="s">
        <v>12080</v>
      </c>
      <c r="D479" s="293" t="s">
        <v>12081</v>
      </c>
    </row>
    <row r="480" spans="1:4" ht="14.1" customHeight="1" x14ac:dyDescent="0.25">
      <c r="A480" s="292" t="s">
        <v>12003</v>
      </c>
      <c r="B480" s="293" t="s">
        <v>12004</v>
      </c>
      <c r="C480" s="292" t="s">
        <v>12082</v>
      </c>
      <c r="D480" s="293" t="s">
        <v>12083</v>
      </c>
    </row>
    <row r="481" spans="1:4" ht="14.1" customHeight="1" x14ac:dyDescent="0.25">
      <c r="A481" s="292" t="s">
        <v>12003</v>
      </c>
      <c r="B481" s="293" t="s">
        <v>12004</v>
      </c>
      <c r="C481" s="292" t="s">
        <v>12084</v>
      </c>
      <c r="D481" s="293" t="s">
        <v>12085</v>
      </c>
    </row>
    <row r="482" spans="1:4" ht="14.1" customHeight="1" x14ac:dyDescent="0.25">
      <c r="A482" s="292" t="s">
        <v>12003</v>
      </c>
      <c r="B482" s="293" t="s">
        <v>12004</v>
      </c>
      <c r="C482" s="292" t="s">
        <v>12086</v>
      </c>
      <c r="D482" s="293" t="s">
        <v>13354</v>
      </c>
    </row>
    <row r="483" spans="1:4" ht="14.1" customHeight="1" x14ac:dyDescent="0.25">
      <c r="A483" s="292" t="s">
        <v>12003</v>
      </c>
      <c r="B483" s="293" t="s">
        <v>12004</v>
      </c>
      <c r="C483" s="292" t="s">
        <v>12087</v>
      </c>
      <c r="D483" s="293" t="s">
        <v>12088</v>
      </c>
    </row>
    <row r="484" spans="1:4" ht="14.1" customHeight="1" x14ac:dyDescent="0.25">
      <c r="A484" s="292" t="s">
        <v>12003</v>
      </c>
      <c r="B484" s="293" t="s">
        <v>12004</v>
      </c>
      <c r="C484" s="292" t="s">
        <v>12089</v>
      </c>
      <c r="D484" s="293" t="s">
        <v>12090</v>
      </c>
    </row>
    <row r="485" spans="1:4" ht="14.1" customHeight="1" x14ac:dyDescent="0.25">
      <c r="A485" s="292" t="s">
        <v>12003</v>
      </c>
      <c r="B485" s="293" t="s">
        <v>12004</v>
      </c>
      <c r="C485" s="292" t="s">
        <v>12091</v>
      </c>
      <c r="D485" s="293" t="s">
        <v>12092</v>
      </c>
    </row>
    <row r="486" spans="1:4" ht="14.1" customHeight="1" x14ac:dyDescent="0.25">
      <c r="A486" s="292" t="s">
        <v>12003</v>
      </c>
      <c r="B486" s="293" t="s">
        <v>12004</v>
      </c>
      <c r="C486" s="292" t="s">
        <v>12093</v>
      </c>
      <c r="D486" s="293" t="s">
        <v>12094</v>
      </c>
    </row>
    <row r="487" spans="1:4" ht="14.1" customHeight="1" x14ac:dyDescent="0.25">
      <c r="A487" s="292" t="s">
        <v>12003</v>
      </c>
      <c r="B487" s="293" t="s">
        <v>12004</v>
      </c>
      <c r="C487" s="292" t="s">
        <v>12095</v>
      </c>
      <c r="D487" s="293" t="s">
        <v>12096</v>
      </c>
    </row>
    <row r="488" spans="1:4" ht="14.1" customHeight="1" x14ac:dyDescent="0.25">
      <c r="A488" s="292" t="s">
        <v>12003</v>
      </c>
      <c r="B488" s="293" t="s">
        <v>12004</v>
      </c>
      <c r="C488" s="292" t="s">
        <v>12097</v>
      </c>
      <c r="D488" s="293" t="s">
        <v>12098</v>
      </c>
    </row>
    <row r="489" spans="1:4" ht="14.1" customHeight="1" x14ac:dyDescent="0.25">
      <c r="A489" s="292" t="s">
        <v>12003</v>
      </c>
      <c r="B489" s="293" t="s">
        <v>12004</v>
      </c>
      <c r="C489" s="292" t="s">
        <v>12099</v>
      </c>
      <c r="D489" s="293" t="s">
        <v>12100</v>
      </c>
    </row>
    <row r="490" spans="1:4" ht="14.1" customHeight="1" x14ac:dyDescent="0.25">
      <c r="A490" s="292" t="s">
        <v>12003</v>
      </c>
      <c r="B490" s="293" t="s">
        <v>12004</v>
      </c>
      <c r="C490" s="294" t="s">
        <v>12101</v>
      </c>
      <c r="D490" s="295" t="s">
        <v>12102</v>
      </c>
    </row>
    <row r="491" spans="1:4" ht="14.1" customHeight="1" x14ac:dyDescent="0.25">
      <c r="A491" s="292" t="s">
        <v>12003</v>
      </c>
      <c r="B491" s="293" t="s">
        <v>12004</v>
      </c>
      <c r="C491" s="292" t="s">
        <v>12103</v>
      </c>
      <c r="D491" s="293" t="s">
        <v>12104</v>
      </c>
    </row>
    <row r="492" spans="1:4" ht="14.1" customHeight="1" x14ac:dyDescent="0.25">
      <c r="A492" s="292" t="s">
        <v>12003</v>
      </c>
      <c r="B492" s="293" t="s">
        <v>12004</v>
      </c>
      <c r="C492" s="292" t="s">
        <v>12105</v>
      </c>
      <c r="D492" s="293" t="s">
        <v>12106</v>
      </c>
    </row>
    <row r="493" spans="1:4" ht="14.1" customHeight="1" x14ac:dyDescent="0.25">
      <c r="A493" s="292" t="s">
        <v>12003</v>
      </c>
      <c r="B493" s="293" t="s">
        <v>12004</v>
      </c>
      <c r="C493" s="292" t="s">
        <v>12107</v>
      </c>
      <c r="D493" s="293" t="s">
        <v>12108</v>
      </c>
    </row>
    <row r="494" spans="1:4" ht="14.1" customHeight="1" x14ac:dyDescent="0.25">
      <c r="A494" s="292" t="s">
        <v>12003</v>
      </c>
      <c r="B494" s="293" t="s">
        <v>12004</v>
      </c>
      <c r="C494" s="292" t="s">
        <v>12109</v>
      </c>
      <c r="D494" s="293" t="s">
        <v>12110</v>
      </c>
    </row>
    <row r="495" spans="1:4" ht="14.1" customHeight="1" x14ac:dyDescent="0.25">
      <c r="A495" s="292" t="s">
        <v>12003</v>
      </c>
      <c r="B495" s="293" t="s">
        <v>12004</v>
      </c>
      <c r="C495" s="292" t="s">
        <v>12111</v>
      </c>
      <c r="D495" s="293" t="s">
        <v>12112</v>
      </c>
    </row>
    <row r="496" spans="1:4" ht="14.1" customHeight="1" x14ac:dyDescent="0.25">
      <c r="A496" s="292" t="s">
        <v>12003</v>
      </c>
      <c r="B496" s="293" t="s">
        <v>12004</v>
      </c>
      <c r="C496" s="292" t="s">
        <v>12113</v>
      </c>
      <c r="D496" s="293" t="s">
        <v>12114</v>
      </c>
    </row>
    <row r="497" spans="1:4" ht="14.1" customHeight="1" x14ac:dyDescent="0.25">
      <c r="A497" s="292" t="s">
        <v>12003</v>
      </c>
      <c r="B497" s="293" t="s">
        <v>12004</v>
      </c>
      <c r="C497" s="292" t="s">
        <v>12115</v>
      </c>
      <c r="D497" s="293" t="s">
        <v>12116</v>
      </c>
    </row>
    <row r="498" spans="1:4" ht="14.1" customHeight="1" x14ac:dyDescent="0.25">
      <c r="A498" s="292" t="s">
        <v>12003</v>
      </c>
      <c r="B498" s="293" t="s">
        <v>12004</v>
      </c>
      <c r="C498" s="292" t="s">
        <v>12117</v>
      </c>
      <c r="D498" s="293" t="s">
        <v>12118</v>
      </c>
    </row>
    <row r="499" spans="1:4" ht="14.1" customHeight="1" x14ac:dyDescent="0.25">
      <c r="A499" s="292" t="s">
        <v>12003</v>
      </c>
      <c r="B499" s="293" t="s">
        <v>12004</v>
      </c>
      <c r="C499" s="292" t="s">
        <v>12119</v>
      </c>
      <c r="D499" s="293" t="s">
        <v>12120</v>
      </c>
    </row>
    <row r="500" spans="1:4" ht="14.1" customHeight="1" x14ac:dyDescent="0.25">
      <c r="A500" s="292" t="s">
        <v>12003</v>
      </c>
      <c r="B500" s="293" t="s">
        <v>12004</v>
      </c>
      <c r="C500" s="292" t="s">
        <v>12121</v>
      </c>
      <c r="D500" s="293" t="s">
        <v>12122</v>
      </c>
    </row>
    <row r="501" spans="1:4" ht="14.1" customHeight="1" x14ac:dyDescent="0.25">
      <c r="A501" s="292" t="s">
        <v>12003</v>
      </c>
      <c r="B501" s="293" t="s">
        <v>12004</v>
      </c>
      <c r="C501" s="292" t="s">
        <v>12123</v>
      </c>
      <c r="D501" s="293" t="s">
        <v>12124</v>
      </c>
    </row>
    <row r="502" spans="1:4" ht="14.1" customHeight="1" x14ac:dyDescent="0.25">
      <c r="A502" s="292" t="s">
        <v>12003</v>
      </c>
      <c r="B502" s="293" t="s">
        <v>12004</v>
      </c>
      <c r="C502" s="292" t="s">
        <v>12125</v>
      </c>
      <c r="D502" s="293" t="s">
        <v>12126</v>
      </c>
    </row>
    <row r="503" spans="1:4" ht="14.1" customHeight="1" x14ac:dyDescent="0.25">
      <c r="A503" s="292" t="s">
        <v>12003</v>
      </c>
      <c r="B503" s="293" t="s">
        <v>12004</v>
      </c>
      <c r="C503" s="292" t="s">
        <v>12127</v>
      </c>
      <c r="D503" s="293" t="s">
        <v>12128</v>
      </c>
    </row>
    <row r="504" spans="1:4" ht="14.1" customHeight="1" x14ac:dyDescent="0.25">
      <c r="A504" s="292" t="s">
        <v>12003</v>
      </c>
      <c r="B504" s="293" t="s">
        <v>12004</v>
      </c>
      <c r="C504" s="292" t="s">
        <v>13348</v>
      </c>
      <c r="D504" s="293" t="s">
        <v>13349</v>
      </c>
    </row>
    <row r="505" spans="1:4" ht="14.1" customHeight="1" x14ac:dyDescent="0.25">
      <c r="A505" s="292" t="s">
        <v>12003</v>
      </c>
      <c r="B505" s="293" t="s">
        <v>12004</v>
      </c>
      <c r="C505" s="292" t="s">
        <v>12129</v>
      </c>
      <c r="D505" s="293" t="s">
        <v>12130</v>
      </c>
    </row>
    <row r="506" spans="1:4" ht="14.1" customHeight="1" x14ac:dyDescent="0.25">
      <c r="A506" s="292" t="s">
        <v>12003</v>
      </c>
      <c r="B506" s="293" t="s">
        <v>12004</v>
      </c>
      <c r="C506" s="292" t="s">
        <v>12131</v>
      </c>
      <c r="D506" s="293" t="s">
        <v>12132</v>
      </c>
    </row>
    <row r="507" spans="1:4" ht="14.1" customHeight="1" x14ac:dyDescent="0.25">
      <c r="A507" s="292" t="s">
        <v>12003</v>
      </c>
      <c r="B507" s="293" t="s">
        <v>12004</v>
      </c>
      <c r="C507" s="292" t="s">
        <v>12133</v>
      </c>
      <c r="D507" s="293" t="s">
        <v>12134</v>
      </c>
    </row>
    <row r="508" spans="1:4" ht="14.1" customHeight="1" x14ac:dyDescent="0.25">
      <c r="A508" s="292" t="s">
        <v>12135</v>
      </c>
      <c r="B508" s="293" t="s">
        <v>12136</v>
      </c>
      <c r="C508" s="292" t="s">
        <v>12137</v>
      </c>
      <c r="D508" s="293" t="s">
        <v>12138</v>
      </c>
    </row>
    <row r="509" spans="1:4" ht="14.1" customHeight="1" x14ac:dyDescent="0.25">
      <c r="A509" s="292" t="s">
        <v>12135</v>
      </c>
      <c r="B509" s="293" t="s">
        <v>12136</v>
      </c>
      <c r="C509" s="292" t="s">
        <v>12139</v>
      </c>
      <c r="D509" s="293" t="s">
        <v>12140</v>
      </c>
    </row>
    <row r="510" spans="1:4" ht="14.1" customHeight="1" x14ac:dyDescent="0.25">
      <c r="A510" s="292" t="s">
        <v>12135</v>
      </c>
      <c r="B510" s="293" t="s">
        <v>12136</v>
      </c>
      <c r="C510" s="292" t="s">
        <v>12141</v>
      </c>
      <c r="D510" s="293" t="s">
        <v>12142</v>
      </c>
    </row>
    <row r="511" spans="1:4" ht="14.1" customHeight="1" x14ac:dyDescent="0.25">
      <c r="A511" s="292" t="s">
        <v>12135</v>
      </c>
      <c r="B511" s="293" t="s">
        <v>12136</v>
      </c>
      <c r="C511" s="292" t="s">
        <v>13370</v>
      </c>
      <c r="D511" s="293" t="s">
        <v>13371</v>
      </c>
    </row>
    <row r="512" spans="1:4" ht="14.1" customHeight="1" x14ac:dyDescent="0.25">
      <c r="A512" s="292" t="s">
        <v>12135</v>
      </c>
      <c r="B512" s="293" t="s">
        <v>12136</v>
      </c>
      <c r="C512" s="292" t="s">
        <v>12143</v>
      </c>
      <c r="D512" s="293" t="s">
        <v>12144</v>
      </c>
    </row>
    <row r="513" spans="1:4" ht="14.1" customHeight="1" x14ac:dyDescent="0.25">
      <c r="A513" s="292" t="s">
        <v>12145</v>
      </c>
      <c r="B513" s="293" t="s">
        <v>12146</v>
      </c>
      <c r="C513" s="292" t="s">
        <v>12147</v>
      </c>
      <c r="D513" s="293" t="s">
        <v>12148</v>
      </c>
    </row>
    <row r="514" spans="1:4" ht="14.1" customHeight="1" x14ac:dyDescent="0.25">
      <c r="A514" s="292" t="s">
        <v>12145</v>
      </c>
      <c r="B514" s="293" t="s">
        <v>12146</v>
      </c>
      <c r="C514" s="292" t="s">
        <v>12149</v>
      </c>
      <c r="D514" s="293" t="s">
        <v>12150</v>
      </c>
    </row>
    <row r="515" spans="1:4" ht="14.1" customHeight="1" x14ac:dyDescent="0.25">
      <c r="A515" s="292" t="s">
        <v>12145</v>
      </c>
      <c r="B515" s="293" t="s">
        <v>12146</v>
      </c>
      <c r="C515" s="292" t="s">
        <v>12151</v>
      </c>
      <c r="D515" s="293" t="s">
        <v>12152</v>
      </c>
    </row>
    <row r="516" spans="1:4" ht="14.1" customHeight="1" x14ac:dyDescent="0.25">
      <c r="A516" s="292" t="s">
        <v>12145</v>
      </c>
      <c r="B516" s="293" t="s">
        <v>12146</v>
      </c>
      <c r="C516" s="292" t="s">
        <v>12153</v>
      </c>
      <c r="D516" s="293" t="s">
        <v>12154</v>
      </c>
    </row>
    <row r="517" spans="1:4" ht="14.1" customHeight="1" x14ac:dyDescent="0.25">
      <c r="A517" s="292" t="s">
        <v>12145</v>
      </c>
      <c r="B517" s="293" t="s">
        <v>12146</v>
      </c>
      <c r="C517" s="292" t="s">
        <v>10585</v>
      </c>
      <c r="D517" s="293" t="s">
        <v>12155</v>
      </c>
    </row>
    <row r="518" spans="1:4" ht="14.1" customHeight="1" x14ac:dyDescent="0.25">
      <c r="A518" s="292" t="s">
        <v>12145</v>
      </c>
      <c r="B518" s="293" t="s">
        <v>12146</v>
      </c>
      <c r="C518" s="292" t="s">
        <v>12156</v>
      </c>
      <c r="D518" s="293" t="s">
        <v>12157</v>
      </c>
    </row>
    <row r="519" spans="1:4" ht="14.1" customHeight="1" x14ac:dyDescent="0.25">
      <c r="A519" s="292" t="s">
        <v>7633</v>
      </c>
      <c r="B519" s="293" t="s">
        <v>12158</v>
      </c>
      <c r="C519" s="292" t="s">
        <v>10452</v>
      </c>
      <c r="D519" s="293" t="s">
        <v>12159</v>
      </c>
    </row>
    <row r="520" spans="1:4" ht="14.1" customHeight="1" x14ac:dyDescent="0.25">
      <c r="A520" s="292" t="s">
        <v>7633</v>
      </c>
      <c r="B520" s="293" t="s">
        <v>12158</v>
      </c>
      <c r="C520" s="292" t="s">
        <v>12160</v>
      </c>
      <c r="D520" s="293" t="s">
        <v>12161</v>
      </c>
    </row>
    <row r="521" spans="1:4" ht="14.1" customHeight="1" x14ac:dyDescent="0.25">
      <c r="A521" s="292" t="s">
        <v>7633</v>
      </c>
      <c r="B521" s="293" t="s">
        <v>12158</v>
      </c>
      <c r="C521" s="292" t="s">
        <v>12162</v>
      </c>
      <c r="D521" s="293" t="s">
        <v>12163</v>
      </c>
    </row>
    <row r="522" spans="1:4" ht="14.1" customHeight="1" x14ac:dyDescent="0.25">
      <c r="A522" s="292" t="s">
        <v>12164</v>
      </c>
      <c r="B522" s="293" t="s">
        <v>12165</v>
      </c>
      <c r="C522" s="292" t="s">
        <v>12166</v>
      </c>
      <c r="D522" s="293" t="s">
        <v>12167</v>
      </c>
    </row>
    <row r="523" spans="1:4" ht="14.1" customHeight="1" x14ac:dyDescent="0.25">
      <c r="A523" s="292" t="s">
        <v>12164</v>
      </c>
      <c r="B523" s="293" t="s">
        <v>12165</v>
      </c>
      <c r="C523" s="292" t="s">
        <v>12168</v>
      </c>
      <c r="D523" s="293" t="s">
        <v>12169</v>
      </c>
    </row>
    <row r="524" spans="1:4" ht="14.1" customHeight="1" x14ac:dyDescent="0.25">
      <c r="A524" s="292" t="s">
        <v>12164</v>
      </c>
      <c r="B524" s="293" t="s">
        <v>12165</v>
      </c>
      <c r="C524" s="292" t="s">
        <v>12170</v>
      </c>
      <c r="D524" s="293" t="s">
        <v>12171</v>
      </c>
    </row>
    <row r="525" spans="1:4" ht="14.1" customHeight="1" x14ac:dyDescent="0.25">
      <c r="A525" s="292" t="s">
        <v>12164</v>
      </c>
      <c r="B525" s="293" t="s">
        <v>12165</v>
      </c>
      <c r="C525" s="292" t="s">
        <v>12172</v>
      </c>
      <c r="D525" s="293" t="s">
        <v>12173</v>
      </c>
    </row>
    <row r="526" spans="1:4" ht="14.1" customHeight="1" x14ac:dyDescent="0.25">
      <c r="A526" s="292" t="s">
        <v>12164</v>
      </c>
      <c r="B526" s="293" t="s">
        <v>12165</v>
      </c>
      <c r="C526" s="292" t="s">
        <v>12174</v>
      </c>
      <c r="D526" s="293" t="s">
        <v>12175</v>
      </c>
    </row>
    <row r="527" spans="1:4" ht="14.1" customHeight="1" x14ac:dyDescent="0.25">
      <c r="A527" s="292" t="s">
        <v>12164</v>
      </c>
      <c r="B527" s="293" t="s">
        <v>12165</v>
      </c>
      <c r="C527" s="292" t="s">
        <v>12176</v>
      </c>
      <c r="D527" s="293" t="s">
        <v>12177</v>
      </c>
    </row>
    <row r="528" spans="1:4" ht="14.1" customHeight="1" x14ac:dyDescent="0.25">
      <c r="A528" s="292" t="s">
        <v>12164</v>
      </c>
      <c r="B528" s="293" t="s">
        <v>12165</v>
      </c>
      <c r="C528" s="292" t="s">
        <v>12178</v>
      </c>
      <c r="D528" s="293" t="s">
        <v>12179</v>
      </c>
    </row>
    <row r="529" spans="1:4" ht="14.1" customHeight="1" x14ac:dyDescent="0.25">
      <c r="A529" s="292" t="s">
        <v>12180</v>
      </c>
      <c r="B529" s="293" t="s">
        <v>12181</v>
      </c>
      <c r="C529" s="292" t="s">
        <v>12182</v>
      </c>
      <c r="D529" s="293" t="s">
        <v>12183</v>
      </c>
    </row>
    <row r="530" spans="1:4" ht="14.1" customHeight="1" x14ac:dyDescent="0.25">
      <c r="A530" s="292" t="s">
        <v>7623</v>
      </c>
      <c r="B530" s="293" t="s">
        <v>12184</v>
      </c>
      <c r="C530" s="292" t="s">
        <v>12185</v>
      </c>
      <c r="D530" s="293" t="s">
        <v>12186</v>
      </c>
    </row>
    <row r="531" spans="1:4" ht="14.1" customHeight="1" x14ac:dyDescent="0.25">
      <c r="A531" s="292" t="s">
        <v>7623</v>
      </c>
      <c r="B531" s="293" t="s">
        <v>12184</v>
      </c>
      <c r="C531" s="292" t="s">
        <v>12187</v>
      </c>
      <c r="D531" s="293" t="s">
        <v>12188</v>
      </c>
    </row>
    <row r="532" spans="1:4" ht="14.1" customHeight="1" x14ac:dyDescent="0.25">
      <c r="A532" s="292" t="s">
        <v>7623</v>
      </c>
      <c r="B532" s="293" t="s">
        <v>12184</v>
      </c>
      <c r="C532" s="292" t="s">
        <v>12189</v>
      </c>
      <c r="D532" s="293" t="s">
        <v>12190</v>
      </c>
    </row>
    <row r="533" spans="1:4" ht="14.1" customHeight="1" x14ac:dyDescent="0.25">
      <c r="A533" s="292" t="s">
        <v>7508</v>
      </c>
      <c r="B533" s="293" t="s">
        <v>12191</v>
      </c>
      <c r="C533" s="292" t="s">
        <v>12192</v>
      </c>
      <c r="D533" s="293" t="s">
        <v>12193</v>
      </c>
    </row>
    <row r="534" spans="1:4" ht="14.1" customHeight="1" x14ac:dyDescent="0.25">
      <c r="A534" s="292" t="s">
        <v>12194</v>
      </c>
      <c r="B534" s="293" t="s">
        <v>12195</v>
      </c>
      <c r="C534" s="292" t="s">
        <v>12196</v>
      </c>
      <c r="D534" s="293" t="s">
        <v>12197</v>
      </c>
    </row>
    <row r="535" spans="1:4" ht="14.1" customHeight="1" x14ac:dyDescent="0.25">
      <c r="A535" s="292" t="s">
        <v>12194</v>
      </c>
      <c r="B535" s="293" t="s">
        <v>12195</v>
      </c>
      <c r="C535" s="292" t="s">
        <v>12198</v>
      </c>
      <c r="D535" s="293" t="s">
        <v>12199</v>
      </c>
    </row>
    <row r="536" spans="1:4" ht="14.1" customHeight="1" x14ac:dyDescent="0.25">
      <c r="A536" s="292" t="s">
        <v>12194</v>
      </c>
      <c r="B536" s="293" t="s">
        <v>12195</v>
      </c>
      <c r="C536" s="292" t="s">
        <v>12200</v>
      </c>
      <c r="D536" s="293" t="s">
        <v>12201</v>
      </c>
    </row>
    <row r="537" spans="1:4" ht="14.1" customHeight="1" x14ac:dyDescent="0.25">
      <c r="A537" s="292" t="s">
        <v>12194</v>
      </c>
      <c r="B537" s="293" t="s">
        <v>12195</v>
      </c>
      <c r="C537" s="292" t="s">
        <v>12202</v>
      </c>
      <c r="D537" s="293" t="s">
        <v>12203</v>
      </c>
    </row>
    <row r="538" spans="1:4" ht="14.1" customHeight="1" x14ac:dyDescent="0.25">
      <c r="A538" s="292" t="s">
        <v>12194</v>
      </c>
      <c r="B538" s="293" t="s">
        <v>12195</v>
      </c>
      <c r="C538" s="292" t="s">
        <v>12204</v>
      </c>
      <c r="D538" s="293" t="s">
        <v>12205</v>
      </c>
    </row>
    <row r="539" spans="1:4" ht="14.1" customHeight="1" x14ac:dyDescent="0.25">
      <c r="A539" s="292" t="s">
        <v>12194</v>
      </c>
      <c r="B539" s="293" t="s">
        <v>12195</v>
      </c>
      <c r="C539" s="292" t="s">
        <v>12206</v>
      </c>
      <c r="D539" s="293" t="s">
        <v>13355</v>
      </c>
    </row>
    <row r="540" spans="1:4" ht="14.1" customHeight="1" x14ac:dyDescent="0.25">
      <c r="A540" s="292" t="s">
        <v>12194</v>
      </c>
      <c r="B540" s="293" t="s">
        <v>12195</v>
      </c>
      <c r="C540" s="292" t="s">
        <v>12207</v>
      </c>
      <c r="D540" s="293" t="s">
        <v>12208</v>
      </c>
    </row>
    <row r="541" spans="1:4" ht="14.1" customHeight="1" x14ac:dyDescent="0.25">
      <c r="A541" s="292" t="s">
        <v>12194</v>
      </c>
      <c r="B541" s="293" t="s">
        <v>12195</v>
      </c>
      <c r="C541" s="292" t="s">
        <v>12209</v>
      </c>
      <c r="D541" s="293" t="s">
        <v>12210</v>
      </c>
    </row>
    <row r="542" spans="1:4" ht="14.1" customHeight="1" x14ac:dyDescent="0.25">
      <c r="A542" s="292" t="s">
        <v>12194</v>
      </c>
      <c r="B542" s="293" t="s">
        <v>12195</v>
      </c>
      <c r="C542" s="292" t="s">
        <v>12211</v>
      </c>
      <c r="D542" s="293" t="s">
        <v>12212</v>
      </c>
    </row>
    <row r="543" spans="1:4" ht="14.1" customHeight="1" x14ac:dyDescent="0.25">
      <c r="A543" s="292" t="s">
        <v>12194</v>
      </c>
      <c r="B543" s="293" t="s">
        <v>12195</v>
      </c>
      <c r="C543" s="292" t="s">
        <v>12213</v>
      </c>
      <c r="D543" s="293" t="s">
        <v>12214</v>
      </c>
    </row>
    <row r="544" spans="1:4" ht="14.1" customHeight="1" x14ac:dyDescent="0.25">
      <c r="A544" s="292" t="s">
        <v>12194</v>
      </c>
      <c r="B544" s="293" t="s">
        <v>12195</v>
      </c>
      <c r="C544" s="292" t="s">
        <v>12215</v>
      </c>
      <c r="D544" s="293" t="s">
        <v>12216</v>
      </c>
    </row>
    <row r="545" spans="1:4" ht="14.1" customHeight="1" x14ac:dyDescent="0.25">
      <c r="A545" s="292" t="s">
        <v>12194</v>
      </c>
      <c r="B545" s="293" t="s">
        <v>12195</v>
      </c>
      <c r="C545" s="292" t="s">
        <v>12217</v>
      </c>
      <c r="D545" s="293" t="s">
        <v>12218</v>
      </c>
    </row>
    <row r="546" spans="1:4" ht="14.1" customHeight="1" x14ac:dyDescent="0.25">
      <c r="A546" s="292" t="s">
        <v>12194</v>
      </c>
      <c r="B546" s="293" t="s">
        <v>12195</v>
      </c>
      <c r="C546" s="292" t="s">
        <v>12219</v>
      </c>
      <c r="D546" s="293" t="s">
        <v>12220</v>
      </c>
    </row>
    <row r="547" spans="1:4" ht="14.1" customHeight="1" x14ac:dyDescent="0.25">
      <c r="A547" s="292" t="s">
        <v>12194</v>
      </c>
      <c r="B547" s="293" t="s">
        <v>12195</v>
      </c>
      <c r="C547" s="292" t="s">
        <v>12221</v>
      </c>
      <c r="D547" s="293" t="s">
        <v>12222</v>
      </c>
    </row>
    <row r="548" spans="1:4" ht="14.1" customHeight="1" x14ac:dyDescent="0.25">
      <c r="A548" s="292" t="s">
        <v>12194</v>
      </c>
      <c r="B548" s="293" t="s">
        <v>12195</v>
      </c>
      <c r="C548" s="292" t="s">
        <v>12223</v>
      </c>
      <c r="D548" s="293" t="s">
        <v>12224</v>
      </c>
    </row>
    <row r="549" spans="1:4" ht="14.1" customHeight="1" x14ac:dyDescent="0.25">
      <c r="A549" s="292" t="s">
        <v>12194</v>
      </c>
      <c r="B549" s="293" t="s">
        <v>12195</v>
      </c>
      <c r="C549" s="292" t="s">
        <v>12225</v>
      </c>
      <c r="D549" s="293" t="s">
        <v>12226</v>
      </c>
    </row>
    <row r="550" spans="1:4" ht="14.1" customHeight="1" x14ac:dyDescent="0.25">
      <c r="A550" s="292" t="s">
        <v>12227</v>
      </c>
      <c r="B550" s="293" t="s">
        <v>12228</v>
      </c>
      <c r="C550" s="292" t="s">
        <v>12229</v>
      </c>
      <c r="D550" s="293" t="s">
        <v>12230</v>
      </c>
    </row>
    <row r="551" spans="1:4" ht="14.1" customHeight="1" x14ac:dyDescent="0.25">
      <c r="A551" s="292" t="s">
        <v>12227</v>
      </c>
      <c r="B551" s="293" t="s">
        <v>12228</v>
      </c>
      <c r="C551" s="292" t="s">
        <v>12231</v>
      </c>
      <c r="D551" s="293" t="s">
        <v>12232</v>
      </c>
    </row>
    <row r="552" spans="1:4" ht="14.1" customHeight="1" x14ac:dyDescent="0.25">
      <c r="A552" s="292" t="s">
        <v>12227</v>
      </c>
      <c r="B552" s="293" t="s">
        <v>12228</v>
      </c>
      <c r="C552" s="292" t="s">
        <v>12233</v>
      </c>
      <c r="D552" s="293" t="s">
        <v>12234</v>
      </c>
    </row>
    <row r="553" spans="1:4" ht="14.1" customHeight="1" x14ac:dyDescent="0.25">
      <c r="A553" s="292" t="s">
        <v>12227</v>
      </c>
      <c r="B553" s="293" t="s">
        <v>12228</v>
      </c>
      <c r="C553" s="292" t="s">
        <v>12235</v>
      </c>
      <c r="D553" s="293" t="s">
        <v>12236</v>
      </c>
    </row>
    <row r="554" spans="1:4" ht="14.1" customHeight="1" x14ac:dyDescent="0.25">
      <c r="A554" s="292" t="s">
        <v>12227</v>
      </c>
      <c r="B554" s="293" t="s">
        <v>12228</v>
      </c>
      <c r="C554" s="292" t="s">
        <v>12237</v>
      </c>
      <c r="D554" s="293" t="s">
        <v>12238</v>
      </c>
    </row>
    <row r="555" spans="1:4" ht="14.1" customHeight="1" x14ac:dyDescent="0.25">
      <c r="A555" s="292" t="s">
        <v>12227</v>
      </c>
      <c r="B555" s="293" t="s">
        <v>12228</v>
      </c>
      <c r="C555" s="292" t="s">
        <v>12239</v>
      </c>
      <c r="D555" s="293" t="s">
        <v>12240</v>
      </c>
    </row>
    <row r="556" spans="1:4" ht="14.1" customHeight="1" x14ac:dyDescent="0.25">
      <c r="A556" s="292" t="s">
        <v>12227</v>
      </c>
      <c r="B556" s="293" t="s">
        <v>12228</v>
      </c>
      <c r="C556" s="292" t="s">
        <v>12241</v>
      </c>
      <c r="D556" s="293" t="s">
        <v>13358</v>
      </c>
    </row>
    <row r="557" spans="1:4" ht="14.1" customHeight="1" x14ac:dyDescent="0.25">
      <c r="A557" s="292" t="s">
        <v>12227</v>
      </c>
      <c r="B557" s="293" t="s">
        <v>12228</v>
      </c>
      <c r="C557" s="292" t="s">
        <v>12242</v>
      </c>
      <c r="D557" s="293" t="s">
        <v>12243</v>
      </c>
    </row>
    <row r="558" spans="1:4" ht="14.1" customHeight="1" x14ac:dyDescent="0.25">
      <c r="A558" s="292" t="s">
        <v>12227</v>
      </c>
      <c r="B558" s="293" t="s">
        <v>12228</v>
      </c>
      <c r="C558" s="292" t="s">
        <v>12244</v>
      </c>
      <c r="D558" s="293" t="s">
        <v>12245</v>
      </c>
    </row>
    <row r="559" spans="1:4" ht="14.1" customHeight="1" x14ac:dyDescent="0.25">
      <c r="A559" s="292" t="s">
        <v>12227</v>
      </c>
      <c r="B559" s="293" t="s">
        <v>12228</v>
      </c>
      <c r="C559" s="292" t="s">
        <v>12246</v>
      </c>
      <c r="D559" s="293" t="s">
        <v>12247</v>
      </c>
    </row>
    <row r="560" spans="1:4" ht="14.1" customHeight="1" x14ac:dyDescent="0.25">
      <c r="A560" s="292" t="s">
        <v>12227</v>
      </c>
      <c r="B560" s="293" t="s">
        <v>12228</v>
      </c>
      <c r="C560" s="292" t="s">
        <v>12248</v>
      </c>
      <c r="D560" s="293" t="s">
        <v>12249</v>
      </c>
    </row>
    <row r="561" spans="1:4" ht="14.1" customHeight="1" x14ac:dyDescent="0.25">
      <c r="A561" s="292" t="s">
        <v>12227</v>
      </c>
      <c r="B561" s="293" t="s">
        <v>12228</v>
      </c>
      <c r="C561" s="292" t="s">
        <v>12250</v>
      </c>
      <c r="D561" s="293" t="s">
        <v>12251</v>
      </c>
    </row>
    <row r="562" spans="1:4" ht="14.1" customHeight="1" x14ac:dyDescent="0.25">
      <c r="A562" s="292" t="s">
        <v>12227</v>
      </c>
      <c r="B562" s="293" t="s">
        <v>12228</v>
      </c>
      <c r="C562" s="292" t="s">
        <v>12252</v>
      </c>
      <c r="D562" s="293" t="s">
        <v>12253</v>
      </c>
    </row>
    <row r="563" spans="1:4" ht="14.1" customHeight="1" x14ac:dyDescent="0.25">
      <c r="A563" s="292" t="s">
        <v>12227</v>
      </c>
      <c r="B563" s="293" t="s">
        <v>12228</v>
      </c>
      <c r="C563" s="292" t="s">
        <v>12254</v>
      </c>
      <c r="D563" s="293" t="s">
        <v>12255</v>
      </c>
    </row>
    <row r="564" spans="1:4" ht="14.1" customHeight="1" x14ac:dyDescent="0.25">
      <c r="A564" s="292" t="s">
        <v>12227</v>
      </c>
      <c r="B564" s="293" t="s">
        <v>12228</v>
      </c>
      <c r="C564" s="292" t="s">
        <v>12256</v>
      </c>
      <c r="D564" s="293" t="s">
        <v>12257</v>
      </c>
    </row>
    <row r="565" spans="1:4" ht="14.1" customHeight="1" x14ac:dyDescent="0.25">
      <c r="A565" s="292" t="s">
        <v>12227</v>
      </c>
      <c r="B565" s="293" t="s">
        <v>12228</v>
      </c>
      <c r="C565" s="292" t="s">
        <v>12258</v>
      </c>
      <c r="D565" s="293" t="s">
        <v>11241</v>
      </c>
    </row>
    <row r="566" spans="1:4" ht="14.1" customHeight="1" x14ac:dyDescent="0.25">
      <c r="A566" s="292" t="s">
        <v>7619</v>
      </c>
      <c r="B566" s="293" t="s">
        <v>12259</v>
      </c>
      <c r="C566" s="292" t="s">
        <v>12260</v>
      </c>
      <c r="D566" s="293" t="s">
        <v>12261</v>
      </c>
    </row>
    <row r="567" spans="1:4" ht="14.1" customHeight="1" x14ac:dyDescent="0.25">
      <c r="A567" s="292" t="s">
        <v>7619</v>
      </c>
      <c r="B567" s="293" t="s">
        <v>12259</v>
      </c>
      <c r="C567" s="292" t="s">
        <v>12262</v>
      </c>
      <c r="D567" s="293" t="s">
        <v>12263</v>
      </c>
    </row>
    <row r="568" spans="1:4" ht="14.1" customHeight="1" x14ac:dyDescent="0.25">
      <c r="A568" s="292" t="s">
        <v>7619</v>
      </c>
      <c r="B568" s="293" t="s">
        <v>12259</v>
      </c>
      <c r="C568" s="292" t="s">
        <v>12264</v>
      </c>
      <c r="D568" s="293" t="s">
        <v>12265</v>
      </c>
    </row>
    <row r="569" spans="1:4" ht="14.1" customHeight="1" x14ac:dyDescent="0.25">
      <c r="A569" s="292" t="s">
        <v>7619</v>
      </c>
      <c r="B569" s="293" t="s">
        <v>12259</v>
      </c>
      <c r="C569" s="292" t="s">
        <v>12266</v>
      </c>
      <c r="D569" s="293" t="s">
        <v>12267</v>
      </c>
    </row>
    <row r="570" spans="1:4" ht="14.1" customHeight="1" x14ac:dyDescent="0.25">
      <c r="A570" s="292" t="s">
        <v>7619</v>
      </c>
      <c r="B570" s="293" t="s">
        <v>12259</v>
      </c>
      <c r="C570" s="292" t="s">
        <v>12268</v>
      </c>
      <c r="D570" s="293" t="s">
        <v>12269</v>
      </c>
    </row>
    <row r="571" spans="1:4" ht="14.1" customHeight="1" x14ac:dyDescent="0.25">
      <c r="A571" s="292" t="s">
        <v>7619</v>
      </c>
      <c r="B571" s="293" t="s">
        <v>12259</v>
      </c>
      <c r="C571" s="292" t="s">
        <v>12270</v>
      </c>
      <c r="D571" s="293" t="s">
        <v>12271</v>
      </c>
    </row>
    <row r="572" spans="1:4" ht="14.1" customHeight="1" x14ac:dyDescent="0.25">
      <c r="A572" s="292" t="s">
        <v>7619</v>
      </c>
      <c r="B572" s="293" t="s">
        <v>12259</v>
      </c>
      <c r="C572" s="292" t="s">
        <v>12272</v>
      </c>
      <c r="D572" s="293" t="s">
        <v>12273</v>
      </c>
    </row>
    <row r="573" spans="1:4" ht="14.1" customHeight="1" x14ac:dyDescent="0.25">
      <c r="A573" s="292" t="s">
        <v>7619</v>
      </c>
      <c r="B573" s="293" t="s">
        <v>12259</v>
      </c>
      <c r="C573" s="292" t="s">
        <v>12274</v>
      </c>
      <c r="D573" s="293" t="s">
        <v>12275</v>
      </c>
    </row>
    <row r="574" spans="1:4" ht="14.1" customHeight="1" x14ac:dyDescent="0.25">
      <c r="A574" s="292" t="s">
        <v>7619</v>
      </c>
      <c r="B574" s="293" t="s">
        <v>12259</v>
      </c>
      <c r="C574" s="292" t="s">
        <v>12276</v>
      </c>
      <c r="D574" s="293" t="s">
        <v>12277</v>
      </c>
    </row>
    <row r="575" spans="1:4" ht="14.1" customHeight="1" x14ac:dyDescent="0.25">
      <c r="A575" s="292" t="s">
        <v>7619</v>
      </c>
      <c r="B575" s="293" t="s">
        <v>12259</v>
      </c>
      <c r="C575" s="292" t="s">
        <v>12278</v>
      </c>
      <c r="D575" s="293" t="s">
        <v>12279</v>
      </c>
    </row>
    <row r="576" spans="1:4" ht="14.1" customHeight="1" x14ac:dyDescent="0.25">
      <c r="A576" s="292" t="s">
        <v>7619</v>
      </c>
      <c r="B576" s="293" t="s">
        <v>12259</v>
      </c>
      <c r="C576" s="292" t="s">
        <v>12280</v>
      </c>
      <c r="D576" s="293" t="s">
        <v>12281</v>
      </c>
    </row>
    <row r="577" spans="1:4" ht="14.1" customHeight="1" x14ac:dyDescent="0.25">
      <c r="A577" s="292" t="s">
        <v>7619</v>
      </c>
      <c r="B577" s="293" t="s">
        <v>12259</v>
      </c>
      <c r="C577" s="292" t="s">
        <v>12282</v>
      </c>
      <c r="D577" s="293" t="s">
        <v>12283</v>
      </c>
    </row>
    <row r="578" spans="1:4" ht="14.1" customHeight="1" x14ac:dyDescent="0.25">
      <c r="A578" s="292" t="s">
        <v>7619</v>
      </c>
      <c r="B578" s="293" t="s">
        <v>12259</v>
      </c>
      <c r="C578" s="292" t="s">
        <v>12284</v>
      </c>
      <c r="D578" s="293" t="s">
        <v>12285</v>
      </c>
    </row>
    <row r="579" spans="1:4" ht="14.1" customHeight="1" x14ac:dyDescent="0.25">
      <c r="A579" s="292" t="s">
        <v>12286</v>
      </c>
      <c r="B579" s="293" t="s">
        <v>12287</v>
      </c>
      <c r="C579" s="292" t="s">
        <v>12288</v>
      </c>
      <c r="D579" s="293" t="s">
        <v>12289</v>
      </c>
    </row>
    <row r="580" spans="1:4" ht="14.1" customHeight="1" x14ac:dyDescent="0.25">
      <c r="A580" s="292" t="s">
        <v>12286</v>
      </c>
      <c r="B580" s="293" t="s">
        <v>12287</v>
      </c>
      <c r="C580" s="292" t="s">
        <v>12290</v>
      </c>
      <c r="D580" s="293" t="s">
        <v>12291</v>
      </c>
    </row>
    <row r="581" spans="1:4" ht="14.1" customHeight="1" x14ac:dyDescent="0.25">
      <c r="A581" s="292" t="s">
        <v>12286</v>
      </c>
      <c r="B581" s="293" t="s">
        <v>12287</v>
      </c>
      <c r="C581" s="292" t="s">
        <v>12292</v>
      </c>
      <c r="D581" s="293" t="s">
        <v>12293</v>
      </c>
    </row>
    <row r="582" spans="1:4" ht="14.1" customHeight="1" x14ac:dyDescent="0.25">
      <c r="A582" s="292" t="s">
        <v>12286</v>
      </c>
      <c r="B582" s="293" t="s">
        <v>12287</v>
      </c>
      <c r="C582" s="292" t="s">
        <v>12294</v>
      </c>
      <c r="D582" s="293" t="s">
        <v>12295</v>
      </c>
    </row>
    <row r="583" spans="1:4" ht="14.1" customHeight="1" x14ac:dyDescent="0.25">
      <c r="A583" s="335" t="s">
        <v>13544</v>
      </c>
      <c r="B583" s="334" t="s">
        <v>13547</v>
      </c>
      <c r="C583" s="333" t="s">
        <v>13546</v>
      </c>
      <c r="D583" s="334" t="s">
        <v>13545</v>
      </c>
    </row>
    <row r="584" spans="1:4" ht="14.1" customHeight="1" x14ac:dyDescent="0.25">
      <c r="A584" s="292" t="s">
        <v>12296</v>
      </c>
      <c r="B584" s="293" t="s">
        <v>12297</v>
      </c>
      <c r="C584" s="292" t="s">
        <v>12298</v>
      </c>
      <c r="D584" s="293" t="s">
        <v>12299</v>
      </c>
    </row>
    <row r="585" spans="1:4" ht="14.1" customHeight="1" x14ac:dyDescent="0.25">
      <c r="A585" s="292" t="s">
        <v>12300</v>
      </c>
      <c r="B585" s="293" t="s">
        <v>12301</v>
      </c>
      <c r="C585" s="292" t="s">
        <v>12302</v>
      </c>
      <c r="D585" s="293" t="s">
        <v>12303</v>
      </c>
    </row>
    <row r="586" spans="1:4" ht="14.1" customHeight="1" x14ac:dyDescent="0.25">
      <c r="A586" s="292" t="s">
        <v>12300</v>
      </c>
      <c r="B586" s="293" t="s">
        <v>12301</v>
      </c>
      <c r="C586" s="292" t="s">
        <v>12304</v>
      </c>
      <c r="D586" s="293" t="s">
        <v>12305</v>
      </c>
    </row>
    <row r="587" spans="1:4" ht="14.1" customHeight="1" x14ac:dyDescent="0.25">
      <c r="A587" s="292" t="s">
        <v>12300</v>
      </c>
      <c r="B587" s="293" t="s">
        <v>12301</v>
      </c>
      <c r="C587" s="292" t="s">
        <v>12306</v>
      </c>
      <c r="D587" s="293" t="s">
        <v>12307</v>
      </c>
    </row>
    <row r="588" spans="1:4" ht="14.1" customHeight="1" x14ac:dyDescent="0.25">
      <c r="A588" s="292" t="s">
        <v>12300</v>
      </c>
      <c r="B588" s="293" t="s">
        <v>12301</v>
      </c>
      <c r="C588" s="292" t="s">
        <v>12308</v>
      </c>
      <c r="D588" s="293" t="s">
        <v>12309</v>
      </c>
    </row>
    <row r="589" spans="1:4" ht="14.1" customHeight="1" x14ac:dyDescent="0.25">
      <c r="A589" s="292" t="s">
        <v>12300</v>
      </c>
      <c r="B589" s="293" t="s">
        <v>12301</v>
      </c>
      <c r="C589" s="292" t="s">
        <v>12310</v>
      </c>
      <c r="D589" s="293" t="s">
        <v>12311</v>
      </c>
    </row>
    <row r="590" spans="1:4" ht="14.1" customHeight="1" x14ac:dyDescent="0.25">
      <c r="A590" s="292" t="s">
        <v>12300</v>
      </c>
      <c r="B590" s="293" t="s">
        <v>12301</v>
      </c>
      <c r="C590" s="292" t="s">
        <v>10581</v>
      </c>
      <c r="D590" s="293" t="s">
        <v>12312</v>
      </c>
    </row>
    <row r="591" spans="1:4" ht="14.1" customHeight="1" x14ac:dyDescent="0.25">
      <c r="A591" s="292" t="s">
        <v>12300</v>
      </c>
      <c r="B591" s="293" t="s">
        <v>12301</v>
      </c>
      <c r="C591" s="292" t="s">
        <v>12313</v>
      </c>
      <c r="D591" s="293" t="s">
        <v>12314</v>
      </c>
    </row>
    <row r="592" spans="1:4" ht="14.1" customHeight="1" x14ac:dyDescent="0.25">
      <c r="A592" s="292" t="s">
        <v>12300</v>
      </c>
      <c r="B592" s="293" t="s">
        <v>12301</v>
      </c>
      <c r="C592" s="292" t="s">
        <v>12315</v>
      </c>
      <c r="D592" s="293" t="s">
        <v>12316</v>
      </c>
    </row>
    <row r="593" spans="1:4" ht="14.1" customHeight="1" x14ac:dyDescent="0.25">
      <c r="A593" s="292" t="s">
        <v>12300</v>
      </c>
      <c r="B593" s="293" t="s">
        <v>12301</v>
      </c>
      <c r="C593" s="292" t="s">
        <v>12317</v>
      </c>
      <c r="D593" s="293" t="s">
        <v>12318</v>
      </c>
    </row>
    <row r="594" spans="1:4" ht="14.1" customHeight="1" x14ac:dyDescent="0.25">
      <c r="A594" s="292" t="s">
        <v>12300</v>
      </c>
      <c r="B594" s="293" t="s">
        <v>12301</v>
      </c>
      <c r="C594" s="292" t="s">
        <v>12319</v>
      </c>
      <c r="D594" s="293" t="s">
        <v>12320</v>
      </c>
    </row>
    <row r="595" spans="1:4" ht="14.1" customHeight="1" x14ac:dyDescent="0.25">
      <c r="A595" s="292" t="s">
        <v>12300</v>
      </c>
      <c r="B595" s="293" t="s">
        <v>12301</v>
      </c>
      <c r="C595" s="292" t="s">
        <v>12321</v>
      </c>
      <c r="D595" s="293" t="s">
        <v>12322</v>
      </c>
    </row>
    <row r="596" spans="1:4" ht="14.1" customHeight="1" x14ac:dyDescent="0.25">
      <c r="A596" s="292" t="s">
        <v>12300</v>
      </c>
      <c r="B596" s="293" t="s">
        <v>12301</v>
      </c>
      <c r="C596" s="292" t="s">
        <v>12323</v>
      </c>
      <c r="D596" s="293" t="s">
        <v>12324</v>
      </c>
    </row>
    <row r="597" spans="1:4" ht="14.1" customHeight="1" x14ac:dyDescent="0.25">
      <c r="A597" s="292" t="s">
        <v>12300</v>
      </c>
      <c r="B597" s="293" t="s">
        <v>12301</v>
      </c>
      <c r="C597" s="292" t="s">
        <v>12325</v>
      </c>
      <c r="D597" s="293" t="s">
        <v>12326</v>
      </c>
    </row>
    <row r="598" spans="1:4" ht="14.1" customHeight="1" x14ac:dyDescent="0.25">
      <c r="A598" s="292" t="s">
        <v>12300</v>
      </c>
      <c r="B598" s="293" t="s">
        <v>12301</v>
      </c>
      <c r="C598" s="292" t="s">
        <v>10617</v>
      </c>
      <c r="D598" s="293" t="s">
        <v>12327</v>
      </c>
    </row>
    <row r="599" spans="1:4" ht="14.1" customHeight="1" x14ac:dyDescent="0.25">
      <c r="A599" s="292" t="s">
        <v>12300</v>
      </c>
      <c r="B599" s="293" t="s">
        <v>12301</v>
      </c>
      <c r="C599" s="292" t="s">
        <v>12328</v>
      </c>
      <c r="D599" s="293" t="s">
        <v>12329</v>
      </c>
    </row>
    <row r="600" spans="1:4" ht="14.1" customHeight="1" x14ac:dyDescent="0.25">
      <c r="A600" s="292" t="s">
        <v>12300</v>
      </c>
      <c r="B600" s="293" t="s">
        <v>12301</v>
      </c>
      <c r="C600" s="292" t="s">
        <v>12330</v>
      </c>
      <c r="D600" s="293" t="s">
        <v>12331</v>
      </c>
    </row>
    <row r="601" spans="1:4" ht="14.1" customHeight="1" x14ac:dyDescent="0.25">
      <c r="A601" s="292" t="s">
        <v>12300</v>
      </c>
      <c r="B601" s="293" t="s">
        <v>12301</v>
      </c>
      <c r="C601" s="292" t="s">
        <v>12332</v>
      </c>
      <c r="D601" s="293" t="s">
        <v>12333</v>
      </c>
    </row>
    <row r="602" spans="1:4" ht="14.1" customHeight="1" x14ac:dyDescent="0.25">
      <c r="A602" s="292" t="s">
        <v>12300</v>
      </c>
      <c r="B602" s="293" t="s">
        <v>12301</v>
      </c>
      <c r="C602" s="292" t="s">
        <v>12334</v>
      </c>
      <c r="D602" s="293" t="s">
        <v>12335</v>
      </c>
    </row>
    <row r="603" spans="1:4" ht="14.1" customHeight="1" x14ac:dyDescent="0.25">
      <c r="A603" s="292" t="s">
        <v>12336</v>
      </c>
      <c r="B603" s="293" t="s">
        <v>12337</v>
      </c>
      <c r="C603" s="292" t="s">
        <v>12338</v>
      </c>
      <c r="D603" s="293" t="s">
        <v>12339</v>
      </c>
    </row>
    <row r="604" spans="1:4" ht="14.1" customHeight="1" x14ac:dyDescent="0.25">
      <c r="A604" s="292" t="s">
        <v>12340</v>
      </c>
      <c r="B604" s="293" t="s">
        <v>12341</v>
      </c>
      <c r="C604" s="292" t="s">
        <v>12342</v>
      </c>
      <c r="D604" s="293" t="s">
        <v>12343</v>
      </c>
    </row>
    <row r="605" spans="1:4" ht="14.1" customHeight="1" x14ac:dyDescent="0.25">
      <c r="A605" s="292" t="s">
        <v>12340</v>
      </c>
      <c r="B605" s="293" t="s">
        <v>12341</v>
      </c>
      <c r="C605" s="292" t="s">
        <v>12344</v>
      </c>
      <c r="D605" s="293" t="s">
        <v>12345</v>
      </c>
    </row>
    <row r="606" spans="1:4" ht="14.1" customHeight="1" x14ac:dyDescent="0.25">
      <c r="A606" s="292" t="s">
        <v>12340</v>
      </c>
      <c r="B606" s="293" t="s">
        <v>12341</v>
      </c>
      <c r="C606" s="292" t="s">
        <v>12346</v>
      </c>
      <c r="D606" s="293" t="s">
        <v>12347</v>
      </c>
    </row>
    <row r="607" spans="1:4" ht="14.1" customHeight="1" x14ac:dyDescent="0.25">
      <c r="A607" s="292" t="s">
        <v>12348</v>
      </c>
      <c r="B607" s="293" t="s">
        <v>12349</v>
      </c>
      <c r="C607" s="292" t="s">
        <v>12350</v>
      </c>
      <c r="D607" s="293" t="s">
        <v>11144</v>
      </c>
    </row>
    <row r="608" spans="1:4" ht="14.1" customHeight="1" x14ac:dyDescent="0.25">
      <c r="A608" s="292" t="s">
        <v>12348</v>
      </c>
      <c r="B608" s="293" t="s">
        <v>12349</v>
      </c>
      <c r="C608" s="292" t="s">
        <v>12351</v>
      </c>
      <c r="D608" s="293" t="s">
        <v>12352</v>
      </c>
    </row>
    <row r="609" spans="1:4" ht="14.1" customHeight="1" x14ac:dyDescent="0.25">
      <c r="A609" s="292" t="s">
        <v>12348</v>
      </c>
      <c r="B609" s="293" t="s">
        <v>12349</v>
      </c>
      <c r="C609" s="292" t="s">
        <v>12353</v>
      </c>
      <c r="D609" s="293" t="s">
        <v>12354</v>
      </c>
    </row>
    <row r="610" spans="1:4" ht="14.1" customHeight="1" x14ac:dyDescent="0.25">
      <c r="A610" s="292" t="s">
        <v>12348</v>
      </c>
      <c r="B610" s="293" t="s">
        <v>12349</v>
      </c>
      <c r="C610" s="292" t="s">
        <v>12355</v>
      </c>
      <c r="D610" s="293" t="s">
        <v>12356</v>
      </c>
    </row>
    <row r="611" spans="1:4" ht="14.1" customHeight="1" x14ac:dyDescent="0.25">
      <c r="A611" s="292" t="s">
        <v>12348</v>
      </c>
      <c r="B611" s="293" t="s">
        <v>12349</v>
      </c>
      <c r="C611" s="292" t="s">
        <v>12357</v>
      </c>
      <c r="D611" s="293" t="s">
        <v>12358</v>
      </c>
    </row>
    <row r="612" spans="1:4" ht="14.1" customHeight="1" x14ac:dyDescent="0.25">
      <c r="A612" s="292" t="s">
        <v>12348</v>
      </c>
      <c r="B612" s="293" t="s">
        <v>12349</v>
      </c>
      <c r="C612" s="292" t="s">
        <v>12359</v>
      </c>
      <c r="D612" s="293" t="s">
        <v>12360</v>
      </c>
    </row>
    <row r="613" spans="1:4" ht="14.1" customHeight="1" x14ac:dyDescent="0.25">
      <c r="A613" s="292" t="s">
        <v>12348</v>
      </c>
      <c r="B613" s="293" t="s">
        <v>12349</v>
      </c>
      <c r="C613" s="292" t="s">
        <v>12361</v>
      </c>
      <c r="D613" s="293" t="s">
        <v>12362</v>
      </c>
    </row>
    <row r="614" spans="1:4" ht="14.1" customHeight="1" x14ac:dyDescent="0.25">
      <c r="A614" s="292" t="s">
        <v>12348</v>
      </c>
      <c r="B614" s="293" t="s">
        <v>12349</v>
      </c>
      <c r="C614" s="292" t="s">
        <v>12363</v>
      </c>
      <c r="D614" s="293" t="s">
        <v>11376</v>
      </c>
    </row>
    <row r="615" spans="1:4" ht="14.1" customHeight="1" x14ac:dyDescent="0.25">
      <c r="A615" s="292" t="s">
        <v>12348</v>
      </c>
      <c r="B615" s="293" t="s">
        <v>12349</v>
      </c>
      <c r="C615" s="292" t="s">
        <v>12364</v>
      </c>
      <c r="D615" s="293" t="s">
        <v>12365</v>
      </c>
    </row>
    <row r="616" spans="1:4" ht="14.1" customHeight="1" x14ac:dyDescent="0.25">
      <c r="A616" s="292" t="s">
        <v>12348</v>
      </c>
      <c r="B616" s="293" t="s">
        <v>12349</v>
      </c>
      <c r="C616" s="292" t="s">
        <v>12366</v>
      </c>
      <c r="D616" s="293" t="s">
        <v>12367</v>
      </c>
    </row>
    <row r="617" spans="1:4" ht="14.1" customHeight="1" x14ac:dyDescent="0.25">
      <c r="A617" s="292" t="s">
        <v>12348</v>
      </c>
      <c r="B617" s="293" t="s">
        <v>12349</v>
      </c>
      <c r="C617" s="292" t="s">
        <v>12368</v>
      </c>
      <c r="D617" s="293" t="s">
        <v>12369</v>
      </c>
    </row>
    <row r="618" spans="1:4" ht="14.1" customHeight="1" x14ac:dyDescent="0.25">
      <c r="A618" s="292" t="s">
        <v>12348</v>
      </c>
      <c r="B618" s="293" t="s">
        <v>12349</v>
      </c>
      <c r="C618" s="292" t="s">
        <v>12370</v>
      </c>
      <c r="D618" s="293" t="s">
        <v>12371</v>
      </c>
    </row>
    <row r="619" spans="1:4" ht="14.1" customHeight="1" x14ac:dyDescent="0.25">
      <c r="A619" s="292" t="s">
        <v>12348</v>
      </c>
      <c r="B619" s="293" t="s">
        <v>12349</v>
      </c>
      <c r="C619" s="292" t="s">
        <v>12372</v>
      </c>
      <c r="D619" s="293" t="s">
        <v>12373</v>
      </c>
    </row>
    <row r="620" spans="1:4" ht="14.1" customHeight="1" x14ac:dyDescent="0.25">
      <c r="A620" s="292" t="s">
        <v>12348</v>
      </c>
      <c r="B620" s="293" t="s">
        <v>12349</v>
      </c>
      <c r="C620" s="292" t="s">
        <v>12374</v>
      </c>
      <c r="D620" s="293" t="s">
        <v>12375</v>
      </c>
    </row>
    <row r="621" spans="1:4" ht="14.1" customHeight="1" x14ac:dyDescent="0.25">
      <c r="A621" s="292" t="s">
        <v>12348</v>
      </c>
      <c r="B621" s="293" t="s">
        <v>12349</v>
      </c>
      <c r="C621" s="292" t="s">
        <v>12376</v>
      </c>
      <c r="D621" s="293" t="s">
        <v>12377</v>
      </c>
    </row>
    <row r="622" spans="1:4" ht="14.1" customHeight="1" x14ac:dyDescent="0.25">
      <c r="A622" s="292" t="s">
        <v>12378</v>
      </c>
      <c r="B622" s="293" t="s">
        <v>12379</v>
      </c>
      <c r="C622" s="292" t="s">
        <v>12380</v>
      </c>
      <c r="D622" s="293" t="s">
        <v>12381</v>
      </c>
    </row>
    <row r="623" spans="1:4" ht="14.1" customHeight="1" x14ac:dyDescent="0.25">
      <c r="A623" s="292" t="s">
        <v>12378</v>
      </c>
      <c r="B623" s="293" t="s">
        <v>12379</v>
      </c>
      <c r="C623" s="292" t="s">
        <v>12382</v>
      </c>
      <c r="D623" s="293" t="s">
        <v>12383</v>
      </c>
    </row>
    <row r="624" spans="1:4" ht="14.1" customHeight="1" x14ac:dyDescent="0.25">
      <c r="A624" s="292" t="s">
        <v>12378</v>
      </c>
      <c r="B624" s="293" t="s">
        <v>12379</v>
      </c>
      <c r="C624" s="292" t="s">
        <v>12384</v>
      </c>
      <c r="D624" s="293" t="s">
        <v>12385</v>
      </c>
    </row>
    <row r="625" spans="1:4" ht="14.1" customHeight="1" x14ac:dyDescent="0.25">
      <c r="A625" s="292" t="s">
        <v>12378</v>
      </c>
      <c r="B625" s="293" t="s">
        <v>12379</v>
      </c>
      <c r="C625" s="292" t="s">
        <v>12386</v>
      </c>
      <c r="D625" s="293" t="s">
        <v>12387</v>
      </c>
    </row>
    <row r="626" spans="1:4" ht="14.1" customHeight="1" x14ac:dyDescent="0.25">
      <c r="A626" s="292" t="s">
        <v>12378</v>
      </c>
      <c r="B626" s="293" t="s">
        <v>12379</v>
      </c>
      <c r="C626" s="292" t="s">
        <v>12388</v>
      </c>
      <c r="D626" s="293" t="s">
        <v>12389</v>
      </c>
    </row>
    <row r="627" spans="1:4" ht="14.1" customHeight="1" x14ac:dyDescent="0.25">
      <c r="A627" s="292" t="s">
        <v>12378</v>
      </c>
      <c r="B627" s="293" t="s">
        <v>12379</v>
      </c>
      <c r="C627" s="292" t="s">
        <v>12390</v>
      </c>
      <c r="D627" s="293" t="s">
        <v>12391</v>
      </c>
    </row>
    <row r="628" spans="1:4" ht="14.1" customHeight="1" x14ac:dyDescent="0.25">
      <c r="A628" s="292" t="s">
        <v>12378</v>
      </c>
      <c r="B628" s="293" t="s">
        <v>12379</v>
      </c>
      <c r="C628" s="292" t="s">
        <v>12392</v>
      </c>
      <c r="D628" s="293" t="s">
        <v>11213</v>
      </c>
    </row>
    <row r="629" spans="1:4" ht="14.1" customHeight="1" x14ac:dyDescent="0.25">
      <c r="A629" s="292" t="s">
        <v>12393</v>
      </c>
      <c r="B629" s="293" t="s">
        <v>12394</v>
      </c>
      <c r="C629" s="292" t="s">
        <v>12395</v>
      </c>
      <c r="D629" s="293" t="s">
        <v>12396</v>
      </c>
    </row>
    <row r="630" spans="1:4" ht="14.1" customHeight="1" x14ac:dyDescent="0.25">
      <c r="A630" s="292" t="s">
        <v>12393</v>
      </c>
      <c r="B630" s="293" t="s">
        <v>12394</v>
      </c>
      <c r="C630" s="292" t="s">
        <v>12397</v>
      </c>
      <c r="D630" s="293" t="s">
        <v>11799</v>
      </c>
    </row>
    <row r="631" spans="1:4" ht="14.1" customHeight="1" x14ac:dyDescent="0.25">
      <c r="A631" s="292" t="s">
        <v>12393</v>
      </c>
      <c r="B631" s="293" t="s">
        <v>12394</v>
      </c>
      <c r="C631" s="292" t="s">
        <v>12398</v>
      </c>
      <c r="D631" s="293" t="s">
        <v>12399</v>
      </c>
    </row>
    <row r="632" spans="1:4" ht="14.1" customHeight="1" x14ac:dyDescent="0.25">
      <c r="A632" s="292" t="s">
        <v>12393</v>
      </c>
      <c r="B632" s="293" t="s">
        <v>12394</v>
      </c>
      <c r="C632" s="292" t="s">
        <v>12400</v>
      </c>
      <c r="D632" s="293" t="s">
        <v>12401</v>
      </c>
    </row>
    <row r="633" spans="1:4" ht="14.1" customHeight="1" x14ac:dyDescent="0.25">
      <c r="A633" s="292" t="s">
        <v>12393</v>
      </c>
      <c r="B633" s="293" t="s">
        <v>12394</v>
      </c>
      <c r="C633" s="292" t="s">
        <v>12402</v>
      </c>
      <c r="D633" s="293" t="s">
        <v>12403</v>
      </c>
    </row>
    <row r="634" spans="1:4" ht="14.1" customHeight="1" x14ac:dyDescent="0.25">
      <c r="A634" s="292" t="s">
        <v>12404</v>
      </c>
      <c r="B634" s="293" t="s">
        <v>12405</v>
      </c>
      <c r="C634" s="292" t="s">
        <v>12406</v>
      </c>
      <c r="D634" s="293" t="s">
        <v>12407</v>
      </c>
    </row>
    <row r="635" spans="1:4" ht="14.1" customHeight="1" x14ac:dyDescent="0.25">
      <c r="A635" s="292" t="s">
        <v>12408</v>
      </c>
      <c r="B635" s="293" t="s">
        <v>12409</v>
      </c>
      <c r="C635" s="292" t="s">
        <v>12410</v>
      </c>
      <c r="D635" s="293" t="s">
        <v>12411</v>
      </c>
    </row>
    <row r="636" spans="1:4" ht="14.1" customHeight="1" x14ac:dyDescent="0.25">
      <c r="A636" s="292" t="s">
        <v>12408</v>
      </c>
      <c r="B636" s="293" t="s">
        <v>12409</v>
      </c>
      <c r="C636" s="292" t="s">
        <v>12412</v>
      </c>
      <c r="D636" s="293" t="s">
        <v>12413</v>
      </c>
    </row>
    <row r="637" spans="1:4" ht="14.1" customHeight="1" x14ac:dyDescent="0.25">
      <c r="A637" s="292" t="s">
        <v>12408</v>
      </c>
      <c r="B637" s="293" t="s">
        <v>12409</v>
      </c>
      <c r="C637" s="292" t="s">
        <v>12414</v>
      </c>
      <c r="D637" s="293" t="s">
        <v>12415</v>
      </c>
    </row>
    <row r="638" spans="1:4" ht="14.1" customHeight="1" x14ac:dyDescent="0.25">
      <c r="A638" s="292" t="s">
        <v>12408</v>
      </c>
      <c r="B638" s="293" t="s">
        <v>12409</v>
      </c>
      <c r="C638" s="292" t="s">
        <v>12416</v>
      </c>
      <c r="D638" s="293" t="s">
        <v>12417</v>
      </c>
    </row>
    <row r="639" spans="1:4" ht="14.1" customHeight="1" x14ac:dyDescent="0.25">
      <c r="A639" s="292" t="s">
        <v>12408</v>
      </c>
      <c r="B639" s="293" t="s">
        <v>12409</v>
      </c>
      <c r="C639" s="292" t="s">
        <v>12418</v>
      </c>
      <c r="D639" s="293" t="s">
        <v>12419</v>
      </c>
    </row>
    <row r="640" spans="1:4" ht="14.1" customHeight="1" x14ac:dyDescent="0.25">
      <c r="A640" s="292" t="s">
        <v>12408</v>
      </c>
      <c r="B640" s="293" t="s">
        <v>12409</v>
      </c>
      <c r="C640" s="292" t="s">
        <v>12420</v>
      </c>
      <c r="D640" s="293" t="s">
        <v>12421</v>
      </c>
    </row>
    <row r="641" spans="1:4" ht="14.1" customHeight="1" x14ac:dyDescent="0.25">
      <c r="A641" s="292" t="s">
        <v>12422</v>
      </c>
      <c r="B641" s="293" t="s">
        <v>12423</v>
      </c>
      <c r="C641" s="292" t="s">
        <v>12424</v>
      </c>
      <c r="D641" s="293" t="s">
        <v>12425</v>
      </c>
    </row>
    <row r="642" spans="1:4" ht="14.1" customHeight="1" x14ac:dyDescent="0.25">
      <c r="A642" s="292" t="s">
        <v>12422</v>
      </c>
      <c r="B642" s="293" t="s">
        <v>12423</v>
      </c>
      <c r="C642" s="292" t="s">
        <v>12426</v>
      </c>
      <c r="D642" s="293" t="s">
        <v>12427</v>
      </c>
    </row>
    <row r="643" spans="1:4" ht="14.1" customHeight="1" x14ac:dyDescent="0.25">
      <c r="A643" s="292" t="s">
        <v>12428</v>
      </c>
      <c r="B643" s="293" t="s">
        <v>12429</v>
      </c>
      <c r="C643" s="292" t="s">
        <v>12430</v>
      </c>
      <c r="D643" s="293" t="s">
        <v>12431</v>
      </c>
    </row>
    <row r="644" spans="1:4" ht="14.1" customHeight="1" x14ac:dyDescent="0.25">
      <c r="A644" s="292" t="s">
        <v>12428</v>
      </c>
      <c r="B644" s="293" t="s">
        <v>12429</v>
      </c>
      <c r="C644" s="292" t="s">
        <v>12432</v>
      </c>
      <c r="D644" s="293" t="s">
        <v>12433</v>
      </c>
    </row>
    <row r="645" spans="1:4" ht="14.1" customHeight="1" x14ac:dyDescent="0.25">
      <c r="A645" s="292" t="s">
        <v>12428</v>
      </c>
      <c r="B645" s="293" t="s">
        <v>12429</v>
      </c>
      <c r="C645" s="292" t="s">
        <v>12434</v>
      </c>
      <c r="D645" s="293" t="s">
        <v>12435</v>
      </c>
    </row>
    <row r="646" spans="1:4" ht="14.1" customHeight="1" x14ac:dyDescent="0.25">
      <c r="A646" s="292" t="s">
        <v>12436</v>
      </c>
      <c r="B646" s="293" t="s">
        <v>12437</v>
      </c>
      <c r="C646" s="292" t="s">
        <v>12438</v>
      </c>
      <c r="D646" s="293" t="s">
        <v>12439</v>
      </c>
    </row>
    <row r="647" spans="1:4" ht="14.1" customHeight="1" x14ac:dyDescent="0.25">
      <c r="A647" s="292" t="s">
        <v>12440</v>
      </c>
      <c r="B647" s="293" t="s">
        <v>12441</v>
      </c>
      <c r="C647" s="292" t="s">
        <v>12442</v>
      </c>
      <c r="D647" s="293" t="s">
        <v>12443</v>
      </c>
    </row>
    <row r="648" spans="1:4" ht="14.1" customHeight="1" x14ac:dyDescent="0.25">
      <c r="A648" s="292" t="s">
        <v>12444</v>
      </c>
      <c r="B648" s="293" t="s">
        <v>12445</v>
      </c>
      <c r="C648" s="292" t="s">
        <v>12446</v>
      </c>
      <c r="D648" s="293" t="s">
        <v>12447</v>
      </c>
    </row>
    <row r="649" spans="1:4" ht="14.1" customHeight="1" x14ac:dyDescent="0.25">
      <c r="A649" s="292" t="s">
        <v>12444</v>
      </c>
      <c r="B649" s="293" t="s">
        <v>12445</v>
      </c>
      <c r="C649" s="292" t="s">
        <v>12448</v>
      </c>
      <c r="D649" s="293" t="s">
        <v>12449</v>
      </c>
    </row>
    <row r="650" spans="1:4" ht="14.1" customHeight="1" x14ac:dyDescent="0.25">
      <c r="A650" s="292" t="s">
        <v>12444</v>
      </c>
      <c r="B650" s="293" t="s">
        <v>12445</v>
      </c>
      <c r="C650" s="292" t="s">
        <v>12450</v>
      </c>
      <c r="D650" s="293" t="s">
        <v>12451</v>
      </c>
    </row>
    <row r="651" spans="1:4" ht="14.1" customHeight="1" x14ac:dyDescent="0.25">
      <c r="A651" s="292" t="s">
        <v>12444</v>
      </c>
      <c r="B651" s="293" t="s">
        <v>12445</v>
      </c>
      <c r="C651" s="292" t="s">
        <v>12452</v>
      </c>
      <c r="D651" s="293" t="s">
        <v>12453</v>
      </c>
    </row>
    <row r="652" spans="1:4" ht="14.1" customHeight="1" x14ac:dyDescent="0.25">
      <c r="A652" s="292" t="s">
        <v>12444</v>
      </c>
      <c r="B652" s="293" t="s">
        <v>12445</v>
      </c>
      <c r="C652" s="292" t="s">
        <v>12454</v>
      </c>
      <c r="D652" s="293" t="s">
        <v>12455</v>
      </c>
    </row>
    <row r="653" spans="1:4" ht="14.1" customHeight="1" x14ac:dyDescent="0.25">
      <c r="A653" s="292" t="s">
        <v>12444</v>
      </c>
      <c r="B653" s="293" t="s">
        <v>12445</v>
      </c>
      <c r="C653" s="292" t="s">
        <v>12456</v>
      </c>
      <c r="D653" s="293" t="s">
        <v>12457</v>
      </c>
    </row>
    <row r="654" spans="1:4" ht="14.1" customHeight="1" x14ac:dyDescent="0.25">
      <c r="A654" s="292" t="s">
        <v>12444</v>
      </c>
      <c r="B654" s="293" t="s">
        <v>12445</v>
      </c>
      <c r="C654" s="292" t="s">
        <v>12458</v>
      </c>
      <c r="D654" s="293" t="s">
        <v>12459</v>
      </c>
    </row>
    <row r="655" spans="1:4" ht="14.1" customHeight="1" x14ac:dyDescent="0.25">
      <c r="A655" s="292" t="s">
        <v>12444</v>
      </c>
      <c r="B655" s="293" t="s">
        <v>12445</v>
      </c>
      <c r="C655" s="292" t="s">
        <v>12460</v>
      </c>
      <c r="D655" s="293" t="s">
        <v>12461</v>
      </c>
    </row>
    <row r="656" spans="1:4" ht="14.1" customHeight="1" x14ac:dyDescent="0.25">
      <c r="A656" s="292" t="s">
        <v>12462</v>
      </c>
      <c r="B656" s="293" t="s">
        <v>12463</v>
      </c>
      <c r="C656" s="292" t="s">
        <v>12464</v>
      </c>
      <c r="D656" s="293" t="s">
        <v>12465</v>
      </c>
    </row>
    <row r="657" spans="1:4" ht="14.1" customHeight="1" x14ac:dyDescent="0.25">
      <c r="A657" s="292" t="s">
        <v>12462</v>
      </c>
      <c r="B657" s="293" t="s">
        <v>12463</v>
      </c>
      <c r="C657" s="292" t="s">
        <v>12466</v>
      </c>
      <c r="D657" s="293" t="s">
        <v>12467</v>
      </c>
    </row>
    <row r="658" spans="1:4" ht="14.1" customHeight="1" x14ac:dyDescent="0.25">
      <c r="A658" s="292" t="s">
        <v>12462</v>
      </c>
      <c r="B658" s="293" t="s">
        <v>12463</v>
      </c>
      <c r="C658" s="292" t="s">
        <v>12468</v>
      </c>
      <c r="D658" s="293" t="s">
        <v>12469</v>
      </c>
    </row>
    <row r="659" spans="1:4" ht="14.1" customHeight="1" x14ac:dyDescent="0.25">
      <c r="A659" s="292" t="s">
        <v>12470</v>
      </c>
      <c r="B659" s="293" t="s">
        <v>12471</v>
      </c>
      <c r="C659" s="292" t="s">
        <v>12472</v>
      </c>
      <c r="D659" s="293" t="s">
        <v>12473</v>
      </c>
    </row>
    <row r="660" spans="1:4" ht="14.1" customHeight="1" x14ac:dyDescent="0.25">
      <c r="A660" s="292" t="s">
        <v>12470</v>
      </c>
      <c r="B660" s="293" t="s">
        <v>12471</v>
      </c>
      <c r="C660" s="292" t="s">
        <v>12474</v>
      </c>
      <c r="D660" s="293" t="s">
        <v>12475</v>
      </c>
    </row>
    <row r="661" spans="1:4" ht="14.1" customHeight="1" x14ac:dyDescent="0.25">
      <c r="A661" s="292" t="s">
        <v>12470</v>
      </c>
      <c r="B661" s="293" t="s">
        <v>12471</v>
      </c>
      <c r="C661" s="292" t="s">
        <v>12476</v>
      </c>
      <c r="D661" s="293" t="s">
        <v>12477</v>
      </c>
    </row>
    <row r="662" spans="1:4" ht="14.1" customHeight="1" x14ac:dyDescent="0.25">
      <c r="A662" s="292" t="s">
        <v>12470</v>
      </c>
      <c r="B662" s="293" t="s">
        <v>12471</v>
      </c>
      <c r="C662" s="292" t="s">
        <v>12478</v>
      </c>
      <c r="D662" s="293" t="s">
        <v>12479</v>
      </c>
    </row>
    <row r="663" spans="1:4" ht="14.1" customHeight="1" x14ac:dyDescent="0.25">
      <c r="A663" s="292" t="s">
        <v>12470</v>
      </c>
      <c r="B663" s="293" t="s">
        <v>12471</v>
      </c>
      <c r="C663" s="292" t="s">
        <v>12480</v>
      </c>
      <c r="D663" s="293" t="s">
        <v>12481</v>
      </c>
    </row>
    <row r="664" spans="1:4" ht="14.1" customHeight="1" x14ac:dyDescent="0.25">
      <c r="A664" s="292" t="s">
        <v>12470</v>
      </c>
      <c r="B664" s="293" t="s">
        <v>12471</v>
      </c>
      <c r="C664" s="292" t="s">
        <v>12482</v>
      </c>
      <c r="D664" s="293" t="s">
        <v>12483</v>
      </c>
    </row>
    <row r="665" spans="1:4" ht="14.1" customHeight="1" x14ac:dyDescent="0.25">
      <c r="A665" s="292" t="s">
        <v>12470</v>
      </c>
      <c r="B665" s="293" t="s">
        <v>12471</v>
      </c>
      <c r="C665" s="292" t="s">
        <v>10579</v>
      </c>
      <c r="D665" s="293" t="s">
        <v>12484</v>
      </c>
    </row>
    <row r="666" spans="1:4" ht="14.1" customHeight="1" x14ac:dyDescent="0.25">
      <c r="A666" s="292" t="s">
        <v>12470</v>
      </c>
      <c r="B666" s="293" t="s">
        <v>12471</v>
      </c>
      <c r="C666" s="292" t="s">
        <v>12485</v>
      </c>
      <c r="D666" s="293" t="s">
        <v>12486</v>
      </c>
    </row>
    <row r="667" spans="1:4" ht="14.1" customHeight="1" x14ac:dyDescent="0.25">
      <c r="A667" s="335" t="s">
        <v>12470</v>
      </c>
      <c r="B667" s="293" t="s">
        <v>12471</v>
      </c>
      <c r="C667" s="333" t="s">
        <v>13524</v>
      </c>
      <c r="D667" s="334" t="s">
        <v>12486</v>
      </c>
    </row>
    <row r="668" spans="1:4" ht="14.1" customHeight="1" x14ac:dyDescent="0.25">
      <c r="A668" s="292" t="s">
        <v>12470</v>
      </c>
      <c r="B668" s="293" t="s">
        <v>12471</v>
      </c>
      <c r="C668" s="292" t="s">
        <v>12487</v>
      </c>
      <c r="D668" s="293" t="s">
        <v>12488</v>
      </c>
    </row>
    <row r="669" spans="1:4" ht="14.1" customHeight="1" x14ac:dyDescent="0.25">
      <c r="A669" s="292" t="s">
        <v>12470</v>
      </c>
      <c r="B669" s="293" t="s">
        <v>12471</v>
      </c>
      <c r="C669" s="292" t="s">
        <v>12489</v>
      </c>
      <c r="D669" s="293" t="s">
        <v>12490</v>
      </c>
    </row>
    <row r="670" spans="1:4" ht="14.1" customHeight="1" x14ac:dyDescent="0.25">
      <c r="A670" s="292" t="s">
        <v>12470</v>
      </c>
      <c r="B670" s="293" t="s">
        <v>12471</v>
      </c>
      <c r="C670" s="292" t="s">
        <v>12491</v>
      </c>
      <c r="D670" s="293" t="s">
        <v>12492</v>
      </c>
    </row>
    <row r="671" spans="1:4" ht="14.1" customHeight="1" x14ac:dyDescent="0.25">
      <c r="A671" s="292" t="s">
        <v>12470</v>
      </c>
      <c r="B671" s="293" t="s">
        <v>12471</v>
      </c>
      <c r="C671" s="292" t="s">
        <v>12493</v>
      </c>
      <c r="D671" s="293" t="s">
        <v>12494</v>
      </c>
    </row>
    <row r="672" spans="1:4" ht="14.1" customHeight="1" x14ac:dyDescent="0.25">
      <c r="A672" s="292" t="s">
        <v>12470</v>
      </c>
      <c r="B672" s="293" t="s">
        <v>12471</v>
      </c>
      <c r="C672" s="292" t="s">
        <v>12495</v>
      </c>
      <c r="D672" s="293" t="s">
        <v>12496</v>
      </c>
    </row>
    <row r="673" spans="1:4" ht="14.1" customHeight="1" x14ac:dyDescent="0.25">
      <c r="A673" s="292" t="s">
        <v>12470</v>
      </c>
      <c r="B673" s="293" t="s">
        <v>12471</v>
      </c>
      <c r="C673" s="292" t="s">
        <v>12497</v>
      </c>
      <c r="D673" s="293" t="s">
        <v>12498</v>
      </c>
    </row>
    <row r="674" spans="1:4" ht="14.1" customHeight="1" x14ac:dyDescent="0.25">
      <c r="A674" s="292" t="s">
        <v>12499</v>
      </c>
      <c r="B674" s="293" t="s">
        <v>12500</v>
      </c>
      <c r="C674" s="292" t="s">
        <v>12501</v>
      </c>
      <c r="D674" s="293" t="s">
        <v>12502</v>
      </c>
    </row>
    <row r="675" spans="1:4" ht="14.1" customHeight="1" x14ac:dyDescent="0.25">
      <c r="A675" s="292" t="s">
        <v>12503</v>
      </c>
      <c r="B675" s="293" t="s">
        <v>12504</v>
      </c>
      <c r="C675" s="292" t="s">
        <v>12505</v>
      </c>
      <c r="D675" s="293" t="s">
        <v>12506</v>
      </c>
    </row>
    <row r="676" spans="1:4" ht="14.1" customHeight="1" x14ac:dyDescent="0.25">
      <c r="A676" s="292" t="s">
        <v>12507</v>
      </c>
      <c r="B676" s="293" t="s">
        <v>12508</v>
      </c>
      <c r="C676" s="292" t="s">
        <v>12509</v>
      </c>
      <c r="D676" s="293" t="s">
        <v>12510</v>
      </c>
    </row>
    <row r="677" spans="1:4" ht="14.1" customHeight="1" x14ac:dyDescent="0.25">
      <c r="A677" s="292" t="s">
        <v>7630</v>
      </c>
      <c r="B677" s="293" t="s">
        <v>12511</v>
      </c>
      <c r="C677" s="292" t="s">
        <v>12512</v>
      </c>
      <c r="D677" s="293" t="s">
        <v>12513</v>
      </c>
    </row>
    <row r="678" spans="1:4" ht="14.1" customHeight="1" x14ac:dyDescent="0.25">
      <c r="A678" s="292" t="s">
        <v>7630</v>
      </c>
      <c r="B678" s="293" t="s">
        <v>12511</v>
      </c>
      <c r="C678" s="292" t="s">
        <v>12514</v>
      </c>
      <c r="D678" s="293" t="s">
        <v>12515</v>
      </c>
    </row>
    <row r="679" spans="1:4" ht="14.1" customHeight="1" x14ac:dyDescent="0.25">
      <c r="A679" s="292" t="s">
        <v>7630</v>
      </c>
      <c r="B679" s="293" t="s">
        <v>12511</v>
      </c>
      <c r="C679" s="292" t="s">
        <v>12516</v>
      </c>
      <c r="D679" s="293" t="s">
        <v>12517</v>
      </c>
    </row>
    <row r="680" spans="1:4" ht="14.1" customHeight="1" x14ac:dyDescent="0.25">
      <c r="A680" s="292" t="s">
        <v>7630</v>
      </c>
      <c r="B680" s="293" t="s">
        <v>12511</v>
      </c>
      <c r="C680" s="292" t="s">
        <v>10577</v>
      </c>
      <c r="D680" s="293" t="s">
        <v>12518</v>
      </c>
    </row>
    <row r="681" spans="1:4" ht="14.1" customHeight="1" x14ac:dyDescent="0.25">
      <c r="A681" s="292" t="s">
        <v>7630</v>
      </c>
      <c r="B681" s="293" t="s">
        <v>12511</v>
      </c>
      <c r="C681" s="292" t="s">
        <v>12519</v>
      </c>
      <c r="D681" s="293" t="s">
        <v>12520</v>
      </c>
    </row>
    <row r="682" spans="1:4" ht="14.1" customHeight="1" x14ac:dyDescent="0.25">
      <c r="A682" s="292" t="s">
        <v>7630</v>
      </c>
      <c r="B682" s="293" t="s">
        <v>12511</v>
      </c>
      <c r="C682" s="292" t="s">
        <v>12521</v>
      </c>
      <c r="D682" s="293" t="s">
        <v>12522</v>
      </c>
    </row>
    <row r="683" spans="1:4" ht="14.1" customHeight="1" x14ac:dyDescent="0.25">
      <c r="A683" s="292" t="s">
        <v>7630</v>
      </c>
      <c r="B683" s="293" t="s">
        <v>12511</v>
      </c>
      <c r="C683" s="292" t="s">
        <v>12523</v>
      </c>
      <c r="D683" s="293" t="s">
        <v>12524</v>
      </c>
    </row>
    <row r="684" spans="1:4" ht="14.1" customHeight="1" x14ac:dyDescent="0.25">
      <c r="A684" s="292" t="s">
        <v>12525</v>
      </c>
      <c r="B684" s="293" t="s">
        <v>12526</v>
      </c>
      <c r="C684" s="292" t="s">
        <v>12527</v>
      </c>
      <c r="D684" s="293" t="s">
        <v>12528</v>
      </c>
    </row>
    <row r="685" spans="1:4" ht="14.1" customHeight="1" x14ac:dyDescent="0.25">
      <c r="A685" s="292" t="s">
        <v>12525</v>
      </c>
      <c r="B685" s="293" t="s">
        <v>12526</v>
      </c>
      <c r="C685" s="292" t="s">
        <v>12529</v>
      </c>
      <c r="D685" s="293" t="s">
        <v>12530</v>
      </c>
    </row>
    <row r="686" spans="1:4" ht="14.1" customHeight="1" x14ac:dyDescent="0.25">
      <c r="A686" s="292" t="s">
        <v>12525</v>
      </c>
      <c r="B686" s="293" t="s">
        <v>12526</v>
      </c>
      <c r="C686" s="292" t="s">
        <v>12531</v>
      </c>
      <c r="D686" s="293" t="s">
        <v>12532</v>
      </c>
    </row>
    <row r="687" spans="1:4" ht="14.1" customHeight="1" x14ac:dyDescent="0.25">
      <c r="A687" s="292" t="s">
        <v>12525</v>
      </c>
      <c r="B687" s="293" t="s">
        <v>12526</v>
      </c>
      <c r="C687" s="292" t="s">
        <v>12533</v>
      </c>
      <c r="D687" s="293" t="s">
        <v>12534</v>
      </c>
    </row>
    <row r="688" spans="1:4" ht="14.1" customHeight="1" x14ac:dyDescent="0.25">
      <c r="A688" s="292" t="s">
        <v>12525</v>
      </c>
      <c r="B688" s="293" t="s">
        <v>12526</v>
      </c>
      <c r="C688" s="292" t="s">
        <v>12535</v>
      </c>
      <c r="D688" s="293" t="s">
        <v>12536</v>
      </c>
    </row>
    <row r="689" spans="1:4" ht="14.1" customHeight="1" x14ac:dyDescent="0.25">
      <c r="A689" s="292" t="s">
        <v>12525</v>
      </c>
      <c r="B689" s="293" t="s">
        <v>12526</v>
      </c>
      <c r="C689" s="292" t="s">
        <v>12537</v>
      </c>
      <c r="D689" s="293" t="s">
        <v>12538</v>
      </c>
    </row>
    <row r="690" spans="1:4" ht="14.1" customHeight="1" x14ac:dyDescent="0.25">
      <c r="A690" s="292" t="s">
        <v>12525</v>
      </c>
      <c r="B690" s="293" t="s">
        <v>12526</v>
      </c>
      <c r="C690" s="292" t="s">
        <v>12539</v>
      </c>
      <c r="D690" s="293" t="s">
        <v>12540</v>
      </c>
    </row>
    <row r="691" spans="1:4" ht="14.1" customHeight="1" x14ac:dyDescent="0.25">
      <c r="A691" s="292" t="s">
        <v>12525</v>
      </c>
      <c r="B691" s="293" t="s">
        <v>12526</v>
      </c>
      <c r="C691" s="292" t="s">
        <v>12541</v>
      </c>
      <c r="D691" s="293" t="s">
        <v>12542</v>
      </c>
    </row>
    <row r="692" spans="1:4" ht="14.1" customHeight="1" x14ac:dyDescent="0.25">
      <c r="A692" s="292" t="s">
        <v>12525</v>
      </c>
      <c r="B692" s="293" t="s">
        <v>12526</v>
      </c>
      <c r="C692" s="292" t="s">
        <v>12543</v>
      </c>
      <c r="D692" s="293" t="s">
        <v>12544</v>
      </c>
    </row>
    <row r="693" spans="1:4" ht="14.1" customHeight="1" x14ac:dyDescent="0.25">
      <c r="A693" s="292" t="s">
        <v>12525</v>
      </c>
      <c r="B693" s="293" t="s">
        <v>12526</v>
      </c>
      <c r="C693" s="292" t="s">
        <v>12545</v>
      </c>
      <c r="D693" s="293" t="s">
        <v>12546</v>
      </c>
    </row>
    <row r="694" spans="1:4" ht="14.1" customHeight="1" x14ac:dyDescent="0.25">
      <c r="A694" s="292" t="s">
        <v>12525</v>
      </c>
      <c r="B694" s="293" t="s">
        <v>12526</v>
      </c>
      <c r="C694" s="292" t="s">
        <v>12547</v>
      </c>
      <c r="D694" s="293" t="s">
        <v>12548</v>
      </c>
    </row>
    <row r="695" spans="1:4" ht="14.1" customHeight="1" x14ac:dyDescent="0.25">
      <c r="A695" s="292" t="s">
        <v>7574</v>
      </c>
      <c r="B695" s="293" t="s">
        <v>12549</v>
      </c>
      <c r="C695" s="292" t="s">
        <v>12550</v>
      </c>
      <c r="D695" s="293" t="s">
        <v>12551</v>
      </c>
    </row>
    <row r="696" spans="1:4" ht="14.1" customHeight="1" x14ac:dyDescent="0.25">
      <c r="A696" s="292" t="s">
        <v>7574</v>
      </c>
      <c r="B696" s="293" t="s">
        <v>12549</v>
      </c>
      <c r="C696" s="292" t="s">
        <v>12552</v>
      </c>
      <c r="D696" s="293" t="s">
        <v>12553</v>
      </c>
    </row>
    <row r="697" spans="1:4" ht="14.1" customHeight="1" x14ac:dyDescent="0.25">
      <c r="A697" s="292" t="s">
        <v>7574</v>
      </c>
      <c r="B697" s="293" t="s">
        <v>12549</v>
      </c>
      <c r="C697" s="292" t="s">
        <v>12554</v>
      </c>
      <c r="D697" s="293" t="s">
        <v>12555</v>
      </c>
    </row>
    <row r="698" spans="1:4" ht="14.1" customHeight="1" x14ac:dyDescent="0.25">
      <c r="A698" s="292" t="s">
        <v>7574</v>
      </c>
      <c r="B698" s="293" t="s">
        <v>12549</v>
      </c>
      <c r="C698" s="292" t="s">
        <v>12556</v>
      </c>
      <c r="D698" s="293" t="s">
        <v>12557</v>
      </c>
    </row>
    <row r="699" spans="1:4" ht="14.1" customHeight="1" x14ac:dyDescent="0.25">
      <c r="A699" s="292" t="s">
        <v>7574</v>
      </c>
      <c r="B699" s="293" t="s">
        <v>12549</v>
      </c>
      <c r="C699" s="292" t="s">
        <v>12558</v>
      </c>
      <c r="D699" s="293" t="s">
        <v>12559</v>
      </c>
    </row>
    <row r="700" spans="1:4" ht="14.1" customHeight="1" x14ac:dyDescent="0.25">
      <c r="A700" s="292" t="s">
        <v>7574</v>
      </c>
      <c r="B700" s="293" t="s">
        <v>12549</v>
      </c>
      <c r="C700" s="292" t="s">
        <v>12560</v>
      </c>
      <c r="D700" s="293" t="s">
        <v>12561</v>
      </c>
    </row>
    <row r="701" spans="1:4" ht="14.1" customHeight="1" x14ac:dyDescent="0.25">
      <c r="A701" s="292" t="s">
        <v>12562</v>
      </c>
      <c r="B701" s="293" t="s">
        <v>12563</v>
      </c>
      <c r="C701" s="292" t="s">
        <v>12564</v>
      </c>
      <c r="D701" s="293" t="s">
        <v>12565</v>
      </c>
    </row>
    <row r="702" spans="1:4" ht="14.1" customHeight="1" x14ac:dyDescent="0.25">
      <c r="A702" s="292" t="s">
        <v>12562</v>
      </c>
      <c r="B702" s="293" t="s">
        <v>12563</v>
      </c>
      <c r="C702" s="292" t="s">
        <v>12566</v>
      </c>
      <c r="D702" s="293" t="s">
        <v>12567</v>
      </c>
    </row>
    <row r="703" spans="1:4" ht="14.1" customHeight="1" x14ac:dyDescent="0.25">
      <c r="A703" s="292" t="s">
        <v>12568</v>
      </c>
      <c r="B703" s="293" t="s">
        <v>12569</v>
      </c>
      <c r="C703" s="292" t="s">
        <v>10785</v>
      </c>
      <c r="D703" s="293" t="s">
        <v>12570</v>
      </c>
    </row>
    <row r="704" spans="1:4" ht="14.1" customHeight="1" x14ac:dyDescent="0.25">
      <c r="A704" s="292" t="s">
        <v>12568</v>
      </c>
      <c r="B704" s="293" t="s">
        <v>12569</v>
      </c>
      <c r="C704" s="292" t="s">
        <v>12571</v>
      </c>
      <c r="D704" s="293" t="s">
        <v>12572</v>
      </c>
    </row>
    <row r="705" spans="1:4" ht="14.1" customHeight="1" x14ac:dyDescent="0.25">
      <c r="A705" s="292" t="s">
        <v>12573</v>
      </c>
      <c r="B705" s="293" t="s">
        <v>12574</v>
      </c>
      <c r="C705" s="292" t="s">
        <v>12575</v>
      </c>
      <c r="D705" s="293" t="s">
        <v>12576</v>
      </c>
    </row>
    <row r="706" spans="1:4" ht="14.1" customHeight="1" x14ac:dyDescent="0.25">
      <c r="A706" s="292" t="s">
        <v>12573</v>
      </c>
      <c r="B706" s="293" t="s">
        <v>12574</v>
      </c>
      <c r="C706" s="292" t="s">
        <v>12577</v>
      </c>
      <c r="D706" s="293" t="s">
        <v>12578</v>
      </c>
    </row>
    <row r="707" spans="1:4" ht="14.1" customHeight="1" x14ac:dyDescent="0.25">
      <c r="A707" s="292" t="s">
        <v>12573</v>
      </c>
      <c r="B707" s="293" t="s">
        <v>12574</v>
      </c>
      <c r="C707" s="292" t="s">
        <v>12579</v>
      </c>
      <c r="D707" s="293" t="s">
        <v>12580</v>
      </c>
    </row>
    <row r="708" spans="1:4" ht="14.1" customHeight="1" x14ac:dyDescent="0.25">
      <c r="A708" s="292" t="s">
        <v>12573</v>
      </c>
      <c r="B708" s="293" t="s">
        <v>12574</v>
      </c>
      <c r="C708" s="292" t="s">
        <v>12581</v>
      </c>
      <c r="D708" s="293" t="s">
        <v>12582</v>
      </c>
    </row>
    <row r="709" spans="1:4" ht="14.1" customHeight="1" x14ac:dyDescent="0.25">
      <c r="A709" s="292" t="s">
        <v>12573</v>
      </c>
      <c r="B709" s="293" t="s">
        <v>12574</v>
      </c>
      <c r="C709" s="292" t="s">
        <v>12583</v>
      </c>
      <c r="D709" s="293" t="s">
        <v>12584</v>
      </c>
    </row>
    <row r="710" spans="1:4" ht="14.1" customHeight="1" x14ac:dyDescent="0.25">
      <c r="A710" s="292" t="s">
        <v>12573</v>
      </c>
      <c r="B710" s="293" t="s">
        <v>12574</v>
      </c>
      <c r="C710" s="292" t="s">
        <v>12585</v>
      </c>
      <c r="D710" s="293" t="s">
        <v>12586</v>
      </c>
    </row>
    <row r="711" spans="1:4" ht="14.1" customHeight="1" x14ac:dyDescent="0.25">
      <c r="A711" s="292" t="s">
        <v>12573</v>
      </c>
      <c r="B711" s="293" t="s">
        <v>12574</v>
      </c>
      <c r="C711" s="292" t="s">
        <v>12587</v>
      </c>
      <c r="D711" s="293" t="s">
        <v>12588</v>
      </c>
    </row>
    <row r="712" spans="1:4" ht="14.1" customHeight="1" x14ac:dyDescent="0.25">
      <c r="A712" s="292" t="s">
        <v>12573</v>
      </c>
      <c r="B712" s="293" t="s">
        <v>12574</v>
      </c>
      <c r="C712" s="292" t="s">
        <v>12589</v>
      </c>
      <c r="D712" s="293" t="s">
        <v>12590</v>
      </c>
    </row>
    <row r="713" spans="1:4" ht="14.1" customHeight="1" x14ac:dyDescent="0.25">
      <c r="A713" s="292" t="s">
        <v>12573</v>
      </c>
      <c r="B713" s="293" t="s">
        <v>12574</v>
      </c>
      <c r="C713" s="292" t="s">
        <v>12591</v>
      </c>
      <c r="D713" s="293" t="s">
        <v>12592</v>
      </c>
    </row>
    <row r="714" spans="1:4" ht="14.1" customHeight="1" x14ac:dyDescent="0.25">
      <c r="A714" s="115" t="s">
        <v>12573</v>
      </c>
      <c r="B714" s="293" t="s">
        <v>12574</v>
      </c>
      <c r="C714" s="292" t="s">
        <v>12593</v>
      </c>
      <c r="D714" s="293" t="s">
        <v>12594</v>
      </c>
    </row>
    <row r="715" spans="1:4" ht="14.1" customHeight="1" x14ac:dyDescent="0.25">
      <c r="A715" s="292" t="s">
        <v>12573</v>
      </c>
      <c r="B715" s="293" t="s">
        <v>12574</v>
      </c>
      <c r="C715" s="292" t="s">
        <v>12595</v>
      </c>
      <c r="D715" s="293" t="s">
        <v>12596</v>
      </c>
    </row>
    <row r="716" spans="1:4" ht="14.1" customHeight="1" x14ac:dyDescent="0.25">
      <c r="A716" s="292" t="s">
        <v>12573</v>
      </c>
      <c r="B716" s="293" t="s">
        <v>12574</v>
      </c>
      <c r="C716" s="292" t="s">
        <v>12597</v>
      </c>
      <c r="D716" s="293" t="s">
        <v>12598</v>
      </c>
    </row>
    <row r="717" spans="1:4" ht="14.1" customHeight="1" x14ac:dyDescent="0.25">
      <c r="A717" s="292" t="s">
        <v>12573</v>
      </c>
      <c r="B717" s="293" t="s">
        <v>12574</v>
      </c>
      <c r="C717" s="292" t="s">
        <v>12599</v>
      </c>
      <c r="D717" s="293" t="s">
        <v>12600</v>
      </c>
    </row>
    <row r="718" spans="1:4" ht="14.1" customHeight="1" x14ac:dyDescent="0.25">
      <c r="A718" s="292" t="s">
        <v>12573</v>
      </c>
      <c r="B718" s="293" t="s">
        <v>12574</v>
      </c>
      <c r="C718" s="292" t="s">
        <v>12601</v>
      </c>
      <c r="D718" s="293" t="s">
        <v>12602</v>
      </c>
    </row>
    <row r="719" spans="1:4" ht="14.1" customHeight="1" x14ac:dyDescent="0.25">
      <c r="A719" s="115" t="s">
        <v>12573</v>
      </c>
      <c r="B719" s="293" t="s">
        <v>12574</v>
      </c>
      <c r="C719" s="292" t="s">
        <v>12603</v>
      </c>
      <c r="D719" s="293" t="s">
        <v>12604</v>
      </c>
    </row>
    <row r="720" spans="1:4" ht="14.1" customHeight="1" x14ac:dyDescent="0.25">
      <c r="A720" s="292" t="s">
        <v>12573</v>
      </c>
      <c r="B720" s="293" t="s">
        <v>12574</v>
      </c>
      <c r="C720" s="292" t="s">
        <v>12605</v>
      </c>
      <c r="D720" s="293" t="s">
        <v>12606</v>
      </c>
    </row>
    <row r="721" spans="1:7" ht="14.1" customHeight="1" x14ac:dyDescent="0.25">
      <c r="A721" s="292" t="s">
        <v>12573</v>
      </c>
      <c r="B721" s="293" t="s">
        <v>12574</v>
      </c>
      <c r="C721" s="292" t="s">
        <v>12607</v>
      </c>
      <c r="D721" s="293" t="s">
        <v>11217</v>
      </c>
    </row>
    <row r="722" spans="1:7" ht="14.1" customHeight="1" x14ac:dyDescent="0.25">
      <c r="A722" s="292" t="s">
        <v>12573</v>
      </c>
      <c r="B722" s="293" t="s">
        <v>12574</v>
      </c>
      <c r="C722" s="292" t="s">
        <v>12608</v>
      </c>
      <c r="D722" s="293" t="s">
        <v>12609</v>
      </c>
    </row>
    <row r="723" spans="1:7" ht="14.1" customHeight="1" x14ac:dyDescent="0.25">
      <c r="A723" s="292" t="s">
        <v>12573</v>
      </c>
      <c r="B723" s="293" t="s">
        <v>12574</v>
      </c>
      <c r="C723" s="292" t="s">
        <v>12610</v>
      </c>
      <c r="D723" s="293" t="s">
        <v>12611</v>
      </c>
      <c r="G723" s="292" t="s">
        <v>45</v>
      </c>
    </row>
    <row r="724" spans="1:7" ht="14.1" customHeight="1" x14ac:dyDescent="0.25">
      <c r="A724" s="292" t="s">
        <v>12573</v>
      </c>
      <c r="B724" s="293" t="s">
        <v>12574</v>
      </c>
      <c r="C724" s="292" t="s">
        <v>12612</v>
      </c>
      <c r="D724" s="293" t="s">
        <v>11225</v>
      </c>
    </row>
    <row r="725" spans="1:7" ht="14.1" customHeight="1" x14ac:dyDescent="0.25">
      <c r="A725" s="292" t="s">
        <v>12573</v>
      </c>
      <c r="B725" s="293" t="s">
        <v>12574</v>
      </c>
      <c r="C725" s="292" t="s">
        <v>12613</v>
      </c>
      <c r="D725" s="293" t="s">
        <v>12614</v>
      </c>
    </row>
    <row r="726" spans="1:7" ht="14.1" customHeight="1" x14ac:dyDescent="0.25">
      <c r="A726" s="292" t="s">
        <v>12573</v>
      </c>
      <c r="B726" s="293" t="s">
        <v>12574</v>
      </c>
      <c r="C726" s="292" t="s">
        <v>12615</v>
      </c>
      <c r="D726" s="293" t="s">
        <v>12616</v>
      </c>
    </row>
    <row r="727" spans="1:7" ht="14.1" customHeight="1" x14ac:dyDescent="0.25">
      <c r="A727" s="292" t="s">
        <v>12573</v>
      </c>
      <c r="B727" s="293" t="s">
        <v>12574</v>
      </c>
      <c r="C727" s="292" t="s">
        <v>12617</v>
      </c>
      <c r="D727" s="293" t="s">
        <v>12618</v>
      </c>
    </row>
    <row r="728" spans="1:7" ht="14.1" customHeight="1" x14ac:dyDescent="0.25">
      <c r="A728" s="292" t="s">
        <v>12573</v>
      </c>
      <c r="B728" s="293" t="s">
        <v>12574</v>
      </c>
      <c r="C728" s="292" t="s">
        <v>12619</v>
      </c>
      <c r="D728" s="293" t="s">
        <v>13361</v>
      </c>
    </row>
    <row r="729" spans="1:7" ht="14.1" customHeight="1" x14ac:dyDescent="0.25">
      <c r="A729" s="335" t="s">
        <v>12573</v>
      </c>
      <c r="B729" s="293" t="s">
        <v>12574</v>
      </c>
      <c r="C729" s="333" t="s">
        <v>13520</v>
      </c>
      <c r="D729" s="334" t="s">
        <v>13521</v>
      </c>
    </row>
    <row r="730" spans="1:7" ht="14.1" customHeight="1" x14ac:dyDescent="0.25">
      <c r="A730" s="292" t="s">
        <v>12573</v>
      </c>
      <c r="B730" s="293" t="s">
        <v>12574</v>
      </c>
      <c r="C730" s="292" t="s">
        <v>12620</v>
      </c>
      <c r="D730" s="293" t="s">
        <v>12621</v>
      </c>
    </row>
    <row r="731" spans="1:7" ht="14.1" customHeight="1" x14ac:dyDescent="0.25">
      <c r="A731" s="292" t="s">
        <v>12622</v>
      </c>
      <c r="B731" s="293" t="s">
        <v>12623</v>
      </c>
      <c r="C731" s="292" t="s">
        <v>12624</v>
      </c>
      <c r="D731" s="293" t="s">
        <v>12625</v>
      </c>
    </row>
    <row r="732" spans="1:7" ht="14.1" customHeight="1" x14ac:dyDescent="0.25">
      <c r="A732" s="292" t="s">
        <v>12622</v>
      </c>
      <c r="B732" s="293" t="s">
        <v>12623</v>
      </c>
      <c r="C732" s="292" t="s">
        <v>12626</v>
      </c>
      <c r="D732" s="293" t="s">
        <v>12627</v>
      </c>
    </row>
    <row r="733" spans="1:7" ht="14.1" customHeight="1" x14ac:dyDescent="0.25">
      <c r="A733" s="292" t="s">
        <v>12622</v>
      </c>
      <c r="B733" s="293" t="s">
        <v>12623</v>
      </c>
      <c r="C733" s="292" t="s">
        <v>12628</v>
      </c>
      <c r="D733" s="293" t="s">
        <v>12629</v>
      </c>
    </row>
    <row r="734" spans="1:7" ht="14.1" customHeight="1" x14ac:dyDescent="0.25">
      <c r="A734" s="292" t="s">
        <v>12622</v>
      </c>
      <c r="B734" s="293" t="s">
        <v>12623</v>
      </c>
      <c r="C734" s="292" t="s">
        <v>12630</v>
      </c>
      <c r="D734" s="293" t="s">
        <v>12631</v>
      </c>
    </row>
    <row r="735" spans="1:7" ht="14.1" customHeight="1" x14ac:dyDescent="0.25">
      <c r="A735" s="292" t="s">
        <v>12622</v>
      </c>
      <c r="B735" s="293" t="s">
        <v>12623</v>
      </c>
      <c r="C735" s="292" t="s">
        <v>12632</v>
      </c>
      <c r="D735" s="293" t="s">
        <v>12633</v>
      </c>
    </row>
    <row r="736" spans="1:7" ht="14.1" customHeight="1" x14ac:dyDescent="0.25">
      <c r="A736" s="292" t="s">
        <v>12634</v>
      </c>
      <c r="B736" s="293" t="s">
        <v>12635</v>
      </c>
      <c r="C736" s="292" t="s">
        <v>12636</v>
      </c>
      <c r="D736" s="293" t="s">
        <v>12637</v>
      </c>
    </row>
    <row r="737" spans="1:4" ht="14.1" customHeight="1" x14ac:dyDescent="0.25">
      <c r="A737" s="292" t="s">
        <v>12638</v>
      </c>
      <c r="B737" s="293" t="s">
        <v>12639</v>
      </c>
      <c r="C737" s="292" t="s">
        <v>12640</v>
      </c>
      <c r="D737" s="293" t="s">
        <v>12641</v>
      </c>
    </row>
    <row r="738" spans="1:4" ht="14.1" customHeight="1" x14ac:dyDescent="0.25">
      <c r="A738" s="292" t="s">
        <v>12638</v>
      </c>
      <c r="B738" s="293" t="s">
        <v>12639</v>
      </c>
      <c r="C738" s="292" t="s">
        <v>12642</v>
      </c>
      <c r="D738" s="293" t="s">
        <v>12643</v>
      </c>
    </row>
    <row r="739" spans="1:4" ht="14.1" customHeight="1" x14ac:dyDescent="0.25">
      <c r="A739" s="292" t="s">
        <v>12638</v>
      </c>
      <c r="B739" s="293" t="s">
        <v>12639</v>
      </c>
      <c r="C739" s="292" t="s">
        <v>12644</v>
      </c>
      <c r="D739" s="293" t="s">
        <v>12645</v>
      </c>
    </row>
    <row r="740" spans="1:4" ht="14.1" customHeight="1" x14ac:dyDescent="0.25">
      <c r="A740" s="292" t="s">
        <v>12638</v>
      </c>
      <c r="B740" s="293" t="s">
        <v>12639</v>
      </c>
      <c r="C740" s="292" t="s">
        <v>12646</v>
      </c>
      <c r="D740" s="293" t="s">
        <v>12647</v>
      </c>
    </row>
    <row r="741" spans="1:4" ht="14.1" customHeight="1" x14ac:dyDescent="0.25">
      <c r="A741" s="335" t="s">
        <v>13532</v>
      </c>
      <c r="B741" s="334" t="s">
        <v>13535</v>
      </c>
      <c r="C741" s="333" t="s">
        <v>13534</v>
      </c>
      <c r="D741" s="334" t="s">
        <v>13533</v>
      </c>
    </row>
    <row r="742" spans="1:4" ht="14.1" customHeight="1" x14ac:dyDescent="0.25">
      <c r="A742" s="292" t="s">
        <v>12648</v>
      </c>
      <c r="B742" s="293" t="s">
        <v>12649</v>
      </c>
      <c r="C742" s="292" t="s">
        <v>12650</v>
      </c>
      <c r="D742" s="293" t="s">
        <v>12651</v>
      </c>
    </row>
    <row r="743" spans="1:4" ht="14.1" customHeight="1" x14ac:dyDescent="0.25">
      <c r="A743" s="292" t="s">
        <v>12652</v>
      </c>
      <c r="B743" s="293" t="s">
        <v>12653</v>
      </c>
      <c r="C743" s="292" t="s">
        <v>12654</v>
      </c>
      <c r="D743" s="293" t="s">
        <v>12655</v>
      </c>
    </row>
    <row r="744" spans="1:4" ht="14.1" customHeight="1" x14ac:dyDescent="0.25">
      <c r="A744" s="292" t="s">
        <v>12656</v>
      </c>
      <c r="B744" s="293" t="s">
        <v>12657</v>
      </c>
      <c r="C744" s="292" t="s">
        <v>12658</v>
      </c>
      <c r="D744" s="293" t="s">
        <v>12659</v>
      </c>
    </row>
    <row r="745" spans="1:4" ht="14.1" customHeight="1" x14ac:dyDescent="0.25">
      <c r="A745" s="292" t="s">
        <v>12660</v>
      </c>
      <c r="B745" s="293" t="s">
        <v>12661</v>
      </c>
      <c r="C745" s="292" t="s">
        <v>12662</v>
      </c>
      <c r="D745" s="293" t="s">
        <v>12663</v>
      </c>
    </row>
    <row r="746" spans="1:4" ht="14.1" customHeight="1" x14ac:dyDescent="0.25">
      <c r="A746" s="292" t="s">
        <v>12660</v>
      </c>
      <c r="B746" s="293" t="s">
        <v>12661</v>
      </c>
      <c r="C746" s="292" t="s">
        <v>12664</v>
      </c>
      <c r="D746" s="293" t="s">
        <v>11799</v>
      </c>
    </row>
    <row r="747" spans="1:4" ht="14.1" customHeight="1" x14ac:dyDescent="0.25">
      <c r="A747" s="292" t="s">
        <v>12660</v>
      </c>
      <c r="B747" s="293" t="s">
        <v>12661</v>
      </c>
      <c r="C747" s="292" t="s">
        <v>12665</v>
      </c>
      <c r="D747" s="293" t="s">
        <v>12666</v>
      </c>
    </row>
    <row r="748" spans="1:4" ht="14.1" customHeight="1" x14ac:dyDescent="0.25">
      <c r="A748" s="292" t="s">
        <v>12660</v>
      </c>
      <c r="B748" s="293" t="s">
        <v>12661</v>
      </c>
      <c r="C748" s="292" t="s">
        <v>12667</v>
      </c>
      <c r="D748" s="293" t="s">
        <v>12668</v>
      </c>
    </row>
    <row r="749" spans="1:4" ht="14.1" customHeight="1" x14ac:dyDescent="0.25">
      <c r="A749" s="292" t="s">
        <v>12669</v>
      </c>
      <c r="B749" s="293" t="s">
        <v>12670</v>
      </c>
      <c r="C749" s="292" t="s">
        <v>12671</v>
      </c>
      <c r="D749" s="293" t="s">
        <v>12672</v>
      </c>
    </row>
    <row r="750" spans="1:4" ht="14.1" customHeight="1" x14ac:dyDescent="0.25">
      <c r="A750" s="292" t="s">
        <v>12669</v>
      </c>
      <c r="B750" s="293" t="s">
        <v>12670</v>
      </c>
      <c r="C750" s="292" t="s">
        <v>12673</v>
      </c>
      <c r="D750" s="293" t="s">
        <v>12674</v>
      </c>
    </row>
    <row r="751" spans="1:4" ht="14.1" customHeight="1" x14ac:dyDescent="0.25">
      <c r="A751" s="292" t="s">
        <v>12669</v>
      </c>
      <c r="B751" s="293" t="s">
        <v>12670</v>
      </c>
      <c r="C751" s="292" t="s">
        <v>12675</v>
      </c>
      <c r="D751" s="293" t="s">
        <v>12676</v>
      </c>
    </row>
    <row r="752" spans="1:4" ht="14.1" customHeight="1" x14ac:dyDescent="0.25">
      <c r="A752" s="292" t="s">
        <v>12669</v>
      </c>
      <c r="B752" s="293" t="s">
        <v>12670</v>
      </c>
      <c r="C752" s="292" t="s">
        <v>12677</v>
      </c>
      <c r="D752" s="293" t="s">
        <v>12678</v>
      </c>
    </row>
    <row r="753" spans="1:4" ht="14.1" customHeight="1" x14ac:dyDescent="0.25">
      <c r="A753" s="292" t="s">
        <v>12669</v>
      </c>
      <c r="B753" s="293" t="s">
        <v>12670</v>
      </c>
      <c r="C753" s="292" t="s">
        <v>12679</v>
      </c>
      <c r="D753" s="293" t="s">
        <v>12680</v>
      </c>
    </row>
    <row r="754" spans="1:4" ht="14.1" customHeight="1" x14ac:dyDescent="0.25">
      <c r="A754" s="292" t="s">
        <v>12681</v>
      </c>
      <c r="B754" s="293" t="s">
        <v>12682</v>
      </c>
      <c r="C754" s="292" t="s">
        <v>12683</v>
      </c>
      <c r="D754" s="293" t="s">
        <v>12684</v>
      </c>
    </row>
    <row r="755" spans="1:4" ht="14.1" customHeight="1" x14ac:dyDescent="0.25">
      <c r="A755" s="292" t="s">
        <v>12681</v>
      </c>
      <c r="B755" s="293" t="s">
        <v>12682</v>
      </c>
      <c r="C755" s="292" t="s">
        <v>12685</v>
      </c>
      <c r="D755" s="293" t="s">
        <v>12686</v>
      </c>
    </row>
    <row r="756" spans="1:4" ht="14.1" customHeight="1" x14ac:dyDescent="0.25">
      <c r="A756" s="292" t="s">
        <v>12681</v>
      </c>
      <c r="B756" s="293" t="s">
        <v>12682</v>
      </c>
      <c r="C756" s="292" t="s">
        <v>12687</v>
      </c>
      <c r="D756" s="293" t="s">
        <v>12688</v>
      </c>
    </row>
    <row r="757" spans="1:4" ht="14.1" customHeight="1" x14ac:dyDescent="0.25">
      <c r="A757" s="292" t="s">
        <v>12681</v>
      </c>
      <c r="B757" s="293" t="s">
        <v>12682</v>
      </c>
      <c r="C757" s="292" t="s">
        <v>12689</v>
      </c>
      <c r="D757" s="293" t="s">
        <v>12690</v>
      </c>
    </row>
    <row r="758" spans="1:4" ht="14.1" customHeight="1" x14ac:dyDescent="0.25">
      <c r="A758" s="292" t="s">
        <v>12681</v>
      </c>
      <c r="B758" s="293" t="s">
        <v>12682</v>
      </c>
      <c r="C758" s="292" t="s">
        <v>12691</v>
      </c>
      <c r="D758" s="293" t="s">
        <v>12692</v>
      </c>
    </row>
    <row r="759" spans="1:4" ht="14.1" customHeight="1" x14ac:dyDescent="0.25">
      <c r="A759" s="292" t="s">
        <v>12681</v>
      </c>
      <c r="B759" s="293" t="s">
        <v>12682</v>
      </c>
      <c r="C759" s="292" t="s">
        <v>12693</v>
      </c>
      <c r="D759" s="293" t="s">
        <v>12694</v>
      </c>
    </row>
    <row r="760" spans="1:4" ht="14.1" customHeight="1" x14ac:dyDescent="0.25">
      <c r="A760" s="292" t="s">
        <v>12681</v>
      </c>
      <c r="B760" s="293" t="s">
        <v>12682</v>
      </c>
      <c r="C760" s="292" t="s">
        <v>12695</v>
      </c>
      <c r="D760" s="293" t="s">
        <v>12696</v>
      </c>
    </row>
    <row r="761" spans="1:4" ht="14.1" customHeight="1" x14ac:dyDescent="0.25">
      <c r="A761" s="292" t="s">
        <v>12681</v>
      </c>
      <c r="B761" s="293" t="s">
        <v>12682</v>
      </c>
      <c r="C761" s="292" t="s">
        <v>12697</v>
      </c>
      <c r="D761" s="293" t="s">
        <v>12698</v>
      </c>
    </row>
    <row r="762" spans="1:4" ht="14.1" customHeight="1" x14ac:dyDescent="0.25">
      <c r="A762" s="292" t="s">
        <v>12681</v>
      </c>
      <c r="B762" s="293" t="s">
        <v>12682</v>
      </c>
      <c r="C762" s="292" t="s">
        <v>12699</v>
      </c>
      <c r="D762" s="293" t="s">
        <v>11233</v>
      </c>
    </row>
    <row r="763" spans="1:4" ht="14.1" customHeight="1" x14ac:dyDescent="0.25">
      <c r="A763" s="292" t="s">
        <v>12700</v>
      </c>
      <c r="B763" s="293" t="s">
        <v>12701</v>
      </c>
      <c r="C763" s="292" t="s">
        <v>12702</v>
      </c>
      <c r="D763" s="293" t="s">
        <v>12703</v>
      </c>
    </row>
    <row r="764" spans="1:4" ht="14.1" customHeight="1" x14ac:dyDescent="0.25">
      <c r="A764" s="292" t="s">
        <v>12704</v>
      </c>
      <c r="B764" s="293" t="s">
        <v>12705</v>
      </c>
      <c r="C764" s="292" t="s">
        <v>12706</v>
      </c>
      <c r="D764" s="293" t="s">
        <v>12707</v>
      </c>
    </row>
    <row r="765" spans="1:4" ht="14.1" customHeight="1" x14ac:dyDescent="0.25">
      <c r="A765" s="292" t="s">
        <v>12704</v>
      </c>
      <c r="B765" s="293" t="s">
        <v>12705</v>
      </c>
      <c r="C765" s="292" t="s">
        <v>12708</v>
      </c>
      <c r="D765" s="293" t="s">
        <v>11799</v>
      </c>
    </row>
    <row r="766" spans="1:4" ht="14.1" customHeight="1" x14ac:dyDescent="0.25">
      <c r="A766" s="292" t="s">
        <v>12704</v>
      </c>
      <c r="B766" s="293" t="s">
        <v>12705</v>
      </c>
      <c r="C766" s="292" t="s">
        <v>12709</v>
      </c>
      <c r="D766" s="293" t="s">
        <v>12710</v>
      </c>
    </row>
    <row r="767" spans="1:4" ht="14.1" customHeight="1" x14ac:dyDescent="0.25">
      <c r="A767" s="292" t="s">
        <v>12704</v>
      </c>
      <c r="B767" s="293" t="s">
        <v>12705</v>
      </c>
      <c r="C767" s="292" t="s">
        <v>12711</v>
      </c>
      <c r="D767" s="293" t="s">
        <v>12712</v>
      </c>
    </row>
    <row r="768" spans="1:4" ht="14.1" customHeight="1" x14ac:dyDescent="0.25">
      <c r="A768" s="292" t="s">
        <v>12704</v>
      </c>
      <c r="B768" s="293" t="s">
        <v>12705</v>
      </c>
      <c r="C768" s="292" t="s">
        <v>12713</v>
      </c>
      <c r="D768" s="293" t="s">
        <v>12714</v>
      </c>
    </row>
    <row r="769" spans="1:4" ht="14.1" customHeight="1" x14ac:dyDescent="0.25">
      <c r="A769" s="292" t="s">
        <v>12715</v>
      </c>
      <c r="B769" s="293" t="s">
        <v>12716</v>
      </c>
      <c r="C769" s="292" t="s">
        <v>12717</v>
      </c>
      <c r="D769" s="293" t="s">
        <v>12718</v>
      </c>
    </row>
    <row r="770" spans="1:4" ht="14.1" customHeight="1" x14ac:dyDescent="0.25">
      <c r="A770" s="292" t="s">
        <v>12719</v>
      </c>
      <c r="B770" s="293" t="s">
        <v>13519</v>
      </c>
      <c r="C770" s="292" t="s">
        <v>12721</v>
      </c>
      <c r="D770" s="293" t="s">
        <v>12720</v>
      </c>
    </row>
    <row r="771" spans="1:4" ht="14.1" customHeight="1" x14ac:dyDescent="0.25">
      <c r="A771" s="292" t="s">
        <v>12722</v>
      </c>
      <c r="B771" s="293" t="s">
        <v>12723</v>
      </c>
      <c r="C771" s="292" t="s">
        <v>12724</v>
      </c>
      <c r="D771" s="293" t="s">
        <v>12725</v>
      </c>
    </row>
    <row r="772" spans="1:4" ht="14.1" customHeight="1" x14ac:dyDescent="0.25">
      <c r="A772" s="292" t="s">
        <v>12722</v>
      </c>
      <c r="B772" s="293" t="s">
        <v>12723</v>
      </c>
      <c r="C772" s="292" t="s">
        <v>10583</v>
      </c>
      <c r="D772" s="293" t="s">
        <v>12726</v>
      </c>
    </row>
    <row r="773" spans="1:4" ht="14.1" customHeight="1" x14ac:dyDescent="0.25">
      <c r="A773" s="292" t="s">
        <v>12722</v>
      </c>
      <c r="B773" s="293" t="s">
        <v>12723</v>
      </c>
      <c r="C773" s="292" t="s">
        <v>12727</v>
      </c>
      <c r="D773" s="293" t="s">
        <v>12728</v>
      </c>
    </row>
    <row r="774" spans="1:4" ht="14.1" customHeight="1" x14ac:dyDescent="0.25">
      <c r="A774" s="292" t="s">
        <v>12722</v>
      </c>
      <c r="B774" s="293" t="s">
        <v>12723</v>
      </c>
      <c r="C774" s="292" t="s">
        <v>12729</v>
      </c>
      <c r="D774" s="293" t="s">
        <v>12730</v>
      </c>
    </row>
    <row r="775" spans="1:4" ht="14.1" customHeight="1" x14ac:dyDescent="0.25">
      <c r="A775" s="292" t="s">
        <v>12722</v>
      </c>
      <c r="B775" s="293" t="s">
        <v>12723</v>
      </c>
      <c r="C775" s="292" t="s">
        <v>12731</v>
      </c>
      <c r="D775" s="293" t="s">
        <v>12732</v>
      </c>
    </row>
    <row r="776" spans="1:4" ht="14.1" customHeight="1" x14ac:dyDescent="0.25">
      <c r="A776" s="292" t="s">
        <v>12722</v>
      </c>
      <c r="B776" s="293" t="s">
        <v>12723</v>
      </c>
      <c r="C776" s="292" t="s">
        <v>12733</v>
      </c>
      <c r="D776" s="293" t="s">
        <v>12734</v>
      </c>
    </row>
    <row r="777" spans="1:4" ht="14.1" customHeight="1" x14ac:dyDescent="0.25">
      <c r="A777" s="292" t="s">
        <v>12722</v>
      </c>
      <c r="B777" s="293" t="s">
        <v>12723</v>
      </c>
      <c r="C777" s="292" t="s">
        <v>12735</v>
      </c>
      <c r="D777" s="293" t="s">
        <v>12736</v>
      </c>
    </row>
    <row r="778" spans="1:4" ht="14.1" customHeight="1" x14ac:dyDescent="0.25">
      <c r="A778" s="292" t="s">
        <v>12737</v>
      </c>
      <c r="B778" s="293" t="s">
        <v>12738</v>
      </c>
      <c r="C778" s="292" t="s">
        <v>12739</v>
      </c>
      <c r="D778" s="293" t="s">
        <v>12740</v>
      </c>
    </row>
    <row r="779" spans="1:4" ht="14.1" customHeight="1" x14ac:dyDescent="0.25">
      <c r="A779" s="292" t="s">
        <v>12741</v>
      </c>
      <c r="B779" s="293" t="s">
        <v>12742</v>
      </c>
      <c r="C779" s="292" t="s">
        <v>12743</v>
      </c>
      <c r="D779" s="293" t="s">
        <v>12744</v>
      </c>
    </row>
    <row r="780" spans="1:4" ht="14.1" customHeight="1" x14ac:dyDescent="0.25">
      <c r="A780" s="292" t="s">
        <v>12745</v>
      </c>
      <c r="B780" s="293" t="s">
        <v>12746</v>
      </c>
      <c r="C780" s="292" t="s">
        <v>12747</v>
      </c>
      <c r="D780" s="293" t="s">
        <v>12748</v>
      </c>
    </row>
    <row r="781" spans="1:4" ht="14.1" customHeight="1" x14ac:dyDescent="0.25">
      <c r="A781" s="292" t="s">
        <v>12749</v>
      </c>
      <c r="B781" s="293" t="s">
        <v>12750</v>
      </c>
      <c r="C781" s="292" t="s">
        <v>12751</v>
      </c>
      <c r="D781" s="293" t="s">
        <v>12752</v>
      </c>
    </row>
    <row r="782" spans="1:4" ht="14.1" customHeight="1" x14ac:dyDescent="0.25">
      <c r="A782" s="292" t="s">
        <v>12753</v>
      </c>
      <c r="B782" s="293" t="s">
        <v>12754</v>
      </c>
      <c r="C782" s="292" t="s">
        <v>12755</v>
      </c>
      <c r="D782" s="293" t="s">
        <v>12756</v>
      </c>
    </row>
    <row r="783" spans="1:4" ht="14.1" customHeight="1" x14ac:dyDescent="0.25">
      <c r="A783" s="292" t="s">
        <v>12753</v>
      </c>
      <c r="B783" s="293" t="s">
        <v>12754</v>
      </c>
      <c r="C783" s="292" t="s">
        <v>12757</v>
      </c>
      <c r="D783" s="293" t="s">
        <v>12758</v>
      </c>
    </row>
    <row r="784" spans="1:4" ht="14.1" customHeight="1" x14ac:dyDescent="0.25">
      <c r="A784" s="292" t="s">
        <v>12753</v>
      </c>
      <c r="B784" s="293" t="s">
        <v>12754</v>
      </c>
      <c r="C784" s="292" t="s">
        <v>12759</v>
      </c>
      <c r="D784" s="293" t="s">
        <v>12760</v>
      </c>
    </row>
    <row r="785" spans="1:4" ht="14.1" customHeight="1" x14ac:dyDescent="0.25">
      <c r="A785" s="292" t="s">
        <v>12753</v>
      </c>
      <c r="B785" s="293" t="s">
        <v>12754</v>
      </c>
      <c r="C785" s="292" t="s">
        <v>12761</v>
      </c>
      <c r="D785" s="293" t="s">
        <v>12762</v>
      </c>
    </row>
    <row r="786" spans="1:4" ht="14.1" customHeight="1" x14ac:dyDescent="0.25">
      <c r="A786" s="292" t="s">
        <v>12763</v>
      </c>
      <c r="B786" s="293" t="s">
        <v>12764</v>
      </c>
      <c r="C786" s="292" t="s">
        <v>12765</v>
      </c>
      <c r="D786" s="293" t="s">
        <v>12766</v>
      </c>
    </row>
    <row r="787" spans="1:4" ht="14.1" customHeight="1" x14ac:dyDescent="0.25">
      <c r="A787" s="292" t="s">
        <v>12763</v>
      </c>
      <c r="B787" s="293" t="s">
        <v>12764</v>
      </c>
      <c r="C787" s="292" t="s">
        <v>12767</v>
      </c>
      <c r="D787" s="293" t="s">
        <v>12768</v>
      </c>
    </row>
    <row r="788" spans="1:4" ht="14.1" customHeight="1" x14ac:dyDescent="0.25">
      <c r="A788" s="292" t="s">
        <v>12763</v>
      </c>
      <c r="B788" s="293" t="s">
        <v>12764</v>
      </c>
      <c r="C788" s="292" t="s">
        <v>12769</v>
      </c>
      <c r="D788" s="293" t="s">
        <v>12770</v>
      </c>
    </row>
    <row r="789" spans="1:4" ht="14.1" customHeight="1" x14ac:dyDescent="0.25">
      <c r="A789" s="292" t="s">
        <v>12763</v>
      </c>
      <c r="B789" s="293" t="s">
        <v>12764</v>
      </c>
      <c r="C789" s="292" t="s">
        <v>12771</v>
      </c>
      <c r="D789" s="293" t="s">
        <v>12772</v>
      </c>
    </row>
    <row r="790" spans="1:4" ht="14.1" customHeight="1" x14ac:dyDescent="0.25">
      <c r="A790" s="292" t="s">
        <v>7760</v>
      </c>
      <c r="B790" s="293" t="s">
        <v>12773</v>
      </c>
      <c r="C790" s="292" t="s">
        <v>10454</v>
      </c>
      <c r="D790" s="293" t="s">
        <v>12774</v>
      </c>
    </row>
    <row r="791" spans="1:4" ht="14.1" customHeight="1" x14ac:dyDescent="0.25">
      <c r="A791" s="292" t="s">
        <v>7760</v>
      </c>
      <c r="B791" s="293" t="s">
        <v>12773</v>
      </c>
      <c r="C791" s="292" t="s">
        <v>12775</v>
      </c>
      <c r="D791" s="293" t="s">
        <v>12776</v>
      </c>
    </row>
    <row r="792" spans="1:4" ht="14.1" customHeight="1" x14ac:dyDescent="0.25">
      <c r="A792" s="292" t="s">
        <v>7760</v>
      </c>
      <c r="B792" s="293" t="s">
        <v>12773</v>
      </c>
      <c r="C792" s="292" t="s">
        <v>12777</v>
      </c>
      <c r="D792" s="293" t="s">
        <v>12778</v>
      </c>
    </row>
    <row r="793" spans="1:4" ht="14.1" customHeight="1" x14ac:dyDescent="0.25">
      <c r="A793" s="292" t="s">
        <v>7760</v>
      </c>
      <c r="B793" s="293" t="s">
        <v>12773</v>
      </c>
      <c r="C793" s="292" t="s">
        <v>12779</v>
      </c>
      <c r="D793" s="293" t="s">
        <v>12780</v>
      </c>
    </row>
    <row r="794" spans="1:4" ht="14.1" customHeight="1" x14ac:dyDescent="0.25">
      <c r="A794" s="292" t="s">
        <v>7760</v>
      </c>
      <c r="B794" s="293" t="s">
        <v>12773</v>
      </c>
      <c r="C794" s="292" t="s">
        <v>12781</v>
      </c>
      <c r="D794" s="293" t="s">
        <v>12782</v>
      </c>
    </row>
    <row r="795" spans="1:4" ht="14.1" customHeight="1" x14ac:dyDescent="0.25">
      <c r="A795" s="292" t="s">
        <v>7760</v>
      </c>
      <c r="B795" s="293" t="s">
        <v>12773</v>
      </c>
      <c r="C795" s="292" t="s">
        <v>12783</v>
      </c>
      <c r="D795" s="293" t="s">
        <v>12784</v>
      </c>
    </row>
    <row r="796" spans="1:4" ht="14.1" customHeight="1" x14ac:dyDescent="0.25">
      <c r="A796" s="292" t="s">
        <v>7760</v>
      </c>
      <c r="B796" s="293" t="s">
        <v>12773</v>
      </c>
      <c r="C796" s="292" t="s">
        <v>12785</v>
      </c>
      <c r="D796" s="293" t="s">
        <v>12786</v>
      </c>
    </row>
    <row r="797" spans="1:4" ht="14.1" customHeight="1" x14ac:dyDescent="0.25">
      <c r="A797" s="292" t="s">
        <v>7760</v>
      </c>
      <c r="B797" s="293" t="s">
        <v>12773</v>
      </c>
      <c r="C797" s="292" t="s">
        <v>12787</v>
      </c>
      <c r="D797" s="293" t="s">
        <v>12788</v>
      </c>
    </row>
    <row r="798" spans="1:4" ht="14.1" customHeight="1" x14ac:dyDescent="0.25">
      <c r="A798" s="292" t="s">
        <v>7760</v>
      </c>
      <c r="B798" s="293" t="s">
        <v>12773</v>
      </c>
      <c r="C798" s="292" t="s">
        <v>12789</v>
      </c>
      <c r="D798" s="293" t="s">
        <v>12790</v>
      </c>
    </row>
    <row r="799" spans="1:4" ht="14.1" customHeight="1" x14ac:dyDescent="0.25">
      <c r="A799" s="292" t="s">
        <v>7760</v>
      </c>
      <c r="B799" s="293" t="s">
        <v>12773</v>
      </c>
      <c r="C799" s="292" t="s">
        <v>12791</v>
      </c>
      <c r="D799" s="293" t="s">
        <v>13351</v>
      </c>
    </row>
    <row r="800" spans="1:4" ht="14.1" customHeight="1" x14ac:dyDescent="0.25">
      <c r="A800" s="292" t="s">
        <v>7760</v>
      </c>
      <c r="B800" s="293" t="s">
        <v>12773</v>
      </c>
      <c r="C800" s="292" t="s">
        <v>12792</v>
      </c>
      <c r="D800" s="293" t="s">
        <v>12793</v>
      </c>
    </row>
    <row r="801" spans="1:4" ht="14.1" customHeight="1" x14ac:dyDescent="0.25">
      <c r="A801" s="292" t="s">
        <v>7760</v>
      </c>
      <c r="B801" s="293" t="s">
        <v>12773</v>
      </c>
      <c r="C801" s="292" t="s">
        <v>12794</v>
      </c>
      <c r="D801" s="293" t="s">
        <v>12795</v>
      </c>
    </row>
    <row r="802" spans="1:4" ht="14.1" customHeight="1" x14ac:dyDescent="0.25">
      <c r="A802" s="292" t="s">
        <v>7760</v>
      </c>
      <c r="B802" s="293" t="s">
        <v>12773</v>
      </c>
      <c r="C802" s="292" t="s">
        <v>12796</v>
      </c>
      <c r="D802" s="293" t="s">
        <v>12797</v>
      </c>
    </row>
    <row r="803" spans="1:4" ht="14.1" customHeight="1" x14ac:dyDescent="0.25">
      <c r="A803" s="292" t="s">
        <v>7760</v>
      </c>
      <c r="B803" s="293" t="s">
        <v>12773</v>
      </c>
      <c r="C803" s="292" t="s">
        <v>12798</v>
      </c>
      <c r="D803" s="293" t="s">
        <v>12799</v>
      </c>
    </row>
    <row r="804" spans="1:4" ht="14.1" customHeight="1" x14ac:dyDescent="0.25">
      <c r="A804" s="292" t="s">
        <v>7760</v>
      </c>
      <c r="B804" s="293" t="s">
        <v>12773</v>
      </c>
      <c r="C804" s="292" t="s">
        <v>12800</v>
      </c>
      <c r="D804" s="293" t="s">
        <v>12801</v>
      </c>
    </row>
    <row r="805" spans="1:4" ht="14.1" customHeight="1" x14ac:dyDescent="0.25">
      <c r="A805" s="292" t="s">
        <v>7760</v>
      </c>
      <c r="B805" s="293" t="s">
        <v>12773</v>
      </c>
      <c r="C805" s="292" t="s">
        <v>12802</v>
      </c>
      <c r="D805" s="293" t="s">
        <v>11193</v>
      </c>
    </row>
    <row r="806" spans="1:4" ht="14.1" customHeight="1" x14ac:dyDescent="0.25">
      <c r="A806" s="292" t="s">
        <v>7760</v>
      </c>
      <c r="B806" s="293" t="s">
        <v>12773</v>
      </c>
      <c r="C806" s="292" t="s">
        <v>12803</v>
      </c>
      <c r="D806" s="293" t="s">
        <v>12804</v>
      </c>
    </row>
    <row r="807" spans="1:4" ht="14.1" customHeight="1" x14ac:dyDescent="0.25">
      <c r="A807" s="292" t="s">
        <v>7760</v>
      </c>
      <c r="B807" s="293" t="s">
        <v>12773</v>
      </c>
      <c r="C807" s="292" t="s">
        <v>12805</v>
      </c>
      <c r="D807" s="293" t="s">
        <v>12806</v>
      </c>
    </row>
    <row r="808" spans="1:4" ht="14.1" customHeight="1" x14ac:dyDescent="0.25">
      <c r="A808" s="292" t="s">
        <v>7760</v>
      </c>
      <c r="B808" s="293" t="s">
        <v>12773</v>
      </c>
      <c r="C808" s="292" t="s">
        <v>12807</v>
      </c>
      <c r="D808" s="293" t="s">
        <v>13341</v>
      </c>
    </row>
    <row r="809" spans="1:4" ht="14.1" customHeight="1" x14ac:dyDescent="0.25">
      <c r="A809" s="292" t="s">
        <v>7760</v>
      </c>
      <c r="B809" s="293" t="s">
        <v>12773</v>
      </c>
      <c r="C809" s="292" t="s">
        <v>12808</v>
      </c>
      <c r="D809" s="293" t="s">
        <v>12809</v>
      </c>
    </row>
    <row r="810" spans="1:4" ht="14.1" customHeight="1" x14ac:dyDescent="0.25">
      <c r="A810" s="292" t="s">
        <v>7760</v>
      </c>
      <c r="B810" s="293" t="s">
        <v>12773</v>
      </c>
      <c r="C810" s="292" t="s">
        <v>12810</v>
      </c>
      <c r="D810" s="293" t="s">
        <v>12811</v>
      </c>
    </row>
    <row r="811" spans="1:4" ht="14.1" customHeight="1" x14ac:dyDescent="0.25">
      <c r="A811" s="292" t="s">
        <v>7760</v>
      </c>
      <c r="B811" s="293" t="s">
        <v>12773</v>
      </c>
      <c r="C811" s="292" t="s">
        <v>12812</v>
      </c>
      <c r="D811" s="293" t="s">
        <v>12813</v>
      </c>
    </row>
    <row r="812" spans="1:4" ht="14.1" customHeight="1" x14ac:dyDescent="0.25">
      <c r="A812" s="292" t="s">
        <v>7760</v>
      </c>
      <c r="B812" s="293" t="s">
        <v>12773</v>
      </c>
      <c r="C812" s="292" t="s">
        <v>12814</v>
      </c>
      <c r="D812" s="293" t="s">
        <v>12815</v>
      </c>
    </row>
    <row r="813" spans="1:4" ht="14.1" customHeight="1" x14ac:dyDescent="0.25">
      <c r="A813" s="292" t="s">
        <v>7760</v>
      </c>
      <c r="B813" s="293" t="s">
        <v>12773</v>
      </c>
      <c r="C813" s="292" t="s">
        <v>12816</v>
      </c>
      <c r="D813" s="293" t="s">
        <v>12817</v>
      </c>
    </row>
    <row r="814" spans="1:4" ht="14.1" customHeight="1" x14ac:dyDescent="0.25">
      <c r="A814" s="292" t="s">
        <v>7760</v>
      </c>
      <c r="B814" s="293" t="s">
        <v>12773</v>
      </c>
      <c r="C814" s="292" t="s">
        <v>12818</v>
      </c>
      <c r="D814" s="293" t="s">
        <v>12819</v>
      </c>
    </row>
    <row r="815" spans="1:4" ht="14.1" customHeight="1" x14ac:dyDescent="0.25">
      <c r="A815" s="292" t="s">
        <v>7760</v>
      </c>
      <c r="B815" s="293" t="s">
        <v>12773</v>
      </c>
      <c r="C815" s="292" t="s">
        <v>12820</v>
      </c>
      <c r="D815" s="293" t="s">
        <v>12821</v>
      </c>
    </row>
    <row r="816" spans="1:4" ht="14.1" customHeight="1" x14ac:dyDescent="0.25">
      <c r="A816" s="292" t="s">
        <v>7760</v>
      </c>
      <c r="B816" s="293" t="s">
        <v>12773</v>
      </c>
      <c r="C816" s="292" t="s">
        <v>12822</v>
      </c>
      <c r="D816" s="293" t="s">
        <v>12823</v>
      </c>
    </row>
    <row r="817" spans="1:4" ht="14.1" customHeight="1" x14ac:dyDescent="0.25">
      <c r="A817" s="292" t="s">
        <v>7760</v>
      </c>
      <c r="B817" s="293" t="s">
        <v>12773</v>
      </c>
      <c r="C817" s="292" t="s">
        <v>12824</v>
      </c>
      <c r="D817" s="293" t="s">
        <v>12825</v>
      </c>
    </row>
    <row r="818" spans="1:4" ht="14.1" customHeight="1" x14ac:dyDescent="0.25">
      <c r="A818" s="338" t="s">
        <v>7760</v>
      </c>
      <c r="B818" s="293" t="s">
        <v>12773</v>
      </c>
      <c r="C818" s="336" t="s">
        <v>12826</v>
      </c>
      <c r="D818" s="337" t="s">
        <v>11241</v>
      </c>
    </row>
    <row r="819" spans="1:4" ht="14.1" customHeight="1" x14ac:dyDescent="0.25">
      <c r="A819" s="292" t="s">
        <v>7621</v>
      </c>
      <c r="B819" s="293" t="s">
        <v>12827</v>
      </c>
      <c r="C819" s="292" t="s">
        <v>12828</v>
      </c>
      <c r="D819" s="293" t="s">
        <v>12829</v>
      </c>
    </row>
    <row r="820" spans="1:4" ht="14.1" customHeight="1" x14ac:dyDescent="0.25">
      <c r="A820" s="292" t="s">
        <v>7621</v>
      </c>
      <c r="B820" s="293" t="s">
        <v>12827</v>
      </c>
      <c r="C820" s="292" t="s">
        <v>12830</v>
      </c>
      <c r="D820" s="293" t="s">
        <v>12831</v>
      </c>
    </row>
    <row r="821" spans="1:4" ht="14.1" customHeight="1" x14ac:dyDescent="0.25">
      <c r="A821" s="292" t="s">
        <v>7621</v>
      </c>
      <c r="B821" s="293" t="s">
        <v>12827</v>
      </c>
      <c r="C821" s="292" t="s">
        <v>12832</v>
      </c>
      <c r="D821" s="293" t="s">
        <v>12833</v>
      </c>
    </row>
    <row r="822" spans="1:4" ht="14.1" customHeight="1" x14ac:dyDescent="0.25">
      <c r="A822" s="292" t="s">
        <v>7621</v>
      </c>
      <c r="B822" s="293" t="s">
        <v>12827</v>
      </c>
      <c r="C822" s="292" t="s">
        <v>12834</v>
      </c>
      <c r="D822" s="293" t="s">
        <v>12835</v>
      </c>
    </row>
    <row r="823" spans="1:4" ht="14.1" customHeight="1" x14ac:dyDescent="0.25">
      <c r="A823" s="292" t="s">
        <v>7621</v>
      </c>
      <c r="B823" s="293" t="s">
        <v>12827</v>
      </c>
      <c r="C823" s="292" t="s">
        <v>12836</v>
      </c>
      <c r="D823" s="293" t="s">
        <v>12837</v>
      </c>
    </row>
    <row r="824" spans="1:4" ht="14.1" customHeight="1" x14ac:dyDescent="0.25">
      <c r="A824" s="292" t="s">
        <v>7621</v>
      </c>
      <c r="B824" s="293" t="s">
        <v>12827</v>
      </c>
      <c r="C824" s="292" t="s">
        <v>12838</v>
      </c>
      <c r="D824" s="293" t="s">
        <v>12096</v>
      </c>
    </row>
    <row r="825" spans="1:4" ht="14.1" customHeight="1" x14ac:dyDescent="0.25">
      <c r="A825" s="292" t="s">
        <v>7621</v>
      </c>
      <c r="B825" s="293" t="s">
        <v>12827</v>
      </c>
      <c r="C825" s="292" t="s">
        <v>12839</v>
      </c>
      <c r="D825" s="293" t="s">
        <v>12840</v>
      </c>
    </row>
    <row r="826" spans="1:4" ht="14.1" customHeight="1" x14ac:dyDescent="0.25">
      <c r="A826" s="292" t="s">
        <v>7621</v>
      </c>
      <c r="B826" s="293" t="s">
        <v>12827</v>
      </c>
      <c r="C826" s="292" t="s">
        <v>12841</v>
      </c>
      <c r="D826" s="293" t="s">
        <v>12842</v>
      </c>
    </row>
    <row r="827" spans="1:4" ht="14.1" customHeight="1" x14ac:dyDescent="0.25">
      <c r="A827" s="292" t="s">
        <v>7621</v>
      </c>
      <c r="B827" s="293" t="s">
        <v>12827</v>
      </c>
      <c r="C827" s="292" t="s">
        <v>12843</v>
      </c>
      <c r="D827" s="293" t="s">
        <v>12844</v>
      </c>
    </row>
    <row r="828" spans="1:4" ht="14.1" customHeight="1" x14ac:dyDescent="0.25">
      <c r="A828" s="292" t="s">
        <v>7621</v>
      </c>
      <c r="B828" s="293" t="s">
        <v>12827</v>
      </c>
      <c r="C828" s="292" t="s">
        <v>12845</v>
      </c>
      <c r="D828" s="293" t="s">
        <v>12846</v>
      </c>
    </row>
    <row r="829" spans="1:4" ht="14.1" customHeight="1" x14ac:dyDescent="0.25">
      <c r="A829" s="292" t="s">
        <v>7621</v>
      </c>
      <c r="B829" s="293" t="s">
        <v>12827</v>
      </c>
      <c r="C829" s="292" t="s">
        <v>12847</v>
      </c>
      <c r="D829" s="293" t="s">
        <v>12848</v>
      </c>
    </row>
    <row r="830" spans="1:4" ht="14.1" customHeight="1" x14ac:dyDescent="0.25">
      <c r="A830" s="292" t="s">
        <v>7621</v>
      </c>
      <c r="B830" s="293" t="s">
        <v>12827</v>
      </c>
      <c r="C830" s="292" t="s">
        <v>12849</v>
      </c>
      <c r="D830" s="293" t="s">
        <v>12850</v>
      </c>
    </row>
    <row r="831" spans="1:4" ht="14.1" customHeight="1" x14ac:dyDescent="0.25">
      <c r="A831" s="292" t="s">
        <v>7621</v>
      </c>
      <c r="B831" s="293" t="s">
        <v>12827</v>
      </c>
      <c r="C831" s="292" t="s">
        <v>12851</v>
      </c>
      <c r="D831" s="293" t="s">
        <v>12852</v>
      </c>
    </row>
    <row r="832" spans="1:4" ht="14.1" customHeight="1" x14ac:dyDescent="0.25">
      <c r="A832" s="292" t="s">
        <v>7621</v>
      </c>
      <c r="B832" s="293" t="s">
        <v>12827</v>
      </c>
      <c r="C832" s="292" t="s">
        <v>12853</v>
      </c>
      <c r="D832" s="293" t="s">
        <v>12854</v>
      </c>
    </row>
    <row r="833" spans="1:4" ht="14.1" customHeight="1" x14ac:dyDescent="0.25">
      <c r="A833" s="292" t="s">
        <v>7635</v>
      </c>
      <c r="B833" s="293" t="s">
        <v>12855</v>
      </c>
      <c r="C833" s="292" t="s">
        <v>12856</v>
      </c>
      <c r="D833" s="293" t="s">
        <v>12857</v>
      </c>
    </row>
    <row r="834" spans="1:4" ht="14.1" customHeight="1" x14ac:dyDescent="0.25">
      <c r="A834" s="292" t="s">
        <v>7635</v>
      </c>
      <c r="B834" s="293" t="s">
        <v>12855</v>
      </c>
      <c r="C834" s="292" t="s">
        <v>12858</v>
      </c>
      <c r="D834" s="293" t="s">
        <v>12859</v>
      </c>
    </row>
    <row r="835" spans="1:4" ht="14.1" customHeight="1" x14ac:dyDescent="0.25">
      <c r="A835" s="292" t="s">
        <v>7635</v>
      </c>
      <c r="B835" s="293" t="s">
        <v>12855</v>
      </c>
      <c r="C835" s="292" t="s">
        <v>12860</v>
      </c>
      <c r="D835" s="293" t="s">
        <v>12861</v>
      </c>
    </row>
    <row r="836" spans="1:4" ht="14.1" customHeight="1" x14ac:dyDescent="0.25">
      <c r="A836" s="292" t="s">
        <v>12862</v>
      </c>
      <c r="B836" s="293" t="s">
        <v>12863</v>
      </c>
      <c r="C836" s="292" t="s">
        <v>12864</v>
      </c>
      <c r="D836" s="293" t="s">
        <v>12865</v>
      </c>
    </row>
    <row r="837" spans="1:4" ht="14.1" customHeight="1" x14ac:dyDescent="0.25">
      <c r="A837" s="292" t="s">
        <v>12862</v>
      </c>
      <c r="B837" s="293" t="s">
        <v>12863</v>
      </c>
      <c r="C837" s="292" t="s">
        <v>12866</v>
      </c>
      <c r="D837" s="293" t="s">
        <v>12867</v>
      </c>
    </row>
    <row r="838" spans="1:4" ht="14.1" customHeight="1" x14ac:dyDescent="0.25">
      <c r="A838" s="292" t="s">
        <v>12868</v>
      </c>
      <c r="B838" s="293" t="s">
        <v>12869</v>
      </c>
      <c r="C838" s="292" t="s">
        <v>12870</v>
      </c>
      <c r="D838" s="293" t="s">
        <v>12871</v>
      </c>
    </row>
    <row r="839" spans="1:4" ht="14.1" customHeight="1" x14ac:dyDescent="0.25">
      <c r="A839" s="292" t="s">
        <v>12868</v>
      </c>
      <c r="B839" s="293" t="s">
        <v>12869</v>
      </c>
      <c r="C839" s="292" t="s">
        <v>12872</v>
      </c>
      <c r="D839" s="293" t="s">
        <v>12873</v>
      </c>
    </row>
    <row r="840" spans="1:4" ht="14.1" customHeight="1" x14ac:dyDescent="0.25">
      <c r="A840" s="292" t="s">
        <v>12868</v>
      </c>
      <c r="B840" s="293" t="s">
        <v>12869</v>
      </c>
      <c r="C840" s="292" t="s">
        <v>12874</v>
      </c>
      <c r="D840" s="293" t="s">
        <v>12875</v>
      </c>
    </row>
    <row r="841" spans="1:4" ht="14.1" customHeight="1" x14ac:dyDescent="0.25">
      <c r="A841" s="292" t="s">
        <v>12868</v>
      </c>
      <c r="B841" s="293" t="s">
        <v>12869</v>
      </c>
      <c r="C841" s="292" t="s">
        <v>12876</v>
      </c>
      <c r="D841" s="293" t="s">
        <v>12877</v>
      </c>
    </row>
    <row r="842" spans="1:4" ht="14.1" customHeight="1" x14ac:dyDescent="0.25">
      <c r="A842" s="292" t="s">
        <v>12868</v>
      </c>
      <c r="B842" s="293" t="s">
        <v>12869</v>
      </c>
      <c r="C842" s="292" t="s">
        <v>12878</v>
      </c>
      <c r="D842" s="293" t="s">
        <v>12879</v>
      </c>
    </row>
    <row r="843" spans="1:4" ht="14.1" customHeight="1" x14ac:dyDescent="0.25">
      <c r="A843" s="292" t="s">
        <v>12868</v>
      </c>
      <c r="B843" s="293" t="s">
        <v>12869</v>
      </c>
      <c r="C843" s="292" t="s">
        <v>12880</v>
      </c>
      <c r="D843" s="293" t="s">
        <v>12881</v>
      </c>
    </row>
    <row r="844" spans="1:4" ht="14.1" customHeight="1" x14ac:dyDescent="0.25">
      <c r="A844" s="292" t="s">
        <v>12868</v>
      </c>
      <c r="B844" s="293" t="s">
        <v>12869</v>
      </c>
      <c r="C844" s="292" t="s">
        <v>12882</v>
      </c>
      <c r="D844" s="293" t="s">
        <v>12883</v>
      </c>
    </row>
    <row r="845" spans="1:4" ht="14.1" customHeight="1" x14ac:dyDescent="0.25">
      <c r="A845" s="292" t="s">
        <v>12868</v>
      </c>
      <c r="B845" s="293" t="s">
        <v>12869</v>
      </c>
      <c r="C845" s="292" t="s">
        <v>12884</v>
      </c>
      <c r="D845" s="293" t="s">
        <v>12885</v>
      </c>
    </row>
    <row r="846" spans="1:4" ht="14.1" customHeight="1" x14ac:dyDescent="0.25">
      <c r="A846" s="292" t="s">
        <v>12886</v>
      </c>
      <c r="B846" s="293" t="s">
        <v>12887</v>
      </c>
      <c r="C846" s="292" t="s">
        <v>12888</v>
      </c>
      <c r="D846" s="293" t="s">
        <v>12889</v>
      </c>
    </row>
    <row r="847" spans="1:4" ht="14.1" customHeight="1" x14ac:dyDescent="0.25">
      <c r="A847" s="292" t="s">
        <v>12890</v>
      </c>
      <c r="B847" s="293" t="s">
        <v>12891</v>
      </c>
      <c r="C847" s="292" t="s">
        <v>12892</v>
      </c>
      <c r="D847" s="293" t="s">
        <v>12893</v>
      </c>
    </row>
    <row r="848" spans="1:4" ht="14.1" customHeight="1" x14ac:dyDescent="0.25">
      <c r="A848" s="335" t="s">
        <v>12890</v>
      </c>
      <c r="B848" s="293" t="s">
        <v>12891</v>
      </c>
      <c r="C848" s="333" t="s">
        <v>13525</v>
      </c>
      <c r="D848" s="334" t="s">
        <v>13526</v>
      </c>
    </row>
    <row r="849" spans="1:4" ht="14.1" customHeight="1" x14ac:dyDescent="0.25">
      <c r="A849" s="292" t="s">
        <v>12894</v>
      </c>
      <c r="B849" s="293" t="s">
        <v>12895</v>
      </c>
      <c r="C849" s="292" t="s">
        <v>10456</v>
      </c>
      <c r="D849" s="293" t="s">
        <v>12896</v>
      </c>
    </row>
    <row r="850" spans="1:4" ht="14.1" customHeight="1" x14ac:dyDescent="0.25">
      <c r="A850" s="292" t="s">
        <v>12894</v>
      </c>
      <c r="B850" s="293" t="s">
        <v>12895</v>
      </c>
      <c r="C850" s="292" t="s">
        <v>12897</v>
      </c>
      <c r="D850" s="293" t="s">
        <v>12898</v>
      </c>
    </row>
    <row r="851" spans="1:4" ht="14.1" customHeight="1" x14ac:dyDescent="0.25">
      <c r="A851" s="292" t="s">
        <v>7586</v>
      </c>
      <c r="B851" s="293" t="s">
        <v>12899</v>
      </c>
      <c r="C851" s="292" t="s">
        <v>12900</v>
      </c>
      <c r="D851" s="293" t="s">
        <v>12901</v>
      </c>
    </row>
    <row r="852" spans="1:4" ht="14.1" customHeight="1" x14ac:dyDescent="0.25">
      <c r="A852" s="292" t="s">
        <v>7586</v>
      </c>
      <c r="B852" s="293" t="s">
        <v>12899</v>
      </c>
      <c r="C852" s="292" t="s">
        <v>12902</v>
      </c>
      <c r="D852" s="293" t="s">
        <v>12903</v>
      </c>
    </row>
    <row r="853" spans="1:4" ht="14.1" customHeight="1" x14ac:dyDescent="0.25">
      <c r="A853" s="292" t="s">
        <v>7586</v>
      </c>
      <c r="B853" s="293" t="s">
        <v>12899</v>
      </c>
      <c r="C853" s="292" t="s">
        <v>12904</v>
      </c>
      <c r="D853" s="293" t="s">
        <v>12905</v>
      </c>
    </row>
    <row r="854" spans="1:4" ht="14.1" customHeight="1" x14ac:dyDescent="0.25">
      <c r="A854" s="292" t="s">
        <v>12906</v>
      </c>
      <c r="B854" s="293" t="s">
        <v>12907</v>
      </c>
      <c r="C854" s="292" t="s">
        <v>12908</v>
      </c>
      <c r="D854" s="293" t="s">
        <v>12909</v>
      </c>
    </row>
    <row r="855" spans="1:4" ht="14.1" customHeight="1" x14ac:dyDescent="0.25">
      <c r="A855" s="292" t="s">
        <v>12910</v>
      </c>
      <c r="B855" s="293" t="s">
        <v>12911</v>
      </c>
      <c r="C855" s="292" t="s">
        <v>12912</v>
      </c>
      <c r="D855" s="293" t="s">
        <v>12913</v>
      </c>
    </row>
    <row r="856" spans="1:4" ht="14.1" customHeight="1" x14ac:dyDescent="0.25">
      <c r="A856" s="292" t="s">
        <v>12910</v>
      </c>
      <c r="B856" s="293" t="s">
        <v>12911</v>
      </c>
      <c r="C856" s="292" t="s">
        <v>12914</v>
      </c>
      <c r="D856" s="293" t="s">
        <v>12915</v>
      </c>
    </row>
    <row r="857" spans="1:4" ht="14.1" customHeight="1" x14ac:dyDescent="0.25">
      <c r="A857" s="292" t="s">
        <v>12916</v>
      </c>
      <c r="B857" s="293" t="s">
        <v>12917</v>
      </c>
      <c r="C857" s="292" t="s">
        <v>12918</v>
      </c>
      <c r="D857" s="293" t="s">
        <v>12919</v>
      </c>
    </row>
    <row r="858" spans="1:4" ht="14.1" customHeight="1" x14ac:dyDescent="0.25">
      <c r="A858" s="292" t="s">
        <v>12920</v>
      </c>
      <c r="B858" s="293" t="s">
        <v>12921</v>
      </c>
      <c r="C858" s="292" t="s">
        <v>12922</v>
      </c>
      <c r="D858" s="293" t="s">
        <v>12923</v>
      </c>
    </row>
    <row r="859" spans="1:4" ht="14.1" customHeight="1" x14ac:dyDescent="0.25">
      <c r="A859" s="292" t="s">
        <v>12924</v>
      </c>
      <c r="B859" s="293" t="s">
        <v>12925</v>
      </c>
      <c r="C859" s="292" t="s">
        <v>12926</v>
      </c>
      <c r="D859" s="293" t="s">
        <v>12927</v>
      </c>
    </row>
    <row r="860" spans="1:4" ht="14.1" customHeight="1" x14ac:dyDescent="0.25">
      <c r="A860" s="292" t="s">
        <v>12924</v>
      </c>
      <c r="B860" s="293" t="s">
        <v>12925</v>
      </c>
      <c r="C860" s="292" t="s">
        <v>12928</v>
      </c>
      <c r="D860" s="293" t="s">
        <v>12929</v>
      </c>
    </row>
    <row r="861" spans="1:4" ht="14.1" customHeight="1" x14ac:dyDescent="0.25">
      <c r="A861" s="292" t="s">
        <v>12924</v>
      </c>
      <c r="B861" s="293" t="s">
        <v>12925</v>
      </c>
      <c r="C861" s="292" t="s">
        <v>12930</v>
      </c>
      <c r="D861" s="293" t="s">
        <v>12931</v>
      </c>
    </row>
    <row r="862" spans="1:4" ht="14.1" customHeight="1" x14ac:dyDescent="0.25">
      <c r="A862" s="292" t="s">
        <v>12924</v>
      </c>
      <c r="B862" s="293" t="s">
        <v>12925</v>
      </c>
      <c r="C862" s="292" t="s">
        <v>12932</v>
      </c>
      <c r="D862" s="293" t="s">
        <v>12933</v>
      </c>
    </row>
    <row r="863" spans="1:4" ht="14.1" customHeight="1" x14ac:dyDescent="0.25">
      <c r="A863" s="292" t="s">
        <v>12924</v>
      </c>
      <c r="B863" s="293" t="s">
        <v>12925</v>
      </c>
      <c r="C863" s="292" t="s">
        <v>12934</v>
      </c>
      <c r="D863" s="293" t="s">
        <v>12935</v>
      </c>
    </row>
    <row r="864" spans="1:4" ht="14.1" customHeight="1" x14ac:dyDescent="0.25">
      <c r="A864" s="292" t="s">
        <v>12924</v>
      </c>
      <c r="B864" s="293" t="s">
        <v>12925</v>
      </c>
      <c r="C864" s="292" t="s">
        <v>12936</v>
      </c>
      <c r="D864" s="293" t="s">
        <v>12937</v>
      </c>
    </row>
    <row r="865" spans="1:4" ht="14.1" customHeight="1" x14ac:dyDescent="0.25">
      <c r="A865" s="292" t="s">
        <v>12924</v>
      </c>
      <c r="B865" s="293" t="s">
        <v>12925</v>
      </c>
      <c r="C865" s="292" t="s">
        <v>12938</v>
      </c>
      <c r="D865" s="293" t="s">
        <v>12939</v>
      </c>
    </row>
    <row r="866" spans="1:4" ht="14.1" customHeight="1" x14ac:dyDescent="0.25">
      <c r="A866" s="292" t="s">
        <v>12924</v>
      </c>
      <c r="B866" s="293" t="s">
        <v>12925</v>
      </c>
      <c r="C866" s="292" t="s">
        <v>12940</v>
      </c>
      <c r="D866" s="293" t="s">
        <v>12941</v>
      </c>
    </row>
    <row r="867" spans="1:4" ht="14.1" customHeight="1" x14ac:dyDescent="0.25">
      <c r="A867" s="292" t="s">
        <v>7572</v>
      </c>
      <c r="B867" s="293" t="s">
        <v>12942</v>
      </c>
      <c r="C867" s="292" t="s">
        <v>12943</v>
      </c>
      <c r="D867" s="293" t="s">
        <v>12944</v>
      </c>
    </row>
    <row r="868" spans="1:4" ht="14.1" customHeight="1" x14ac:dyDescent="0.25">
      <c r="A868" s="292" t="s">
        <v>7572</v>
      </c>
      <c r="B868" s="293" t="s">
        <v>12942</v>
      </c>
      <c r="C868" s="292" t="s">
        <v>12945</v>
      </c>
      <c r="D868" s="293" t="s">
        <v>12946</v>
      </c>
    </row>
    <row r="869" spans="1:4" ht="14.1" customHeight="1" x14ac:dyDescent="0.25">
      <c r="A869" s="292" t="s">
        <v>7572</v>
      </c>
      <c r="B869" s="293" t="s">
        <v>12942</v>
      </c>
      <c r="C869" s="292" t="s">
        <v>12947</v>
      </c>
      <c r="D869" s="293" t="s">
        <v>12948</v>
      </c>
    </row>
    <row r="870" spans="1:4" ht="14.1" customHeight="1" x14ac:dyDescent="0.25">
      <c r="A870" s="292" t="s">
        <v>12949</v>
      </c>
      <c r="B870" s="293" t="s">
        <v>12950</v>
      </c>
      <c r="C870" s="292" t="s">
        <v>12951</v>
      </c>
      <c r="D870" s="293" t="s">
        <v>12952</v>
      </c>
    </row>
    <row r="871" spans="1:4" ht="14.1" customHeight="1" x14ac:dyDescent="0.25">
      <c r="A871" s="292" t="s">
        <v>7774</v>
      </c>
      <c r="B871" s="293" t="s">
        <v>12953</v>
      </c>
      <c r="C871" s="292" t="s">
        <v>12954</v>
      </c>
      <c r="D871" s="293" t="s">
        <v>12955</v>
      </c>
    </row>
    <row r="872" spans="1:4" ht="14.1" customHeight="1" x14ac:dyDescent="0.25">
      <c r="A872" s="292" t="s">
        <v>7774</v>
      </c>
      <c r="B872" s="293" t="s">
        <v>12953</v>
      </c>
      <c r="C872" s="292" t="s">
        <v>12956</v>
      </c>
      <c r="D872" s="293" t="s">
        <v>12957</v>
      </c>
    </row>
    <row r="873" spans="1:4" ht="14.1" customHeight="1" x14ac:dyDescent="0.25">
      <c r="A873" s="292" t="s">
        <v>7774</v>
      </c>
      <c r="B873" s="293" t="s">
        <v>12953</v>
      </c>
      <c r="C873" s="292" t="s">
        <v>12958</v>
      </c>
      <c r="D873" s="293" t="s">
        <v>12959</v>
      </c>
    </row>
    <row r="874" spans="1:4" ht="14.1" customHeight="1" x14ac:dyDescent="0.25">
      <c r="A874" s="292" t="s">
        <v>7774</v>
      </c>
      <c r="B874" s="293" t="s">
        <v>12953</v>
      </c>
      <c r="C874" s="292" t="s">
        <v>12960</v>
      </c>
      <c r="D874" s="293" t="s">
        <v>12961</v>
      </c>
    </row>
    <row r="875" spans="1:4" ht="14.1" customHeight="1" x14ac:dyDescent="0.25">
      <c r="A875" s="292" t="s">
        <v>7774</v>
      </c>
      <c r="B875" s="293" t="s">
        <v>12953</v>
      </c>
      <c r="C875" s="292" t="s">
        <v>12962</v>
      </c>
      <c r="D875" s="293" t="s">
        <v>12963</v>
      </c>
    </row>
    <row r="876" spans="1:4" ht="14.1" customHeight="1" x14ac:dyDescent="0.25">
      <c r="A876" s="292" t="s">
        <v>7774</v>
      </c>
      <c r="B876" s="293" t="s">
        <v>12953</v>
      </c>
      <c r="C876" s="292" t="s">
        <v>12964</v>
      </c>
      <c r="D876" s="293" t="s">
        <v>12965</v>
      </c>
    </row>
    <row r="877" spans="1:4" ht="14.1" customHeight="1" x14ac:dyDescent="0.25">
      <c r="A877" s="292" t="s">
        <v>7774</v>
      </c>
      <c r="B877" s="293" t="s">
        <v>12953</v>
      </c>
      <c r="C877" s="292" t="s">
        <v>12966</v>
      </c>
      <c r="D877" s="293" t="s">
        <v>12967</v>
      </c>
    </row>
    <row r="878" spans="1:4" ht="14.1" customHeight="1" x14ac:dyDescent="0.25">
      <c r="A878" s="292" t="s">
        <v>7774</v>
      </c>
      <c r="B878" s="293" t="s">
        <v>12953</v>
      </c>
      <c r="C878" s="292" t="s">
        <v>12968</v>
      </c>
      <c r="D878" s="293" t="s">
        <v>12969</v>
      </c>
    </row>
    <row r="879" spans="1:4" ht="14.1" customHeight="1" x14ac:dyDescent="0.25">
      <c r="A879" s="292" t="s">
        <v>12970</v>
      </c>
      <c r="B879" s="293" t="s">
        <v>12971</v>
      </c>
      <c r="C879" s="292" t="s">
        <v>12972</v>
      </c>
      <c r="D879" s="293" t="s">
        <v>12973</v>
      </c>
    </row>
    <row r="880" spans="1:4" ht="14.1" customHeight="1" x14ac:dyDescent="0.25">
      <c r="A880" s="292" t="s">
        <v>12970</v>
      </c>
      <c r="B880" s="293" t="s">
        <v>12971</v>
      </c>
      <c r="C880" s="292" t="s">
        <v>12974</v>
      </c>
      <c r="D880" s="293" t="s">
        <v>12975</v>
      </c>
    </row>
    <row r="881" spans="1:4" ht="14.1" customHeight="1" x14ac:dyDescent="0.25">
      <c r="A881" s="292" t="s">
        <v>12970</v>
      </c>
      <c r="B881" s="293" t="s">
        <v>12971</v>
      </c>
      <c r="C881" s="292" t="s">
        <v>12976</v>
      </c>
      <c r="D881" s="293" t="s">
        <v>12977</v>
      </c>
    </row>
    <row r="882" spans="1:4" ht="14.1" customHeight="1" x14ac:dyDescent="0.25">
      <c r="A882" s="292" t="s">
        <v>12970</v>
      </c>
      <c r="B882" s="293" t="s">
        <v>12971</v>
      </c>
      <c r="C882" s="292" t="s">
        <v>12978</v>
      </c>
      <c r="D882" s="293" t="s">
        <v>12979</v>
      </c>
    </row>
    <row r="883" spans="1:4" ht="14.1" customHeight="1" x14ac:dyDescent="0.25">
      <c r="A883" s="292" t="s">
        <v>12970</v>
      </c>
      <c r="B883" s="293" t="s">
        <v>12971</v>
      </c>
      <c r="C883" s="292" t="s">
        <v>12980</v>
      </c>
      <c r="D883" s="293" t="s">
        <v>12981</v>
      </c>
    </row>
    <row r="884" spans="1:4" ht="14.1" customHeight="1" x14ac:dyDescent="0.25">
      <c r="A884" s="292" t="s">
        <v>12982</v>
      </c>
      <c r="B884" s="293" t="s">
        <v>12983</v>
      </c>
      <c r="C884" s="292" t="s">
        <v>12984</v>
      </c>
      <c r="D884" s="293" t="s">
        <v>12985</v>
      </c>
    </row>
    <row r="885" spans="1:4" ht="14.1" customHeight="1" x14ac:dyDescent="0.25">
      <c r="A885" s="292" t="s">
        <v>12982</v>
      </c>
      <c r="B885" s="293" t="s">
        <v>12983</v>
      </c>
      <c r="C885" s="292" t="s">
        <v>12986</v>
      </c>
      <c r="D885" s="293" t="s">
        <v>12987</v>
      </c>
    </row>
    <row r="886" spans="1:4" ht="14.1" customHeight="1" x14ac:dyDescent="0.25">
      <c r="A886" s="292" t="s">
        <v>12982</v>
      </c>
      <c r="B886" s="293" t="s">
        <v>12983</v>
      </c>
      <c r="C886" s="292" t="s">
        <v>12988</v>
      </c>
      <c r="D886" s="293" t="s">
        <v>11223</v>
      </c>
    </row>
    <row r="887" spans="1:4" ht="14.1" customHeight="1" x14ac:dyDescent="0.25">
      <c r="A887" s="292" t="s">
        <v>12982</v>
      </c>
      <c r="B887" s="293" t="s">
        <v>12983</v>
      </c>
      <c r="C887" s="292" t="s">
        <v>12989</v>
      </c>
      <c r="D887" s="293" t="s">
        <v>12990</v>
      </c>
    </row>
    <row r="888" spans="1:4" ht="14.1" customHeight="1" x14ac:dyDescent="0.25">
      <c r="A888" s="292" t="s">
        <v>12982</v>
      </c>
      <c r="B888" s="293" t="s">
        <v>12983</v>
      </c>
      <c r="C888" s="292" t="s">
        <v>12991</v>
      </c>
      <c r="D888" s="293" t="s">
        <v>12992</v>
      </c>
    </row>
    <row r="889" spans="1:4" ht="14.1" customHeight="1" x14ac:dyDescent="0.25">
      <c r="A889" s="292" t="s">
        <v>12982</v>
      </c>
      <c r="B889" s="293" t="s">
        <v>12983</v>
      </c>
      <c r="C889" s="292" t="s">
        <v>12993</v>
      </c>
      <c r="D889" s="293" t="s">
        <v>12994</v>
      </c>
    </row>
    <row r="890" spans="1:4" ht="14.1" customHeight="1" x14ac:dyDescent="0.25">
      <c r="A890" s="292" t="s">
        <v>12982</v>
      </c>
      <c r="B890" s="293" t="s">
        <v>12983</v>
      </c>
      <c r="C890" s="292" t="s">
        <v>12995</v>
      </c>
      <c r="D890" s="293" t="s">
        <v>12996</v>
      </c>
    </row>
    <row r="891" spans="1:4" ht="14.1" customHeight="1" x14ac:dyDescent="0.25">
      <c r="A891" s="292" t="s">
        <v>12982</v>
      </c>
      <c r="B891" s="293" t="s">
        <v>12983</v>
      </c>
      <c r="C891" s="292" t="s">
        <v>12997</v>
      </c>
      <c r="D891" s="293" t="s">
        <v>12998</v>
      </c>
    </row>
    <row r="892" spans="1:4" ht="14.1" customHeight="1" x14ac:dyDescent="0.25">
      <c r="A892" s="292" t="s">
        <v>12982</v>
      </c>
      <c r="B892" s="293" t="s">
        <v>12983</v>
      </c>
      <c r="C892" s="292" t="s">
        <v>12999</v>
      </c>
      <c r="D892" s="293" t="s">
        <v>13000</v>
      </c>
    </row>
    <row r="893" spans="1:4" ht="14.1" customHeight="1" x14ac:dyDescent="0.25">
      <c r="A893" s="292" t="s">
        <v>12982</v>
      </c>
      <c r="B893" s="293" t="s">
        <v>12983</v>
      </c>
      <c r="C893" s="292" t="s">
        <v>13001</v>
      </c>
      <c r="D893" s="293" t="s">
        <v>13002</v>
      </c>
    </row>
    <row r="894" spans="1:4" ht="14.1" customHeight="1" x14ac:dyDescent="0.25">
      <c r="A894" s="292" t="s">
        <v>12982</v>
      </c>
      <c r="B894" s="293" t="s">
        <v>12983</v>
      </c>
      <c r="C894" s="292" t="s">
        <v>13003</v>
      </c>
      <c r="D894" s="293" t="s">
        <v>13004</v>
      </c>
    </row>
    <row r="895" spans="1:4" ht="14.1" customHeight="1" x14ac:dyDescent="0.25">
      <c r="A895" s="292" t="s">
        <v>13005</v>
      </c>
      <c r="B895" s="293" t="s">
        <v>13006</v>
      </c>
      <c r="C895" s="292" t="s">
        <v>13007</v>
      </c>
      <c r="D895" s="293" t="s">
        <v>13008</v>
      </c>
    </row>
    <row r="896" spans="1:4" ht="14.1" customHeight="1" x14ac:dyDescent="0.25">
      <c r="A896" s="292" t="s">
        <v>13005</v>
      </c>
      <c r="B896" s="293" t="s">
        <v>13006</v>
      </c>
      <c r="C896" s="292" t="s">
        <v>13009</v>
      </c>
      <c r="D896" s="293" t="s">
        <v>13010</v>
      </c>
    </row>
    <row r="897" spans="1:4" ht="14.1" customHeight="1" x14ac:dyDescent="0.25">
      <c r="A897" s="292" t="s">
        <v>13005</v>
      </c>
      <c r="B897" s="293" t="s">
        <v>13006</v>
      </c>
      <c r="C897" s="292" t="s">
        <v>13011</v>
      </c>
      <c r="D897" s="293" t="s">
        <v>13012</v>
      </c>
    </row>
    <row r="898" spans="1:4" ht="14.1" customHeight="1" x14ac:dyDescent="0.25">
      <c r="A898" s="292" t="s">
        <v>13005</v>
      </c>
      <c r="B898" s="293" t="s">
        <v>13006</v>
      </c>
      <c r="C898" s="292" t="s">
        <v>13013</v>
      </c>
      <c r="D898" s="293" t="s">
        <v>13014</v>
      </c>
    </row>
    <row r="899" spans="1:4" ht="14.1" customHeight="1" x14ac:dyDescent="0.25">
      <c r="A899" s="292" t="s">
        <v>13005</v>
      </c>
      <c r="B899" s="293" t="s">
        <v>13006</v>
      </c>
      <c r="C899" s="292" t="s">
        <v>13015</v>
      </c>
      <c r="D899" s="293" t="s">
        <v>13016</v>
      </c>
    </row>
    <row r="900" spans="1:4" ht="14.1" customHeight="1" x14ac:dyDescent="0.25">
      <c r="A900" s="292" t="s">
        <v>13005</v>
      </c>
      <c r="B900" s="293" t="s">
        <v>13006</v>
      </c>
      <c r="C900" s="292" t="s">
        <v>13017</v>
      </c>
      <c r="D900" s="293" t="s">
        <v>13018</v>
      </c>
    </row>
    <row r="901" spans="1:4" ht="14.1" customHeight="1" x14ac:dyDescent="0.25">
      <c r="A901" s="292" t="s">
        <v>13005</v>
      </c>
      <c r="B901" s="293" t="s">
        <v>13006</v>
      </c>
      <c r="C901" s="292" t="s">
        <v>13019</v>
      </c>
      <c r="D901" s="293" t="s">
        <v>13020</v>
      </c>
    </row>
    <row r="902" spans="1:4" ht="14.1" customHeight="1" x14ac:dyDescent="0.25">
      <c r="A902" s="292" t="s">
        <v>13005</v>
      </c>
      <c r="B902" s="293" t="s">
        <v>13006</v>
      </c>
      <c r="C902" s="292" t="s">
        <v>13021</v>
      </c>
      <c r="D902" s="293" t="s">
        <v>13022</v>
      </c>
    </row>
    <row r="903" spans="1:4" ht="14.1" customHeight="1" x14ac:dyDescent="0.25">
      <c r="A903" s="292" t="s">
        <v>13023</v>
      </c>
      <c r="B903" s="293" t="s">
        <v>13024</v>
      </c>
      <c r="C903" s="292" t="s">
        <v>13025</v>
      </c>
      <c r="D903" s="293" t="s">
        <v>13026</v>
      </c>
    </row>
    <row r="904" spans="1:4" ht="14.1" customHeight="1" x14ac:dyDescent="0.25">
      <c r="A904" s="292" t="s">
        <v>13023</v>
      </c>
      <c r="B904" s="293" t="s">
        <v>13024</v>
      </c>
      <c r="C904" s="292" t="s">
        <v>13027</v>
      </c>
      <c r="D904" s="293" t="s">
        <v>13028</v>
      </c>
    </row>
    <row r="905" spans="1:4" ht="14.1" customHeight="1" x14ac:dyDescent="0.25">
      <c r="A905" s="292" t="s">
        <v>13023</v>
      </c>
      <c r="B905" s="293" t="s">
        <v>13024</v>
      </c>
      <c r="C905" s="292" t="s">
        <v>13029</v>
      </c>
      <c r="D905" s="293" t="s">
        <v>12823</v>
      </c>
    </row>
    <row r="906" spans="1:4" ht="14.1" customHeight="1" x14ac:dyDescent="0.25">
      <c r="A906" s="292" t="s">
        <v>13030</v>
      </c>
      <c r="B906" s="293" t="s">
        <v>13031</v>
      </c>
      <c r="C906" s="292" t="s">
        <v>13032</v>
      </c>
      <c r="D906" s="293" t="s">
        <v>13033</v>
      </c>
    </row>
    <row r="907" spans="1:4" ht="14.1" customHeight="1" x14ac:dyDescent="0.25">
      <c r="A907" s="292" t="s">
        <v>13030</v>
      </c>
      <c r="B907" s="293" t="s">
        <v>13031</v>
      </c>
      <c r="C907" s="292" t="s">
        <v>13034</v>
      </c>
      <c r="D907" s="293" t="s">
        <v>12479</v>
      </c>
    </row>
    <row r="908" spans="1:4" ht="14.1" customHeight="1" x14ac:dyDescent="0.25">
      <c r="A908" s="292" t="s">
        <v>13030</v>
      </c>
      <c r="B908" s="293" t="s">
        <v>13031</v>
      </c>
      <c r="C908" s="292" t="s">
        <v>13035</v>
      </c>
      <c r="D908" s="293" t="s">
        <v>13036</v>
      </c>
    </row>
    <row r="909" spans="1:4" ht="14.1" customHeight="1" x14ac:dyDescent="0.25">
      <c r="A909" s="292" t="s">
        <v>13030</v>
      </c>
      <c r="B909" s="293" t="s">
        <v>13031</v>
      </c>
      <c r="C909" s="292" t="s">
        <v>13037</v>
      </c>
      <c r="D909" s="293" t="s">
        <v>13038</v>
      </c>
    </row>
    <row r="910" spans="1:4" ht="14.1" customHeight="1" x14ac:dyDescent="0.25">
      <c r="A910" s="292" t="s">
        <v>13030</v>
      </c>
      <c r="B910" s="293" t="s">
        <v>13031</v>
      </c>
      <c r="C910" s="292" t="s">
        <v>13039</v>
      </c>
      <c r="D910" s="293" t="s">
        <v>13040</v>
      </c>
    </row>
    <row r="911" spans="1:4" ht="14.1" customHeight="1" x14ac:dyDescent="0.25">
      <c r="A911" s="292" t="s">
        <v>13030</v>
      </c>
      <c r="B911" s="293" t="s">
        <v>13031</v>
      </c>
      <c r="C911" s="292" t="s">
        <v>13041</v>
      </c>
      <c r="D911" s="293" t="s">
        <v>13042</v>
      </c>
    </row>
    <row r="912" spans="1:4" ht="14.1" customHeight="1" x14ac:dyDescent="0.25">
      <c r="A912" s="292" t="s">
        <v>13043</v>
      </c>
      <c r="B912" s="293" t="s">
        <v>13044</v>
      </c>
      <c r="C912" s="292" t="s">
        <v>13045</v>
      </c>
      <c r="D912" s="293" t="s">
        <v>13046</v>
      </c>
    </row>
    <row r="913" spans="1:4" ht="14.1" customHeight="1" x14ac:dyDescent="0.25">
      <c r="A913" s="292" t="s">
        <v>13043</v>
      </c>
      <c r="B913" s="293" t="s">
        <v>13044</v>
      </c>
      <c r="C913" s="292" t="s">
        <v>13047</v>
      </c>
      <c r="D913" s="293" t="s">
        <v>13048</v>
      </c>
    </row>
    <row r="914" spans="1:4" ht="14.1" customHeight="1" x14ac:dyDescent="0.25">
      <c r="A914" s="292" t="s">
        <v>13043</v>
      </c>
      <c r="B914" s="293" t="s">
        <v>13044</v>
      </c>
      <c r="C914" s="292" t="s">
        <v>13049</v>
      </c>
      <c r="D914" s="293" t="s">
        <v>13050</v>
      </c>
    </row>
    <row r="915" spans="1:4" ht="14.1" customHeight="1" x14ac:dyDescent="0.25">
      <c r="A915" s="292" t="s">
        <v>13043</v>
      </c>
      <c r="B915" s="293" t="s">
        <v>13044</v>
      </c>
      <c r="C915" s="292" t="s">
        <v>13051</v>
      </c>
      <c r="D915" s="293" t="s">
        <v>13052</v>
      </c>
    </row>
    <row r="916" spans="1:4" ht="14.1" customHeight="1" x14ac:dyDescent="0.25">
      <c r="A916" s="292" t="s">
        <v>13043</v>
      </c>
      <c r="B916" s="293" t="s">
        <v>13044</v>
      </c>
      <c r="C916" s="292" t="s">
        <v>13053</v>
      </c>
      <c r="D916" s="293" t="s">
        <v>13054</v>
      </c>
    </row>
    <row r="917" spans="1:4" ht="14.1" customHeight="1" x14ac:dyDescent="0.25">
      <c r="A917" s="292" t="s">
        <v>13043</v>
      </c>
      <c r="B917" s="293" t="s">
        <v>13044</v>
      </c>
      <c r="C917" s="292" t="s">
        <v>13055</v>
      </c>
      <c r="D917" s="293" t="s">
        <v>13056</v>
      </c>
    </row>
    <row r="918" spans="1:4" ht="14.1" customHeight="1" x14ac:dyDescent="0.25">
      <c r="A918" s="292" t="s">
        <v>13043</v>
      </c>
      <c r="B918" s="293" t="s">
        <v>13044</v>
      </c>
      <c r="C918" s="292" t="s">
        <v>13057</v>
      </c>
      <c r="D918" s="293" t="s">
        <v>13058</v>
      </c>
    </row>
    <row r="919" spans="1:4" ht="14.1" customHeight="1" x14ac:dyDescent="0.25">
      <c r="A919" s="292" t="s">
        <v>13059</v>
      </c>
      <c r="B919" s="293" t="s">
        <v>13060</v>
      </c>
      <c r="C919" s="292" t="s">
        <v>13061</v>
      </c>
      <c r="D919" s="293" t="s">
        <v>13062</v>
      </c>
    </row>
    <row r="920" spans="1:4" ht="14.1" customHeight="1" x14ac:dyDescent="0.25">
      <c r="A920" s="292" t="s">
        <v>13059</v>
      </c>
      <c r="B920" s="293" t="s">
        <v>13060</v>
      </c>
      <c r="C920" s="292" t="s">
        <v>13063</v>
      </c>
      <c r="D920" s="293" t="s">
        <v>13064</v>
      </c>
    </row>
    <row r="921" spans="1:4" ht="14.1" customHeight="1" x14ac:dyDescent="0.25">
      <c r="A921" s="292" t="s">
        <v>13059</v>
      </c>
      <c r="B921" s="293" t="s">
        <v>13060</v>
      </c>
      <c r="C921" s="292" t="s">
        <v>13065</v>
      </c>
      <c r="D921" s="293" t="s">
        <v>13066</v>
      </c>
    </row>
    <row r="922" spans="1:4" ht="14.1" customHeight="1" x14ac:dyDescent="0.25">
      <c r="A922" s="292" t="s">
        <v>13059</v>
      </c>
      <c r="B922" s="293" t="s">
        <v>13060</v>
      </c>
      <c r="C922" s="292" t="s">
        <v>13067</v>
      </c>
      <c r="D922" s="293" t="s">
        <v>13068</v>
      </c>
    </row>
    <row r="923" spans="1:4" ht="14.1" customHeight="1" x14ac:dyDescent="0.25">
      <c r="A923" s="292" t="s">
        <v>13069</v>
      </c>
      <c r="B923" s="293" t="s">
        <v>13070</v>
      </c>
      <c r="C923" s="292" t="s">
        <v>13071</v>
      </c>
      <c r="D923" s="293" t="s">
        <v>13072</v>
      </c>
    </row>
    <row r="924" spans="1:4" ht="14.1" customHeight="1" x14ac:dyDescent="0.25">
      <c r="A924" s="292" t="s">
        <v>13073</v>
      </c>
      <c r="B924" s="293" t="s">
        <v>13074</v>
      </c>
      <c r="C924" s="292" t="s">
        <v>13075</v>
      </c>
      <c r="D924" s="293" t="s">
        <v>13076</v>
      </c>
    </row>
    <row r="925" spans="1:4" ht="14.1" customHeight="1" x14ac:dyDescent="0.25">
      <c r="A925" s="292" t="s">
        <v>13077</v>
      </c>
      <c r="B925" s="293" t="s">
        <v>13078</v>
      </c>
      <c r="C925" s="292" t="s">
        <v>10783</v>
      </c>
      <c r="D925" s="293" t="s">
        <v>13079</v>
      </c>
    </row>
    <row r="926" spans="1:4" ht="14.1" customHeight="1" x14ac:dyDescent="0.25">
      <c r="A926" s="292" t="s">
        <v>13077</v>
      </c>
      <c r="B926" s="293" t="s">
        <v>13078</v>
      </c>
      <c r="C926" s="292" t="s">
        <v>13080</v>
      </c>
      <c r="D926" s="293" t="s">
        <v>13081</v>
      </c>
    </row>
    <row r="927" spans="1:4" ht="14.1" customHeight="1" x14ac:dyDescent="0.25">
      <c r="A927" s="292" t="s">
        <v>13077</v>
      </c>
      <c r="B927" s="293" t="s">
        <v>13078</v>
      </c>
      <c r="C927" s="292" t="s">
        <v>13082</v>
      </c>
      <c r="D927" s="293" t="s">
        <v>13083</v>
      </c>
    </row>
    <row r="928" spans="1:4" ht="14.1" customHeight="1" x14ac:dyDescent="0.25">
      <c r="A928" s="292" t="s">
        <v>13077</v>
      </c>
      <c r="B928" s="293" t="s">
        <v>13078</v>
      </c>
      <c r="C928" s="292" t="s">
        <v>13084</v>
      </c>
      <c r="D928" s="293" t="s">
        <v>13085</v>
      </c>
    </row>
    <row r="929" spans="1:4" ht="14.1" customHeight="1" x14ac:dyDescent="0.25">
      <c r="A929" s="292" t="s">
        <v>13077</v>
      </c>
      <c r="B929" s="293" t="s">
        <v>13078</v>
      </c>
      <c r="C929" s="292" t="s">
        <v>10589</v>
      </c>
      <c r="D929" s="293" t="s">
        <v>13086</v>
      </c>
    </row>
    <row r="930" spans="1:4" ht="14.1" customHeight="1" x14ac:dyDescent="0.25">
      <c r="A930" s="292" t="s">
        <v>13077</v>
      </c>
      <c r="B930" s="293" t="s">
        <v>13078</v>
      </c>
      <c r="C930" s="292" t="s">
        <v>13087</v>
      </c>
      <c r="D930" s="293" t="s">
        <v>13088</v>
      </c>
    </row>
    <row r="931" spans="1:4" ht="14.1" customHeight="1" x14ac:dyDescent="0.25">
      <c r="A931" s="292" t="s">
        <v>13077</v>
      </c>
      <c r="B931" s="293" t="s">
        <v>13078</v>
      </c>
      <c r="C931" s="292" t="s">
        <v>13089</v>
      </c>
      <c r="D931" s="293" t="s">
        <v>13090</v>
      </c>
    </row>
    <row r="932" spans="1:4" ht="14.1" customHeight="1" x14ac:dyDescent="0.25">
      <c r="A932" s="292" t="s">
        <v>13077</v>
      </c>
      <c r="B932" s="293" t="s">
        <v>13078</v>
      </c>
      <c r="C932" s="292" t="s">
        <v>13091</v>
      </c>
      <c r="D932" s="293" t="s">
        <v>13092</v>
      </c>
    </row>
    <row r="933" spans="1:4" ht="14.1" customHeight="1" x14ac:dyDescent="0.25">
      <c r="A933" s="292" t="s">
        <v>13093</v>
      </c>
      <c r="B933" s="293" t="s">
        <v>13094</v>
      </c>
      <c r="C933" s="292" t="s">
        <v>13095</v>
      </c>
      <c r="D933" s="293" t="s">
        <v>13096</v>
      </c>
    </row>
    <row r="934" spans="1:4" ht="14.1" customHeight="1" x14ac:dyDescent="0.25">
      <c r="A934" s="292" t="s">
        <v>13093</v>
      </c>
      <c r="B934" s="293" t="s">
        <v>13094</v>
      </c>
      <c r="C934" s="292" t="s">
        <v>13097</v>
      </c>
      <c r="D934" s="293" t="s">
        <v>13098</v>
      </c>
    </row>
    <row r="935" spans="1:4" ht="14.1" customHeight="1" x14ac:dyDescent="0.25">
      <c r="A935" s="292" t="s">
        <v>13099</v>
      </c>
      <c r="B935" s="293" t="s">
        <v>13100</v>
      </c>
      <c r="C935" s="292" t="s">
        <v>13101</v>
      </c>
      <c r="D935" s="293" t="s">
        <v>13102</v>
      </c>
    </row>
    <row r="936" spans="1:4" ht="14.1" customHeight="1" x14ac:dyDescent="0.25">
      <c r="A936" s="292" t="s">
        <v>13099</v>
      </c>
      <c r="B936" s="293" t="s">
        <v>13100</v>
      </c>
      <c r="C936" s="292" t="s">
        <v>13103</v>
      </c>
      <c r="D936" s="293" t="s">
        <v>13104</v>
      </c>
    </row>
    <row r="937" spans="1:4" ht="14.1" customHeight="1" x14ac:dyDescent="0.25">
      <c r="A937" s="292" t="s">
        <v>13105</v>
      </c>
      <c r="B937" s="293" t="s">
        <v>13106</v>
      </c>
      <c r="C937" s="292" t="s">
        <v>13107</v>
      </c>
      <c r="D937" s="293" t="s">
        <v>13108</v>
      </c>
    </row>
    <row r="938" spans="1:4" ht="14.1" customHeight="1" x14ac:dyDescent="0.25">
      <c r="A938" s="292" t="s">
        <v>13109</v>
      </c>
      <c r="B938" s="293" t="s">
        <v>13110</v>
      </c>
      <c r="C938" s="292" t="s">
        <v>13111</v>
      </c>
      <c r="D938" s="293" t="s">
        <v>13112</v>
      </c>
    </row>
    <row r="939" spans="1:4" ht="14.1" customHeight="1" x14ac:dyDescent="0.25">
      <c r="A939" s="292" t="s">
        <v>13113</v>
      </c>
      <c r="B939" s="293" t="s">
        <v>13114</v>
      </c>
      <c r="C939" s="292" t="s">
        <v>13115</v>
      </c>
      <c r="D939" s="293" t="s">
        <v>13116</v>
      </c>
    </row>
    <row r="940" spans="1:4" ht="14.1" customHeight="1" x14ac:dyDescent="0.25">
      <c r="A940" s="292" t="s">
        <v>13117</v>
      </c>
      <c r="B940" s="293" t="s">
        <v>13118</v>
      </c>
      <c r="C940" s="292" t="s">
        <v>13119</v>
      </c>
      <c r="D940" s="293" t="s">
        <v>13120</v>
      </c>
    </row>
    <row r="941" spans="1:4" ht="14.1" customHeight="1" x14ac:dyDescent="0.25">
      <c r="A941" s="292" t="s">
        <v>13117</v>
      </c>
      <c r="B941" s="293" t="s">
        <v>13118</v>
      </c>
      <c r="C941" s="292" t="s">
        <v>13121</v>
      </c>
      <c r="D941" s="293" t="s">
        <v>13122</v>
      </c>
    </row>
    <row r="942" spans="1:4" ht="14.1" customHeight="1" x14ac:dyDescent="0.25">
      <c r="A942" s="292" t="s">
        <v>7484</v>
      </c>
      <c r="B942" s="293" t="s">
        <v>13123</v>
      </c>
      <c r="C942" s="292" t="s">
        <v>13124</v>
      </c>
      <c r="D942" s="293" t="s">
        <v>13125</v>
      </c>
    </row>
    <row r="943" spans="1:4" ht="14.1" customHeight="1" x14ac:dyDescent="0.25">
      <c r="A943" s="292" t="s">
        <v>7637</v>
      </c>
      <c r="B943" s="293" t="s">
        <v>13126</v>
      </c>
      <c r="C943" s="292" t="s">
        <v>13127</v>
      </c>
      <c r="D943" s="293" t="s">
        <v>13128</v>
      </c>
    </row>
    <row r="944" spans="1:4" ht="14.1" customHeight="1" x14ac:dyDescent="0.25">
      <c r="A944" s="292" t="s">
        <v>7637</v>
      </c>
      <c r="B944" s="293" t="s">
        <v>13126</v>
      </c>
      <c r="C944" s="292" t="s">
        <v>13129</v>
      </c>
      <c r="D944" s="293" t="s">
        <v>13130</v>
      </c>
    </row>
    <row r="945" spans="1:4" ht="14.1" customHeight="1" x14ac:dyDescent="0.25">
      <c r="A945" s="292" t="s">
        <v>7637</v>
      </c>
      <c r="B945" s="293" t="s">
        <v>13126</v>
      </c>
      <c r="C945" s="292" t="s">
        <v>13131</v>
      </c>
      <c r="D945" s="293" t="s">
        <v>13132</v>
      </c>
    </row>
    <row r="946" spans="1:4" ht="14.1" customHeight="1" x14ac:dyDescent="0.25">
      <c r="A946" s="292" t="s">
        <v>13133</v>
      </c>
      <c r="B946" s="293" t="s">
        <v>13134</v>
      </c>
      <c r="C946" s="292" t="s">
        <v>13135</v>
      </c>
      <c r="D946" s="293" t="s">
        <v>13136</v>
      </c>
    </row>
    <row r="947" spans="1:4" ht="14.1" customHeight="1" x14ac:dyDescent="0.25">
      <c r="A947" s="292" t="s">
        <v>13133</v>
      </c>
      <c r="B947" s="293" t="s">
        <v>13134</v>
      </c>
      <c r="C947" s="292" t="s">
        <v>13137</v>
      </c>
      <c r="D947" s="293" t="s">
        <v>13138</v>
      </c>
    </row>
    <row r="948" spans="1:4" ht="14.1" customHeight="1" x14ac:dyDescent="0.25">
      <c r="A948" s="292" t="s">
        <v>13133</v>
      </c>
      <c r="B948" s="293" t="s">
        <v>13134</v>
      </c>
      <c r="C948" s="292" t="s">
        <v>13139</v>
      </c>
      <c r="D948" s="293" t="s">
        <v>13140</v>
      </c>
    </row>
    <row r="949" spans="1:4" ht="14.1" customHeight="1" x14ac:dyDescent="0.25">
      <c r="A949" s="292" t="s">
        <v>13133</v>
      </c>
      <c r="B949" s="293" t="s">
        <v>13134</v>
      </c>
      <c r="C949" s="292" t="s">
        <v>13141</v>
      </c>
      <c r="D949" s="293" t="s">
        <v>13142</v>
      </c>
    </row>
    <row r="950" spans="1:4" ht="14.1" customHeight="1" x14ac:dyDescent="0.25">
      <c r="A950" s="292" t="s">
        <v>13133</v>
      </c>
      <c r="B950" s="293" t="s">
        <v>13134</v>
      </c>
      <c r="C950" s="292" t="s">
        <v>13143</v>
      </c>
      <c r="D950" s="293" t="s">
        <v>12188</v>
      </c>
    </row>
    <row r="951" spans="1:4" ht="14.1" customHeight="1" x14ac:dyDescent="0.25">
      <c r="A951" s="292" t="s">
        <v>13133</v>
      </c>
      <c r="B951" s="293" t="s">
        <v>13134</v>
      </c>
      <c r="C951" s="292" t="s">
        <v>13144</v>
      </c>
      <c r="D951" s="293" t="s">
        <v>13145</v>
      </c>
    </row>
    <row r="952" spans="1:4" ht="14.1" customHeight="1" x14ac:dyDescent="0.25">
      <c r="A952" s="292" t="s">
        <v>13133</v>
      </c>
      <c r="B952" s="293" t="s">
        <v>13134</v>
      </c>
      <c r="C952" s="292" t="s">
        <v>13146</v>
      </c>
      <c r="D952" s="293" t="s">
        <v>11376</v>
      </c>
    </row>
    <row r="953" spans="1:4" ht="14.1" customHeight="1" x14ac:dyDescent="0.25">
      <c r="A953" s="292" t="s">
        <v>13133</v>
      </c>
      <c r="B953" s="293" t="s">
        <v>13134</v>
      </c>
      <c r="C953" s="292" t="s">
        <v>13147</v>
      </c>
      <c r="D953" s="293" t="s">
        <v>13148</v>
      </c>
    </row>
    <row r="954" spans="1:4" ht="14.1" customHeight="1" x14ac:dyDescent="0.25">
      <c r="A954" s="292" t="s">
        <v>13133</v>
      </c>
      <c r="B954" s="293" t="s">
        <v>13134</v>
      </c>
      <c r="C954" s="292" t="s">
        <v>13149</v>
      </c>
      <c r="D954" s="293" t="s">
        <v>13150</v>
      </c>
    </row>
    <row r="955" spans="1:4" ht="14.1" customHeight="1" x14ac:dyDescent="0.25">
      <c r="A955" s="292" t="s">
        <v>13133</v>
      </c>
      <c r="B955" s="293" t="s">
        <v>13134</v>
      </c>
      <c r="C955" s="292" t="s">
        <v>13151</v>
      </c>
      <c r="D955" s="293" t="s">
        <v>13152</v>
      </c>
    </row>
    <row r="956" spans="1:4" ht="14.1" customHeight="1" x14ac:dyDescent="0.25">
      <c r="A956" s="292" t="s">
        <v>13133</v>
      </c>
      <c r="B956" s="293" t="s">
        <v>13134</v>
      </c>
      <c r="C956" s="292" t="s">
        <v>13153</v>
      </c>
      <c r="D956" s="293" t="s">
        <v>13154</v>
      </c>
    </row>
    <row r="957" spans="1:4" ht="14.1" customHeight="1" x14ac:dyDescent="0.25">
      <c r="A957" s="292" t="s">
        <v>13133</v>
      </c>
      <c r="B957" s="293" t="s">
        <v>13134</v>
      </c>
      <c r="C957" s="292" t="s">
        <v>13155</v>
      </c>
      <c r="D957" s="293" t="s">
        <v>13156</v>
      </c>
    </row>
    <row r="958" spans="1:4" ht="14.1" customHeight="1" x14ac:dyDescent="0.25">
      <c r="A958" s="292" t="s">
        <v>13133</v>
      </c>
      <c r="B958" s="293" t="s">
        <v>13134</v>
      </c>
      <c r="C958" s="292" t="s">
        <v>13157</v>
      </c>
      <c r="D958" s="293" t="s">
        <v>13158</v>
      </c>
    </row>
    <row r="959" spans="1:4" ht="14.1" customHeight="1" x14ac:dyDescent="0.25">
      <c r="A959" s="292" t="s">
        <v>13133</v>
      </c>
      <c r="B959" s="293" t="s">
        <v>13134</v>
      </c>
      <c r="C959" s="292" t="s">
        <v>13159</v>
      </c>
      <c r="D959" s="293" t="s">
        <v>13160</v>
      </c>
    </row>
    <row r="960" spans="1:4" ht="14.1" customHeight="1" x14ac:dyDescent="0.25">
      <c r="A960" s="292" t="s">
        <v>13133</v>
      </c>
      <c r="B960" s="293" t="s">
        <v>13134</v>
      </c>
      <c r="C960" s="292" t="s">
        <v>13161</v>
      </c>
      <c r="D960" s="293" t="s">
        <v>13162</v>
      </c>
    </row>
    <row r="961" spans="1:4" ht="14.1" customHeight="1" x14ac:dyDescent="0.25">
      <c r="A961" s="292" t="s">
        <v>13133</v>
      </c>
      <c r="B961" s="293" t="s">
        <v>13134</v>
      </c>
      <c r="C961" s="292" t="s">
        <v>13163</v>
      </c>
      <c r="D961" s="293" t="s">
        <v>13164</v>
      </c>
    </row>
    <row r="962" spans="1:4" ht="14.1" customHeight="1" x14ac:dyDescent="0.25">
      <c r="A962" s="292" t="s">
        <v>13133</v>
      </c>
      <c r="B962" s="293" t="s">
        <v>13134</v>
      </c>
      <c r="C962" s="292" t="s">
        <v>13165</v>
      </c>
      <c r="D962" s="293" t="s">
        <v>13166</v>
      </c>
    </row>
    <row r="963" spans="1:4" ht="14.1" customHeight="1" x14ac:dyDescent="0.25">
      <c r="A963" s="292" t="s">
        <v>13133</v>
      </c>
      <c r="B963" s="293" t="s">
        <v>13134</v>
      </c>
      <c r="C963" s="292" t="s">
        <v>13167</v>
      </c>
      <c r="D963" s="293" t="s">
        <v>13168</v>
      </c>
    </row>
    <row r="964" spans="1:4" ht="14.1" customHeight="1" x14ac:dyDescent="0.25">
      <c r="A964" s="292" t="s">
        <v>13133</v>
      </c>
      <c r="B964" s="293" t="s">
        <v>13134</v>
      </c>
      <c r="C964" s="292" t="s">
        <v>13169</v>
      </c>
      <c r="D964" s="293" t="s">
        <v>13170</v>
      </c>
    </row>
    <row r="965" spans="1:4" ht="14.1" customHeight="1" x14ac:dyDescent="0.25">
      <c r="A965" s="292" t="s">
        <v>13133</v>
      </c>
      <c r="B965" s="293" t="s">
        <v>13134</v>
      </c>
      <c r="C965" s="292" t="s">
        <v>13171</v>
      </c>
      <c r="D965" s="293" t="s">
        <v>13172</v>
      </c>
    </row>
    <row r="966" spans="1:4" ht="14.1" customHeight="1" x14ac:dyDescent="0.25">
      <c r="A966" s="292" t="s">
        <v>13133</v>
      </c>
      <c r="B966" s="293" t="s">
        <v>13134</v>
      </c>
      <c r="C966" s="292" t="s">
        <v>13173</v>
      </c>
      <c r="D966" s="293" t="s">
        <v>13174</v>
      </c>
    </row>
    <row r="967" spans="1:4" ht="14.1" customHeight="1" x14ac:dyDescent="0.25">
      <c r="A967" s="292" t="s">
        <v>13133</v>
      </c>
      <c r="B967" s="293" t="s">
        <v>13134</v>
      </c>
      <c r="C967" s="292" t="s">
        <v>13175</v>
      </c>
      <c r="D967" s="293" t="s">
        <v>13176</v>
      </c>
    </row>
    <row r="968" spans="1:4" ht="14.1" customHeight="1" x14ac:dyDescent="0.25">
      <c r="A968" s="292" t="s">
        <v>7605</v>
      </c>
      <c r="B968" s="293" t="s">
        <v>13177</v>
      </c>
      <c r="C968" s="292" t="s">
        <v>10769</v>
      </c>
      <c r="D968" s="293" t="s">
        <v>13178</v>
      </c>
    </row>
    <row r="969" spans="1:4" ht="14.1" customHeight="1" x14ac:dyDescent="0.25">
      <c r="A969" s="292" t="s">
        <v>7605</v>
      </c>
      <c r="B969" s="293" t="s">
        <v>13177</v>
      </c>
      <c r="C969" s="292" t="s">
        <v>13179</v>
      </c>
      <c r="D969" s="293" t="s">
        <v>13180</v>
      </c>
    </row>
    <row r="970" spans="1:4" ht="14.1" customHeight="1" x14ac:dyDescent="0.25">
      <c r="A970" s="292" t="s">
        <v>7605</v>
      </c>
      <c r="B970" s="293" t="s">
        <v>13177</v>
      </c>
      <c r="C970" s="292" t="s">
        <v>10599</v>
      </c>
      <c r="D970" s="293" t="s">
        <v>13181</v>
      </c>
    </row>
    <row r="971" spans="1:4" ht="14.1" customHeight="1" x14ac:dyDescent="0.25">
      <c r="A971" s="292" t="s">
        <v>13182</v>
      </c>
      <c r="B971" s="293" t="s">
        <v>13183</v>
      </c>
      <c r="C971" s="292" t="s">
        <v>13184</v>
      </c>
      <c r="D971" s="293" t="s">
        <v>13185</v>
      </c>
    </row>
    <row r="972" spans="1:4" ht="14.1" customHeight="1" x14ac:dyDescent="0.25">
      <c r="A972" s="292" t="s">
        <v>13182</v>
      </c>
      <c r="B972" s="293" t="s">
        <v>13183</v>
      </c>
      <c r="C972" s="292" t="s">
        <v>13186</v>
      </c>
      <c r="D972" s="293" t="s">
        <v>13187</v>
      </c>
    </row>
    <row r="973" spans="1:4" ht="14.1" customHeight="1" x14ac:dyDescent="0.25">
      <c r="A973" s="292" t="s">
        <v>13182</v>
      </c>
      <c r="B973" s="293" t="s">
        <v>13183</v>
      </c>
      <c r="C973" s="292" t="s">
        <v>13188</v>
      </c>
      <c r="D973" s="293" t="s">
        <v>13189</v>
      </c>
    </row>
    <row r="974" spans="1:4" ht="14.1" customHeight="1" x14ac:dyDescent="0.25">
      <c r="A974" s="292" t="s">
        <v>13182</v>
      </c>
      <c r="B974" s="293" t="s">
        <v>13183</v>
      </c>
      <c r="C974" s="292" t="s">
        <v>13190</v>
      </c>
      <c r="D974" s="293" t="s">
        <v>13191</v>
      </c>
    </row>
    <row r="975" spans="1:4" ht="14.1" customHeight="1" x14ac:dyDescent="0.25">
      <c r="A975" s="292" t="s">
        <v>13182</v>
      </c>
      <c r="B975" s="293" t="s">
        <v>13183</v>
      </c>
      <c r="C975" s="292" t="s">
        <v>13192</v>
      </c>
      <c r="D975" s="293" t="s">
        <v>13193</v>
      </c>
    </row>
    <row r="976" spans="1:4" ht="14.1" customHeight="1" x14ac:dyDescent="0.25">
      <c r="A976" s="335" t="s">
        <v>13182</v>
      </c>
      <c r="B976" s="293" t="s">
        <v>13183</v>
      </c>
      <c r="C976" s="333" t="s">
        <v>13537</v>
      </c>
      <c r="D976" s="334" t="s">
        <v>13536</v>
      </c>
    </row>
    <row r="977" spans="1:4" ht="14.1" customHeight="1" x14ac:dyDescent="0.25">
      <c r="A977" s="292" t="s">
        <v>13182</v>
      </c>
      <c r="B977" s="293" t="s">
        <v>13183</v>
      </c>
      <c r="C977" s="292" t="s">
        <v>13194</v>
      </c>
      <c r="D977" s="293" t="s">
        <v>13195</v>
      </c>
    </row>
    <row r="978" spans="1:4" ht="14.1" customHeight="1" x14ac:dyDescent="0.25">
      <c r="A978" s="292" t="s">
        <v>13182</v>
      </c>
      <c r="B978" s="293" t="s">
        <v>13183</v>
      </c>
      <c r="C978" s="292" t="s">
        <v>13196</v>
      </c>
      <c r="D978" s="293" t="s">
        <v>13197</v>
      </c>
    </row>
    <row r="979" spans="1:4" ht="14.1" customHeight="1" x14ac:dyDescent="0.25">
      <c r="A979" s="292" t="s">
        <v>13182</v>
      </c>
      <c r="B979" s="293" t="s">
        <v>13183</v>
      </c>
      <c r="C979" s="292" t="s">
        <v>13198</v>
      </c>
      <c r="D979" s="293" t="s">
        <v>13199</v>
      </c>
    </row>
    <row r="980" spans="1:4" ht="14.1" customHeight="1" x14ac:dyDescent="0.25">
      <c r="A980" s="292" t="s">
        <v>13182</v>
      </c>
      <c r="B980" s="293" t="s">
        <v>13183</v>
      </c>
      <c r="C980" s="292" t="s">
        <v>13200</v>
      </c>
      <c r="D980" s="293" t="s">
        <v>13201</v>
      </c>
    </row>
    <row r="981" spans="1:4" ht="14.1" customHeight="1" x14ac:dyDescent="0.25">
      <c r="A981" s="292" t="s">
        <v>13182</v>
      </c>
      <c r="B981" s="293" t="s">
        <v>13183</v>
      </c>
      <c r="C981" s="292" t="s">
        <v>13202</v>
      </c>
      <c r="D981" s="293" t="s">
        <v>13203</v>
      </c>
    </row>
    <row r="982" spans="1:4" ht="14.1" customHeight="1" x14ac:dyDescent="0.25">
      <c r="A982" s="292" t="s">
        <v>13182</v>
      </c>
      <c r="B982" s="293" t="s">
        <v>13183</v>
      </c>
      <c r="C982" s="292" t="s">
        <v>13204</v>
      </c>
      <c r="D982" s="293" t="s">
        <v>13363</v>
      </c>
    </row>
    <row r="983" spans="1:4" ht="14.1" customHeight="1" x14ac:dyDescent="0.25">
      <c r="A983" s="292" t="s">
        <v>13182</v>
      </c>
      <c r="B983" s="293" t="s">
        <v>13183</v>
      </c>
      <c r="C983" s="292" t="s">
        <v>13205</v>
      </c>
      <c r="D983" s="293" t="s">
        <v>13206</v>
      </c>
    </row>
    <row r="984" spans="1:4" ht="14.1" customHeight="1" x14ac:dyDescent="0.25">
      <c r="A984" s="292" t="s">
        <v>13182</v>
      </c>
      <c r="B984" s="293" t="s">
        <v>13183</v>
      </c>
      <c r="C984" s="292" t="s">
        <v>13207</v>
      </c>
      <c r="D984" s="293" t="s">
        <v>13208</v>
      </c>
    </row>
    <row r="985" spans="1:4" ht="14.1" customHeight="1" x14ac:dyDescent="0.25">
      <c r="A985" s="292" t="s">
        <v>13182</v>
      </c>
      <c r="B985" s="293" t="s">
        <v>13183</v>
      </c>
      <c r="C985" s="292" t="s">
        <v>13209</v>
      </c>
      <c r="D985" s="293" t="s">
        <v>13210</v>
      </c>
    </row>
    <row r="986" spans="1:4" ht="14.1" customHeight="1" x14ac:dyDescent="0.25">
      <c r="A986" s="335" t="s">
        <v>13182</v>
      </c>
      <c r="B986" s="293" t="s">
        <v>13183</v>
      </c>
      <c r="C986" s="333" t="s">
        <v>13538</v>
      </c>
      <c r="D986" s="334" t="s">
        <v>13539</v>
      </c>
    </row>
    <row r="987" spans="1:4" ht="14.1" customHeight="1" x14ac:dyDescent="0.25">
      <c r="A987" s="292" t="s">
        <v>13182</v>
      </c>
      <c r="B987" s="293" t="s">
        <v>13183</v>
      </c>
      <c r="C987" s="292" t="s">
        <v>13211</v>
      </c>
      <c r="D987" s="293" t="s">
        <v>13212</v>
      </c>
    </row>
    <row r="988" spans="1:4" ht="14.1" customHeight="1" x14ac:dyDescent="0.25">
      <c r="A988" s="292" t="s">
        <v>13213</v>
      </c>
      <c r="B988" s="293" t="s">
        <v>13214</v>
      </c>
      <c r="C988" s="292" t="s">
        <v>13215</v>
      </c>
      <c r="D988" s="293" t="s">
        <v>13216</v>
      </c>
    </row>
    <row r="989" spans="1:4" ht="14.1" customHeight="1" x14ac:dyDescent="0.25">
      <c r="A989" s="292" t="s">
        <v>13217</v>
      </c>
      <c r="B989" s="293" t="s">
        <v>13218</v>
      </c>
      <c r="C989" s="292" t="s">
        <v>13219</v>
      </c>
      <c r="D989" s="293" t="s">
        <v>13220</v>
      </c>
    </row>
    <row r="990" spans="1:4" ht="14.1" customHeight="1" x14ac:dyDescent="0.25">
      <c r="A990" s="292" t="s">
        <v>13221</v>
      </c>
      <c r="B990" s="293" t="s">
        <v>13222</v>
      </c>
      <c r="C990" s="292" t="s">
        <v>13223</v>
      </c>
      <c r="D990" s="293" t="s">
        <v>13224</v>
      </c>
    </row>
    <row r="991" spans="1:4" ht="14.1" customHeight="1" x14ac:dyDescent="0.25">
      <c r="A991" s="292" t="s">
        <v>13221</v>
      </c>
      <c r="B991" s="293" t="s">
        <v>13222</v>
      </c>
      <c r="C991" s="292" t="s">
        <v>13225</v>
      </c>
      <c r="D991" s="293" t="s">
        <v>13226</v>
      </c>
    </row>
    <row r="992" spans="1:4" ht="14.1" customHeight="1" x14ac:dyDescent="0.25">
      <c r="A992" s="292" t="s">
        <v>13221</v>
      </c>
      <c r="B992" s="293" t="s">
        <v>13222</v>
      </c>
      <c r="C992" s="292" t="s">
        <v>10587</v>
      </c>
      <c r="D992" s="293" t="s">
        <v>13227</v>
      </c>
    </row>
    <row r="993" spans="1:4" ht="14.1" customHeight="1" x14ac:dyDescent="0.25">
      <c r="A993" s="292" t="s">
        <v>13228</v>
      </c>
      <c r="B993" s="293" t="s">
        <v>13229</v>
      </c>
      <c r="C993" s="292" t="s">
        <v>13230</v>
      </c>
      <c r="D993" s="293" t="s">
        <v>13231</v>
      </c>
    </row>
    <row r="994" spans="1:4" ht="14.1" customHeight="1" x14ac:dyDescent="0.25">
      <c r="A994" s="292" t="s">
        <v>13228</v>
      </c>
      <c r="B994" s="293" t="s">
        <v>13229</v>
      </c>
      <c r="C994" s="292" t="s">
        <v>13232</v>
      </c>
      <c r="D994" s="293" t="s">
        <v>13233</v>
      </c>
    </row>
    <row r="995" spans="1:4" ht="14.1" customHeight="1" x14ac:dyDescent="0.25">
      <c r="A995" s="292" t="s">
        <v>13228</v>
      </c>
      <c r="B995" s="293" t="s">
        <v>13229</v>
      </c>
      <c r="C995" s="292" t="s">
        <v>13234</v>
      </c>
      <c r="D995" s="293" t="s">
        <v>13235</v>
      </c>
    </row>
    <row r="996" spans="1:4" ht="14.1" customHeight="1" x14ac:dyDescent="0.25">
      <c r="A996" s="292" t="s">
        <v>13228</v>
      </c>
      <c r="B996" s="293" t="s">
        <v>13229</v>
      </c>
      <c r="C996" s="292" t="s">
        <v>13236</v>
      </c>
      <c r="D996" s="293" t="s">
        <v>13237</v>
      </c>
    </row>
    <row r="997" spans="1:4" ht="14.1" customHeight="1" x14ac:dyDescent="0.25">
      <c r="A997" s="292" t="s">
        <v>13228</v>
      </c>
      <c r="B997" s="293" t="s">
        <v>13229</v>
      </c>
      <c r="C997" s="292" t="s">
        <v>13238</v>
      </c>
      <c r="D997" s="293" t="s">
        <v>13239</v>
      </c>
    </row>
    <row r="998" spans="1:4" ht="14.1" customHeight="1" x14ac:dyDescent="0.25">
      <c r="A998" s="292" t="s">
        <v>13228</v>
      </c>
      <c r="B998" s="293" t="s">
        <v>13229</v>
      </c>
      <c r="C998" s="292" t="s">
        <v>13240</v>
      </c>
      <c r="D998" s="293" t="s">
        <v>13241</v>
      </c>
    </row>
    <row r="999" spans="1:4" ht="14.1" customHeight="1" x14ac:dyDescent="0.25">
      <c r="A999" s="292" t="s">
        <v>13228</v>
      </c>
      <c r="B999" s="293" t="s">
        <v>13229</v>
      </c>
      <c r="C999" s="292" t="s">
        <v>13242</v>
      </c>
      <c r="D999" s="293" t="s">
        <v>13243</v>
      </c>
    </row>
    <row r="1000" spans="1:4" ht="14.1" customHeight="1" x14ac:dyDescent="0.25">
      <c r="A1000" s="292" t="s">
        <v>7558</v>
      </c>
      <c r="B1000" s="293" t="s">
        <v>13244</v>
      </c>
      <c r="C1000" s="292" t="s">
        <v>13245</v>
      </c>
      <c r="D1000" s="293" t="s">
        <v>13246</v>
      </c>
    </row>
    <row r="1001" spans="1:4" ht="14.1" customHeight="1" x14ac:dyDescent="0.25">
      <c r="A1001" s="292" t="s">
        <v>7558</v>
      </c>
      <c r="B1001" s="293" t="s">
        <v>13244</v>
      </c>
      <c r="C1001" s="292" t="s">
        <v>13247</v>
      </c>
      <c r="D1001" s="293" t="s">
        <v>13248</v>
      </c>
    </row>
    <row r="1002" spans="1:4" ht="14.1" customHeight="1" x14ac:dyDescent="0.25">
      <c r="A1002" s="292" t="s">
        <v>7558</v>
      </c>
      <c r="B1002" s="293" t="s">
        <v>13244</v>
      </c>
      <c r="C1002" s="292" t="s">
        <v>13249</v>
      </c>
      <c r="D1002" s="293" t="s">
        <v>13250</v>
      </c>
    </row>
    <row r="1003" spans="1:4" ht="14.1" customHeight="1" x14ac:dyDescent="0.25">
      <c r="A1003" s="292" t="s">
        <v>7558</v>
      </c>
      <c r="B1003" s="293" t="s">
        <v>13244</v>
      </c>
      <c r="C1003" s="292" t="s">
        <v>13251</v>
      </c>
      <c r="D1003" s="293" t="s">
        <v>13252</v>
      </c>
    </row>
    <row r="1004" spans="1:4" ht="14.1" customHeight="1" x14ac:dyDescent="0.25">
      <c r="A1004" s="292" t="s">
        <v>7558</v>
      </c>
      <c r="B1004" s="293" t="s">
        <v>13244</v>
      </c>
      <c r="C1004" s="292" t="s">
        <v>13253</v>
      </c>
      <c r="D1004" s="293" t="s">
        <v>13254</v>
      </c>
    </row>
    <row r="1005" spans="1:4" ht="14.1" customHeight="1" x14ac:dyDescent="0.25">
      <c r="A1005" s="292" t="s">
        <v>13255</v>
      </c>
      <c r="B1005" s="293" t="s">
        <v>13256</v>
      </c>
      <c r="C1005" s="292" t="s">
        <v>13257</v>
      </c>
      <c r="D1005" s="293" t="s">
        <v>13258</v>
      </c>
    </row>
    <row r="1006" spans="1:4" ht="14.1" customHeight="1" x14ac:dyDescent="0.25">
      <c r="A1006" s="292" t="s">
        <v>13255</v>
      </c>
      <c r="B1006" s="293" t="s">
        <v>13256</v>
      </c>
      <c r="C1006" s="292" t="s">
        <v>13259</v>
      </c>
      <c r="D1006" s="293" t="s">
        <v>13260</v>
      </c>
    </row>
    <row r="1007" spans="1:4" ht="14.1" customHeight="1" x14ac:dyDescent="0.25">
      <c r="A1007" s="292" t="s">
        <v>13255</v>
      </c>
      <c r="B1007" s="293" t="s">
        <v>13256</v>
      </c>
      <c r="C1007" s="292" t="s">
        <v>13261</v>
      </c>
      <c r="D1007" s="293" t="s">
        <v>13262</v>
      </c>
    </row>
    <row r="1008" spans="1:4" ht="14.1" customHeight="1" x14ac:dyDescent="0.25">
      <c r="A1008" s="292" t="s">
        <v>13255</v>
      </c>
      <c r="B1008" s="293" t="s">
        <v>13256</v>
      </c>
      <c r="C1008" s="292" t="s">
        <v>13263</v>
      </c>
      <c r="D1008" s="293" t="s">
        <v>13264</v>
      </c>
    </row>
    <row r="1009" spans="1:4" ht="14.1" customHeight="1" x14ac:dyDescent="0.25">
      <c r="A1009" s="292" t="s">
        <v>13255</v>
      </c>
      <c r="B1009" s="293" t="s">
        <v>13256</v>
      </c>
      <c r="C1009" s="292" t="s">
        <v>13265</v>
      </c>
      <c r="D1009" s="293" t="s">
        <v>13266</v>
      </c>
    </row>
    <row r="1010" spans="1:4" ht="14.1" customHeight="1" x14ac:dyDescent="0.25">
      <c r="A1010" s="292" t="s">
        <v>13255</v>
      </c>
      <c r="B1010" s="293" t="s">
        <v>13256</v>
      </c>
      <c r="C1010" s="292" t="s">
        <v>13267</v>
      </c>
      <c r="D1010" s="293" t="s">
        <v>13268</v>
      </c>
    </row>
    <row r="1011" spans="1:4" ht="14.1" customHeight="1" x14ac:dyDescent="0.25">
      <c r="A1011" s="292" t="s">
        <v>7588</v>
      </c>
      <c r="B1011" s="293" t="s">
        <v>13269</v>
      </c>
      <c r="C1011" s="292" t="s">
        <v>13270</v>
      </c>
      <c r="D1011" s="293" t="s">
        <v>13271</v>
      </c>
    </row>
    <row r="1012" spans="1:4" ht="14.1" customHeight="1" x14ac:dyDescent="0.25">
      <c r="A1012" s="292" t="s">
        <v>7588</v>
      </c>
      <c r="B1012" s="293" t="s">
        <v>13269</v>
      </c>
      <c r="C1012" s="292" t="s">
        <v>13272</v>
      </c>
      <c r="D1012" s="293" t="s">
        <v>13273</v>
      </c>
    </row>
    <row r="1013" spans="1:4" ht="14.1" customHeight="1" x14ac:dyDescent="0.25">
      <c r="A1013" s="292" t="s">
        <v>7588</v>
      </c>
      <c r="B1013" s="293" t="s">
        <v>13269</v>
      </c>
      <c r="C1013" s="292" t="s">
        <v>13274</v>
      </c>
      <c r="D1013" s="293" t="s">
        <v>13275</v>
      </c>
    </row>
    <row r="1014" spans="1:4" ht="14.1" customHeight="1" x14ac:dyDescent="0.25">
      <c r="A1014" s="292" t="s">
        <v>7588</v>
      </c>
      <c r="B1014" s="293" t="s">
        <v>13269</v>
      </c>
      <c r="C1014" s="292" t="s">
        <v>13276</v>
      </c>
      <c r="D1014" s="293" t="s">
        <v>13277</v>
      </c>
    </row>
    <row r="1015" spans="1:4" ht="14.1" customHeight="1" x14ac:dyDescent="0.25">
      <c r="A1015" s="292" t="s">
        <v>7588</v>
      </c>
      <c r="B1015" s="293" t="s">
        <v>13269</v>
      </c>
      <c r="C1015" s="292" t="s">
        <v>13278</v>
      </c>
      <c r="D1015" s="293" t="s">
        <v>13279</v>
      </c>
    </row>
    <row r="1016" spans="1:4" ht="14.1" customHeight="1" x14ac:dyDescent="0.25">
      <c r="A1016" s="292" t="s">
        <v>13280</v>
      </c>
      <c r="B1016" s="293" t="s">
        <v>13281</v>
      </c>
      <c r="C1016" s="292" t="s">
        <v>13282</v>
      </c>
      <c r="D1016" s="293" t="s">
        <v>13283</v>
      </c>
    </row>
    <row r="1017" spans="1:4" ht="14.1" customHeight="1" x14ac:dyDescent="0.25">
      <c r="A1017" s="292" t="s">
        <v>13280</v>
      </c>
      <c r="B1017" s="293" t="s">
        <v>13281</v>
      </c>
      <c r="C1017" s="292" t="s">
        <v>13284</v>
      </c>
      <c r="D1017" s="293" t="s">
        <v>13285</v>
      </c>
    </row>
    <row r="1018" spans="1:4" ht="14.1" customHeight="1" x14ac:dyDescent="0.25">
      <c r="A1018" s="292" t="s">
        <v>13280</v>
      </c>
      <c r="B1018" s="293" t="s">
        <v>13281</v>
      </c>
      <c r="C1018" s="292" t="s">
        <v>13286</v>
      </c>
      <c r="D1018" s="293" t="s">
        <v>13365</v>
      </c>
    </row>
    <row r="1019" spans="1:4" ht="14.1" customHeight="1" x14ac:dyDescent="0.25">
      <c r="A1019" s="292" t="s">
        <v>13280</v>
      </c>
      <c r="B1019" s="293" t="s">
        <v>13281</v>
      </c>
      <c r="C1019" s="292" t="s">
        <v>13287</v>
      </c>
      <c r="D1019" s="293" t="s">
        <v>13288</v>
      </c>
    </row>
    <row r="1020" spans="1:4" ht="14.1" customHeight="1" x14ac:dyDescent="0.25">
      <c r="A1020" s="292" t="s">
        <v>13289</v>
      </c>
      <c r="B1020" s="293" t="s">
        <v>13290</v>
      </c>
      <c r="C1020" s="292" t="s">
        <v>13291</v>
      </c>
      <c r="D1020" s="293" t="s">
        <v>13292</v>
      </c>
    </row>
    <row r="1021" spans="1:4" ht="14.1" customHeight="1" x14ac:dyDescent="0.25">
      <c r="A1021" s="292" t="s">
        <v>7638</v>
      </c>
      <c r="B1021" s="293" t="s">
        <v>13293</v>
      </c>
      <c r="C1021" s="292" t="s">
        <v>13294</v>
      </c>
      <c r="D1021" s="293" t="s">
        <v>13295</v>
      </c>
    </row>
    <row r="1022" spans="1:4" ht="14.1" customHeight="1" x14ac:dyDescent="0.25">
      <c r="A1022" s="292" t="s">
        <v>7638</v>
      </c>
      <c r="B1022" s="293" t="s">
        <v>13293</v>
      </c>
      <c r="C1022" s="292" t="s">
        <v>13296</v>
      </c>
      <c r="D1022" s="293" t="s">
        <v>13297</v>
      </c>
    </row>
    <row r="1023" spans="1:4" ht="14.1" customHeight="1" x14ac:dyDescent="0.25">
      <c r="A1023" s="292" t="s">
        <v>7638</v>
      </c>
      <c r="B1023" s="293" t="s">
        <v>13293</v>
      </c>
      <c r="C1023" s="292" t="s">
        <v>13298</v>
      </c>
      <c r="D1023" s="293" t="s">
        <v>13299</v>
      </c>
    </row>
    <row r="1024" spans="1:4" ht="14.1" customHeight="1" x14ac:dyDescent="0.25">
      <c r="A1024" s="292" t="s">
        <v>13300</v>
      </c>
      <c r="B1024" s="293" t="s">
        <v>13301</v>
      </c>
      <c r="C1024" s="292" t="s">
        <v>13302</v>
      </c>
      <c r="D1024" s="293" t="s">
        <v>13303</v>
      </c>
    </row>
    <row r="1025" spans="1:4" ht="14.1" customHeight="1" x14ac:dyDescent="0.25">
      <c r="A1025" s="292" t="s">
        <v>13300</v>
      </c>
      <c r="B1025" s="293" t="s">
        <v>13301</v>
      </c>
      <c r="C1025" s="292" t="s">
        <v>13304</v>
      </c>
      <c r="D1025" s="293" t="s">
        <v>11799</v>
      </c>
    </row>
    <row r="1026" spans="1:4" ht="14.1" customHeight="1" x14ac:dyDescent="0.25">
      <c r="A1026" s="292" t="s">
        <v>13300</v>
      </c>
      <c r="B1026" s="293" t="s">
        <v>13301</v>
      </c>
      <c r="C1026" s="292" t="s">
        <v>13305</v>
      </c>
      <c r="D1026" s="293" t="s">
        <v>13306</v>
      </c>
    </row>
    <row r="1027" spans="1:4" ht="14.1" customHeight="1" x14ac:dyDescent="0.25">
      <c r="A1027" s="292" t="s">
        <v>13300</v>
      </c>
      <c r="B1027" s="293" t="s">
        <v>13301</v>
      </c>
      <c r="C1027" s="292" t="s">
        <v>13307</v>
      </c>
      <c r="D1027" s="293" t="s">
        <v>13308</v>
      </c>
    </row>
    <row r="1028" spans="1:4" ht="14.1" customHeight="1" x14ac:dyDescent="0.25">
      <c r="A1028" s="292" t="s">
        <v>13300</v>
      </c>
      <c r="B1028" s="293" t="s">
        <v>13301</v>
      </c>
      <c r="C1028" s="292" t="s">
        <v>13309</v>
      </c>
      <c r="D1028" s="293" t="s">
        <v>13310</v>
      </c>
    </row>
    <row r="1029" spans="1:4" ht="14.1" customHeight="1" x14ac:dyDescent="0.25">
      <c r="A1029" s="292" t="s">
        <v>13300</v>
      </c>
      <c r="B1029" s="293" t="s">
        <v>13301</v>
      </c>
      <c r="C1029" s="292" t="s">
        <v>13311</v>
      </c>
      <c r="D1029" s="293" t="s">
        <v>13312</v>
      </c>
    </row>
    <row r="1030" spans="1:4" ht="14.1" customHeight="1" x14ac:dyDescent="0.25">
      <c r="A1030" s="335" t="s">
        <v>13300</v>
      </c>
      <c r="B1030" s="293" t="s">
        <v>13301</v>
      </c>
      <c r="C1030" s="333" t="s">
        <v>13523</v>
      </c>
      <c r="D1030" s="334" t="s">
        <v>13522</v>
      </c>
    </row>
    <row r="1031" spans="1:4" ht="14.1" customHeight="1" x14ac:dyDescent="0.25">
      <c r="A1031" s="292" t="s">
        <v>13313</v>
      </c>
      <c r="B1031" s="293" t="s">
        <v>13314</v>
      </c>
      <c r="C1031" s="292" t="s">
        <v>13315</v>
      </c>
      <c r="D1031" s="293" t="s">
        <v>13316</v>
      </c>
    </row>
    <row r="1032" spans="1:4" ht="14.1" customHeight="1" x14ac:dyDescent="0.25">
      <c r="C1032" s="120" t="s">
        <v>6609</v>
      </c>
      <c r="D1032" s="296" t="s">
        <v>13317</v>
      </c>
    </row>
    <row r="1033" spans="1:4" ht="14.1" customHeight="1" x14ac:dyDescent="0.25">
      <c r="C1033" s="120" t="s">
        <v>6634</v>
      </c>
      <c r="D1033" s="296" t="s">
        <v>13318</v>
      </c>
    </row>
    <row r="1034" spans="1:4" ht="14.1" customHeight="1" x14ac:dyDescent="0.25">
      <c r="C1034" s="120" t="s">
        <v>6630</v>
      </c>
      <c r="D1034" s="296" t="s">
        <v>13319</v>
      </c>
    </row>
    <row r="1035" spans="1:4" ht="14.1" customHeight="1" x14ac:dyDescent="0.25">
      <c r="C1035" s="120" t="s">
        <v>6620</v>
      </c>
      <c r="D1035" s="296" t="s">
        <v>13320</v>
      </c>
    </row>
    <row r="1036" spans="1:4" ht="14.1" customHeight="1" x14ac:dyDescent="0.25">
      <c r="C1036" s="120" t="s">
        <v>6636</v>
      </c>
      <c r="D1036" s="296" t="s">
        <v>13321</v>
      </c>
    </row>
    <row r="1037" spans="1:4" ht="14.1" customHeight="1" x14ac:dyDescent="0.25">
      <c r="C1037" s="120" t="s">
        <v>6612</v>
      </c>
      <c r="D1037" s="296" t="s">
        <v>13322</v>
      </c>
    </row>
    <row r="1038" spans="1:4" ht="14.1" customHeight="1" x14ac:dyDescent="0.25">
      <c r="C1038" s="120" t="s">
        <v>6624</v>
      </c>
      <c r="D1038" s="296" t="s">
        <v>13323</v>
      </c>
    </row>
    <row r="1039" spans="1:4" ht="14.1" customHeight="1" x14ac:dyDescent="0.25">
      <c r="C1039" s="120" t="s">
        <v>403</v>
      </c>
      <c r="D1039" s="296" t="s">
        <v>13324</v>
      </c>
    </row>
    <row r="1040" spans="1:4" ht="14.1" customHeight="1" x14ac:dyDescent="0.25">
      <c r="C1040" s="120" t="s">
        <v>6614</v>
      </c>
      <c r="D1040" s="296" t="s">
        <v>13325</v>
      </c>
    </row>
    <row r="1041" spans="3:4" ht="14.1" customHeight="1" x14ac:dyDescent="0.25">
      <c r="C1041" s="120" t="s">
        <v>6616</v>
      </c>
      <c r="D1041" s="296" t="s">
        <v>13326</v>
      </c>
    </row>
    <row r="1042" spans="3:4" ht="14.1" customHeight="1" x14ac:dyDescent="0.25">
      <c r="C1042" s="297" t="s">
        <v>13327</v>
      </c>
      <c r="D1042" s="298" t="s">
        <v>13328</v>
      </c>
    </row>
    <row r="1043" spans="3:4" ht="14.1" customHeight="1" x14ac:dyDescent="0.25">
      <c r="C1043" s="120" t="s">
        <v>6618</v>
      </c>
      <c r="D1043" s="296" t="s">
        <v>13329</v>
      </c>
    </row>
    <row r="1044" spans="3:4" ht="14.1" customHeight="1" x14ac:dyDescent="0.25">
      <c r="C1044" s="120" t="s">
        <v>6628</v>
      </c>
      <c r="D1044" s="296" t="s">
        <v>13330</v>
      </c>
    </row>
    <row r="1045" spans="3:4" ht="14.1" customHeight="1" x14ac:dyDescent="0.25">
      <c r="C1045" s="120" t="s">
        <v>6626</v>
      </c>
      <c r="D1045" s="296" t="s">
        <v>13331</v>
      </c>
    </row>
    <row r="1046" spans="3:4" ht="14.1" customHeight="1" x14ac:dyDescent="0.25">
      <c r="C1046" s="120" t="s">
        <v>6632</v>
      </c>
      <c r="D1046" s="296" t="s">
        <v>13332</v>
      </c>
    </row>
    <row r="1047" spans="3:4" ht="14.1" customHeight="1" x14ac:dyDescent="0.25">
      <c r="C1047" s="120" t="s">
        <v>6622</v>
      </c>
      <c r="D1047" s="296" t="s">
        <v>13333</v>
      </c>
    </row>
  </sheetData>
  <autoFilter ref="A1:D1047" xr:uid="{00000000-0001-0000-0800-000000000000}"/>
  <sortState xmlns:xlrd2="http://schemas.microsoft.com/office/spreadsheetml/2017/richdata2" ref="A2:D1047">
    <sortCondition ref="B2:B1047"/>
    <sortCondition ref="D2:D1047"/>
  </sortState>
  <phoneticPr fontId="6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zoomScaleNormal="100" workbookViewId="0">
      <pane ySplit="1" topLeftCell="A2" activePane="bottomLeft" state="frozen"/>
      <selection pane="bottomLeft"/>
    </sheetView>
  </sheetViews>
  <sheetFormatPr defaultColWidth="9.21875" defaultRowHeight="13.5" customHeight="1" x14ac:dyDescent="0.25"/>
  <cols>
    <col min="1" max="1" width="12.21875" style="127" bestFit="1" customWidth="1"/>
    <col min="2" max="2" width="1.77734375" style="126" customWidth="1"/>
    <col min="3" max="3" width="14" style="205" bestFit="1" customWidth="1"/>
    <col min="4" max="4" width="1.77734375" style="206" customWidth="1"/>
    <col min="5" max="5" width="23.21875" style="207" bestFit="1" customWidth="1"/>
    <col min="6" max="6" width="1.77734375" style="206" customWidth="1"/>
    <col min="7" max="7" width="7.21875" style="198" bestFit="1" customWidth="1"/>
    <col min="8" max="8" width="1.77734375" style="206" customWidth="1"/>
    <col min="9" max="9" width="23.44140625" style="125" customWidth="1"/>
    <col min="10" max="10" width="1.77734375" style="208" customWidth="1"/>
    <col min="11" max="11" width="39.44140625" style="209" bestFit="1" customWidth="1"/>
    <col min="12" max="12" width="1.77734375" style="208" customWidth="1"/>
    <col min="13" max="13" width="45.77734375" style="110" customWidth="1"/>
    <col min="14" max="16384" width="9.21875" style="58"/>
  </cols>
  <sheetData>
    <row r="1" spans="1:13" s="124" customFormat="1" ht="12.75" customHeight="1" x14ac:dyDescent="0.25">
      <c r="A1" s="121" t="s">
        <v>13334</v>
      </c>
      <c r="B1" s="122"/>
      <c r="C1" s="199" t="s">
        <v>13335</v>
      </c>
      <c r="D1" s="200"/>
      <c r="E1" s="201" t="s">
        <v>13336</v>
      </c>
      <c r="F1" s="200"/>
      <c r="G1" s="196" t="s">
        <v>13337</v>
      </c>
      <c r="H1" s="200"/>
      <c r="I1" s="123" t="s">
        <v>13338</v>
      </c>
      <c r="J1" s="202"/>
      <c r="K1" s="202" t="s">
        <v>13339</v>
      </c>
      <c r="L1" s="202"/>
      <c r="M1" s="202" t="s">
        <v>13340</v>
      </c>
    </row>
    <row r="2" spans="1:13" ht="13.5" customHeight="1" x14ac:dyDescent="0.25">
      <c r="B2" s="127"/>
      <c r="C2" s="203"/>
      <c r="D2" s="203"/>
      <c r="E2" s="203"/>
      <c r="F2" s="203"/>
      <c r="G2" s="197"/>
      <c r="H2" s="203"/>
      <c r="I2" s="203"/>
      <c r="J2" s="204"/>
      <c r="K2" s="204"/>
      <c r="L2" s="204"/>
      <c r="M2" s="204"/>
    </row>
    <row r="3" spans="1:13" ht="13.5" customHeight="1" x14ac:dyDescent="0.25">
      <c r="B3" s="127"/>
      <c r="C3" s="203"/>
      <c r="D3" s="203"/>
      <c r="E3" s="203"/>
      <c r="F3" s="203"/>
      <c r="G3" s="197"/>
      <c r="H3" s="203"/>
      <c r="I3" s="203"/>
      <c r="J3" s="204"/>
      <c r="K3" s="204"/>
      <c r="L3" s="204"/>
      <c r="M3" s="204"/>
    </row>
    <row r="4" spans="1:13" ht="13.5" customHeight="1" x14ac:dyDescent="0.25">
      <c r="B4" s="127"/>
      <c r="C4" s="203"/>
      <c r="D4" s="203"/>
      <c r="E4" s="203"/>
      <c r="F4" s="203"/>
      <c r="G4" s="197"/>
      <c r="H4" s="203"/>
      <c r="I4" s="197"/>
      <c r="J4" s="204"/>
      <c r="K4" s="204"/>
      <c r="L4" s="204"/>
      <c r="M4" s="204"/>
    </row>
    <row r="5" spans="1:13" ht="13.5" customHeight="1" x14ac:dyDescent="0.25">
      <c r="B5" s="127"/>
      <c r="C5" s="203"/>
      <c r="D5" s="203"/>
      <c r="E5" s="203"/>
      <c r="F5" s="203"/>
      <c r="G5" s="197"/>
      <c r="H5" s="203"/>
      <c r="I5" s="203"/>
      <c r="J5" s="204"/>
      <c r="K5" s="204"/>
      <c r="L5" s="204"/>
      <c r="M5" s="204"/>
    </row>
    <row r="6" spans="1:13" ht="13.5" customHeight="1" x14ac:dyDescent="0.25">
      <c r="B6" s="127"/>
      <c r="C6" s="203"/>
      <c r="D6" s="203"/>
      <c r="E6" s="203"/>
      <c r="F6" s="203"/>
      <c r="G6" s="197"/>
      <c r="H6" s="203"/>
      <c r="I6" s="203"/>
      <c r="J6" s="204"/>
      <c r="K6" s="204"/>
      <c r="L6" s="204"/>
      <c r="M6" s="204"/>
    </row>
    <row r="7" spans="1:13" ht="13.5" customHeight="1" x14ac:dyDescent="0.25">
      <c r="B7" s="127"/>
      <c r="C7" s="203"/>
      <c r="D7" s="203"/>
      <c r="E7" s="203"/>
      <c r="F7" s="203"/>
      <c r="G7" s="197"/>
      <c r="H7" s="203"/>
      <c r="I7" s="203"/>
      <c r="J7" s="204"/>
      <c r="K7" s="204"/>
      <c r="L7" s="204"/>
      <c r="M7" s="204"/>
    </row>
    <row r="8" spans="1:13" ht="13.5" customHeight="1" x14ac:dyDescent="0.25">
      <c r="B8" s="127"/>
      <c r="C8" s="203"/>
      <c r="D8" s="203"/>
      <c r="E8" s="203"/>
      <c r="F8" s="203"/>
      <c r="G8" s="197"/>
      <c r="H8" s="203"/>
      <c r="I8" s="203"/>
      <c r="J8" s="204"/>
      <c r="K8" s="204"/>
      <c r="L8" s="204"/>
      <c r="M8" s="204"/>
    </row>
    <row r="9" spans="1:13" ht="13.5" customHeight="1" x14ac:dyDescent="0.25">
      <c r="B9" s="127"/>
      <c r="C9" s="203"/>
      <c r="D9" s="203"/>
      <c r="E9" s="203"/>
      <c r="F9" s="203"/>
      <c r="G9" s="197"/>
      <c r="H9" s="203"/>
      <c r="I9" s="203"/>
      <c r="J9" s="204"/>
      <c r="K9" s="204"/>
      <c r="L9" s="204"/>
      <c r="M9" s="204"/>
    </row>
    <row r="10" spans="1:13" ht="13.5" customHeight="1" x14ac:dyDescent="0.25">
      <c r="B10" s="127"/>
      <c r="C10" s="203"/>
      <c r="D10" s="203"/>
      <c r="E10" s="203"/>
      <c r="F10" s="203"/>
      <c r="G10" s="197"/>
      <c r="H10" s="203"/>
      <c r="I10" s="203"/>
      <c r="J10" s="204"/>
      <c r="K10" s="204"/>
      <c r="L10" s="204"/>
      <c r="M10" s="204"/>
    </row>
    <row r="11" spans="1:13" ht="13.5" customHeight="1" x14ac:dyDescent="0.25">
      <c r="E11" s="203"/>
      <c r="K11" s="204"/>
      <c r="M11" s="204"/>
    </row>
    <row r="12" spans="1:13" ht="13.5" customHeight="1" x14ac:dyDescent="0.25">
      <c r="E12" s="203"/>
      <c r="I12" s="203"/>
      <c r="K12" s="204"/>
      <c r="M12" s="204"/>
    </row>
    <row r="13" spans="1:13" ht="13.5" customHeight="1" x14ac:dyDescent="0.25">
      <c r="E13" s="203"/>
      <c r="I13" s="203"/>
      <c r="K13" s="204"/>
      <c r="M13" s="204"/>
    </row>
    <row r="14" spans="1:13" ht="13.5" customHeight="1" x14ac:dyDescent="0.25">
      <c r="B14" s="127"/>
      <c r="C14" s="203"/>
      <c r="D14" s="203"/>
      <c r="E14" s="203"/>
      <c r="F14" s="203"/>
      <c r="G14" s="197"/>
      <c r="H14" s="203"/>
      <c r="I14" s="203"/>
      <c r="J14" s="204"/>
      <c r="K14" s="204"/>
      <c r="L14" s="204"/>
      <c r="M14" s="204"/>
    </row>
    <row r="15" spans="1:13" ht="13.5" customHeight="1" x14ac:dyDescent="0.25">
      <c r="B15" s="127"/>
      <c r="C15" s="203"/>
      <c r="D15" s="203"/>
      <c r="E15" s="203"/>
      <c r="F15" s="203"/>
      <c r="G15" s="197"/>
      <c r="H15" s="203"/>
      <c r="I15" s="203"/>
      <c r="J15" s="204"/>
      <c r="K15" s="204"/>
      <c r="L15" s="204"/>
      <c r="M15" s="204"/>
    </row>
    <row r="16" spans="1:13" ht="13.5" customHeight="1" x14ac:dyDescent="0.25">
      <c r="B16" s="127"/>
      <c r="C16" s="203"/>
      <c r="D16" s="203"/>
      <c r="E16" s="203"/>
      <c r="F16" s="203"/>
      <c r="G16" s="197"/>
      <c r="H16" s="203"/>
      <c r="I16" s="203"/>
      <c r="J16" s="204"/>
      <c r="K16" s="204"/>
      <c r="L16" s="204"/>
      <c r="M16" s="204"/>
    </row>
    <row r="17" spans="2:13" ht="13.5" customHeight="1" x14ac:dyDescent="0.25">
      <c r="B17" s="127"/>
      <c r="C17" s="203"/>
      <c r="D17" s="203"/>
      <c r="E17" s="203"/>
      <c r="F17" s="203"/>
      <c r="G17" s="197"/>
      <c r="H17" s="203"/>
      <c r="I17" s="203"/>
      <c r="J17" s="204"/>
      <c r="K17" s="204"/>
      <c r="L17" s="204"/>
      <c r="M17" s="204"/>
    </row>
    <row r="18" spans="2:13" ht="13.5" customHeight="1" x14ac:dyDescent="0.25">
      <c r="E18" s="203"/>
      <c r="G18" s="197"/>
      <c r="I18" s="203"/>
      <c r="K18" s="204"/>
      <c r="M18" s="204"/>
    </row>
    <row r="19" spans="2:13" ht="13.2" customHeight="1" x14ac:dyDescent="0.25">
      <c r="I19" s="203"/>
      <c r="K19" s="204"/>
      <c r="L19" s="204"/>
      <c r="M19" s="204"/>
    </row>
    <row r="20" spans="2:13" ht="13.2" customHeight="1" x14ac:dyDescent="0.25">
      <c r="I20" s="203"/>
      <c r="K20" s="204"/>
      <c r="L20" s="204"/>
      <c r="M20" s="204"/>
    </row>
    <row r="21" spans="2:13" ht="13.2" customHeight="1" x14ac:dyDescent="0.25">
      <c r="I21" s="203"/>
      <c r="K21" s="204"/>
      <c r="L21" s="204"/>
      <c r="M21" s="204"/>
    </row>
    <row r="22" spans="2:13" ht="13.2" customHeight="1" x14ac:dyDescent="0.25">
      <c r="I22" s="203"/>
      <c r="K22" s="204"/>
      <c r="L22" s="204"/>
      <c r="M22" s="204"/>
    </row>
    <row r="23" spans="2:13" ht="13.2" customHeight="1" x14ac:dyDescent="0.25">
      <c r="I23" s="203"/>
      <c r="K23" s="204"/>
      <c r="L23" s="204"/>
      <c r="M23" s="204"/>
    </row>
    <row r="24" spans="2:13" ht="13.2" customHeight="1" x14ac:dyDescent="0.25">
      <c r="I24" s="203"/>
      <c r="K24" s="204"/>
      <c r="L24" s="204"/>
      <c r="M24" s="204"/>
    </row>
    <row r="25" spans="2:13" ht="13.2" customHeight="1" x14ac:dyDescent="0.25">
      <c r="I25" s="203"/>
      <c r="K25" s="204"/>
      <c r="L25" s="204"/>
      <c r="M25" s="204"/>
    </row>
    <row r="26" spans="2:13" ht="13.5" customHeight="1" x14ac:dyDescent="0.25">
      <c r="B26" s="127"/>
      <c r="C26" s="203"/>
      <c r="D26" s="203"/>
      <c r="E26" s="203"/>
      <c r="F26" s="203"/>
      <c r="G26" s="197"/>
      <c r="H26" s="203"/>
      <c r="I26" s="203"/>
      <c r="J26" s="204"/>
      <c r="K26" s="204"/>
      <c r="L26" s="204"/>
      <c r="M26" s="204"/>
    </row>
    <row r="27" spans="2:13" ht="13.5" customHeight="1" x14ac:dyDescent="0.25">
      <c r="B27" s="127"/>
      <c r="C27" s="203"/>
      <c r="D27" s="203"/>
      <c r="E27" s="203"/>
      <c r="F27" s="203"/>
      <c r="G27" s="197"/>
      <c r="H27" s="203"/>
      <c r="I27" s="203"/>
      <c r="J27" s="204"/>
      <c r="K27" s="204"/>
      <c r="L27" s="204"/>
      <c r="M27" s="204"/>
    </row>
  </sheetData>
  <phoneticPr fontId="6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9b41a5-8c21-4153-a635-91ffb21398f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7DDF44D52BDC459014C9273E2B9B58" ma:contentTypeVersion="14" ma:contentTypeDescription="Create a new document." ma:contentTypeScope="" ma:versionID="42017ef3193bde9bd52887e1d81ca0e2">
  <xsd:schema xmlns:xsd="http://www.w3.org/2001/XMLSchema" xmlns:xs="http://www.w3.org/2001/XMLSchema" xmlns:p="http://schemas.microsoft.com/office/2006/metadata/properties" xmlns:ns2="ac9b41a5-8c21-4153-a635-91ffb21398fd" xmlns:ns3="a2d793a7-d9ad-4f48-9951-5cfa57685b91" targetNamespace="http://schemas.microsoft.com/office/2006/metadata/properties" ma:root="true" ma:fieldsID="992196ac214ee8261bb9df8bf59c612c" ns2:_="" ns3:_="">
    <xsd:import namespace="ac9b41a5-8c21-4153-a635-91ffb21398fd"/>
    <xsd:import namespace="a2d793a7-d9ad-4f48-9951-5cfa57685b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b41a5-8c21-4153-a635-91ffb2139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93a56bb-598c-4665-8db4-1c64969b827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793a7-d9ad-4f48-9951-5cfa57685b9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D81D2-DC4F-4CB5-80F8-413181F2E911}">
  <ds:schemaRefs>
    <ds:schemaRef ds:uri="http://schemas.microsoft.com/DataMashup"/>
  </ds:schemaRefs>
</ds:datastoreItem>
</file>

<file path=customXml/itemProps2.xml><?xml version="1.0" encoding="utf-8"?>
<ds:datastoreItem xmlns:ds="http://schemas.openxmlformats.org/officeDocument/2006/customXml" ds:itemID="{61213A89-262A-43BC-8653-54B89F3F49CD}">
  <ds:schemaRefs>
    <ds:schemaRef ds:uri="http://schemas.microsoft.com/office/2006/metadata/properties"/>
    <ds:schemaRef ds:uri="http://schemas.microsoft.com/office/infopath/2007/PartnerControls"/>
    <ds:schemaRef ds:uri="ac9b41a5-8c21-4153-a635-91ffb21398fd"/>
  </ds:schemaRefs>
</ds:datastoreItem>
</file>

<file path=customXml/itemProps3.xml><?xml version="1.0" encoding="utf-8"?>
<ds:datastoreItem xmlns:ds="http://schemas.openxmlformats.org/officeDocument/2006/customXml" ds:itemID="{1CEECA61-A662-489E-B30E-92343DF29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b41a5-8c21-4153-a635-91ffb21398fd"/>
    <ds:schemaRef ds:uri="a2d793a7-d9ad-4f48-9951-5cfa57685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661B04-BD97-453A-9876-6D2D4D2728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88</vt:i4>
      </vt:variant>
    </vt:vector>
  </HeadingPairs>
  <TitlesOfParts>
    <vt:vector size="97" baseType="lpstr">
      <vt:lpstr>Table of Contents</vt:lpstr>
      <vt:lpstr>Items Document Map</vt:lpstr>
      <vt:lpstr>Items Details</vt:lpstr>
      <vt:lpstr>Option Sets Map</vt:lpstr>
      <vt:lpstr>Option Sets Details</vt:lpstr>
      <vt:lpstr>Assignment_Endorsements</vt:lpstr>
      <vt:lpstr>Assignment Codes</vt:lpstr>
      <vt:lpstr>Districts and Schools</vt:lpstr>
      <vt:lpstr>Changes (after July)</vt:lpstr>
      <vt:lpstr>Absence_Reason</vt:lpstr>
      <vt:lpstr>Account_Code</vt:lpstr>
      <vt:lpstr>Address_Type</vt:lpstr>
      <vt:lpstr>Annual_School_Finance</vt:lpstr>
      <vt:lpstr>AssignmentCourse_Codes</vt:lpstr>
      <vt:lpstr>Border_Student</vt:lpstr>
      <vt:lpstr>Calendar_Type</vt:lpstr>
      <vt:lpstr>CIP_Codes</vt:lpstr>
      <vt:lpstr>College_Credit</vt:lpstr>
      <vt:lpstr>Content_Grade_Level</vt:lpstr>
      <vt:lpstr>Contract_Number</vt:lpstr>
      <vt:lpstr>Contract_Type</vt:lpstr>
      <vt:lpstr>Country</vt:lpstr>
      <vt:lpstr>Course_Exit_Reason</vt:lpstr>
      <vt:lpstr>Course_Type</vt:lpstr>
      <vt:lpstr>Day_Type</vt:lpstr>
      <vt:lpstr>Disciplinary_Action_Type</vt:lpstr>
      <vt:lpstr>Disciplinary_Actions</vt:lpstr>
      <vt:lpstr>District_Calendars</vt:lpstr>
      <vt:lpstr>Districts</vt:lpstr>
      <vt:lpstr>Early_Childhood_Determination</vt:lpstr>
      <vt:lpstr>Early_Childhood_Eligibility_Decision</vt:lpstr>
      <vt:lpstr>Early_Childhood_Refering_Agency</vt:lpstr>
      <vt:lpstr>Education_Degree</vt:lpstr>
      <vt:lpstr>Employment_Status</vt:lpstr>
      <vt:lpstr>Entry_Reasons</vt:lpstr>
      <vt:lpstr>Exceptionality</vt:lpstr>
      <vt:lpstr>Exit_Reasons</vt:lpstr>
      <vt:lpstr>Extra_Pay_Type</vt:lpstr>
      <vt:lpstr>Facility_Type</vt:lpstr>
      <vt:lpstr>FinancialTransparencyAccountCodes</vt:lpstr>
      <vt:lpstr>Fiscal_Transparency</vt:lpstr>
      <vt:lpstr>Function_Code</vt:lpstr>
      <vt:lpstr>Fund_Number</vt:lpstr>
      <vt:lpstr>Funding_Source</vt:lpstr>
      <vt:lpstr>Gender</vt:lpstr>
      <vt:lpstr>Gifted_Exit_Reason</vt:lpstr>
      <vt:lpstr>Gifted_Students</vt:lpstr>
      <vt:lpstr>Grade_Level</vt:lpstr>
      <vt:lpstr>Higher_Ed_Institutions</vt:lpstr>
      <vt:lpstr>Homeless_Residence</vt:lpstr>
      <vt:lpstr>Idaho_Counties</vt:lpstr>
      <vt:lpstr>Idaho_Regions</vt:lpstr>
      <vt:lpstr>IDEA_Interim_Removal_Reason</vt:lpstr>
      <vt:lpstr>Improvement_Status</vt:lpstr>
      <vt:lpstr>Instructional_Setting</vt:lpstr>
      <vt:lpstr>Kindergarten_Session_Type</vt:lpstr>
      <vt:lpstr>Languages</vt:lpstr>
      <vt:lpstr>Lunch_Status</vt:lpstr>
      <vt:lpstr>Master_Course_Schedule</vt:lpstr>
      <vt:lpstr>Membership_Type</vt:lpstr>
      <vt:lpstr>Migrant_Program_Type</vt:lpstr>
      <vt:lpstr>Military_Connection</vt:lpstr>
      <vt:lpstr>Modified_Duration_Reason</vt:lpstr>
      <vt:lpstr>Object_Code</vt:lpstr>
      <vt:lpstr>Open_Enrollment</vt:lpstr>
      <vt:lpstr>Open_Enrollment_GradeLevel</vt:lpstr>
      <vt:lpstr>Open_Enrollment_Program_Type</vt:lpstr>
      <vt:lpstr>Parapro_High_School_Degree</vt:lpstr>
      <vt:lpstr>Parapro_Type</vt:lpstr>
      <vt:lpstr>Person_Addresses</vt:lpstr>
      <vt:lpstr>PH_School</vt:lpstr>
      <vt:lpstr>Phone_Type</vt:lpstr>
      <vt:lpstr>Program_Contact_Role</vt:lpstr>
      <vt:lpstr>Program_Contacts</vt:lpstr>
      <vt:lpstr>Program_Exit_Reason</vt:lpstr>
      <vt:lpstr>Program_Status_GT</vt:lpstr>
      <vt:lpstr>Program_Status_SE</vt:lpstr>
      <vt:lpstr>Record_Type_ASF</vt:lpstr>
      <vt:lpstr>Record_Type_FTR</vt:lpstr>
      <vt:lpstr>Schools</vt:lpstr>
      <vt:lpstr>Special_Ed_Determination_late</vt:lpstr>
      <vt:lpstr>Special_Ed_Eligibility</vt:lpstr>
      <vt:lpstr>Special_Ed_Environment</vt:lpstr>
      <vt:lpstr>Special_Education_Students</vt:lpstr>
      <vt:lpstr>Staff_Assignments</vt:lpstr>
      <vt:lpstr>Staff_Demographics</vt:lpstr>
      <vt:lpstr>Staff_Exit_Reason</vt:lpstr>
      <vt:lpstr>State_Exception_Rule</vt:lpstr>
      <vt:lpstr>State_Province</vt:lpstr>
      <vt:lpstr>Student_Attendance</vt:lpstr>
      <vt:lpstr>Student_Course_Enrollment</vt:lpstr>
      <vt:lpstr>Student_Demographics</vt:lpstr>
      <vt:lpstr>Teaching_Role</vt:lpstr>
      <vt:lpstr>Undetermined_Reason</vt:lpstr>
      <vt:lpstr>Weapon_Type</vt:lpstr>
      <vt:lpstr>Yes_No</vt:lpstr>
      <vt:lpstr>Yes_No_NA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2012-05-31T14:56:14Z</dcterms:created>
  <dcterms:modified xsi:type="dcterms:W3CDTF">2025-06-26T17:32:11Z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0x0101003C7DDF44D52BDC459014C9273E2B9B58</vt:lpwstr>
  </property>
  <property fmtid="{D5CDD505-2E9C-101B-9397-08002B2CF9AE}" pid="3" name="MediaServiceImageTags">
    <vt:lpwstr/>
  </property>
</Properties>
</file>