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https://idahogov-my.sharepoint.com/personal/ccollins_ics_idaho_gov/Documents/Regulatory Reporting/OSBE/PSR/"/>
    </mc:Choice>
  </mc:AlternateContent>
  <xr:revisionPtr revIDLastSave="0" documentId="8_{E75A327A-00CA-4781-8AF9-95967296CC61}" xr6:coauthVersionLast="47" xr6:coauthVersionMax="47" xr10:uidLastSave="{00000000-0000-0000-0000-000000000000}"/>
  <bookViews>
    <workbookView xWindow="2304" yWindow="2304" windowWidth="27000" windowHeight="17244" xr2:uid="{00000000-000D-0000-FFFF-FFFF00000000}"/>
  </bookViews>
  <sheets>
    <sheet name="Report" sheetId="1" r:id="rId1"/>
    <sheet name="Definitions" sheetId="2" r:id="rId2"/>
    <sheet name="CIPCode2020"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5" l="1"/>
  <c r="B2" i="5"/>
  <c r="A3" i="5"/>
  <c r="B3" i="5"/>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5" i="5"/>
  <c r="B135" i="5"/>
  <c r="A136" i="5"/>
  <c r="B136"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151" i="5"/>
  <c r="B151" i="5"/>
  <c r="A152" i="5"/>
  <c r="B152" i="5"/>
  <c r="A153" i="5"/>
  <c r="B153" i="5"/>
  <c r="A154" i="5"/>
  <c r="B154" i="5"/>
  <c r="A155" i="5"/>
  <c r="B155" i="5"/>
  <c r="A156" i="5"/>
  <c r="B156" i="5"/>
  <c r="A157" i="5"/>
  <c r="B157" i="5"/>
  <c r="A158" i="5"/>
  <c r="B158" i="5"/>
  <c r="A159" i="5"/>
  <c r="B159" i="5"/>
  <c r="A160" i="5"/>
  <c r="B160" i="5"/>
  <c r="A161" i="5"/>
  <c r="B161" i="5"/>
  <c r="A162" i="5"/>
  <c r="B162" i="5"/>
  <c r="A163" i="5"/>
  <c r="B163" i="5"/>
  <c r="A164" i="5"/>
  <c r="B164" i="5"/>
  <c r="A165" i="5"/>
  <c r="B165" i="5"/>
  <c r="A166" i="5"/>
  <c r="B166" i="5"/>
  <c r="A167" i="5"/>
  <c r="B167" i="5"/>
  <c r="A168" i="5"/>
  <c r="B168" i="5"/>
  <c r="A169" i="5"/>
  <c r="B169" i="5"/>
  <c r="A170" i="5"/>
  <c r="B170" i="5"/>
  <c r="A171" i="5"/>
  <c r="B171" i="5"/>
  <c r="A172" i="5"/>
  <c r="B172" i="5"/>
  <c r="A173" i="5"/>
  <c r="B173" i="5"/>
  <c r="A174" i="5"/>
  <c r="B174" i="5"/>
  <c r="A175" i="5"/>
  <c r="B175" i="5"/>
  <c r="A176" i="5"/>
  <c r="B176" i="5"/>
  <c r="A177" i="5"/>
  <c r="B177" i="5"/>
  <c r="A178" i="5"/>
  <c r="B178" i="5"/>
  <c r="A179" i="5"/>
  <c r="B179" i="5"/>
  <c r="A180" i="5"/>
  <c r="B180" i="5"/>
  <c r="A181" i="5"/>
  <c r="B181" i="5"/>
  <c r="A182" i="5"/>
  <c r="B182" i="5"/>
  <c r="A183" i="5"/>
  <c r="B183" i="5"/>
  <c r="A184" i="5"/>
  <c r="B184" i="5"/>
  <c r="A185" i="5"/>
  <c r="B185" i="5"/>
  <c r="A186" i="5"/>
  <c r="B186" i="5"/>
  <c r="A187" i="5"/>
  <c r="B187" i="5"/>
  <c r="A188" i="5"/>
  <c r="B188" i="5"/>
  <c r="A189" i="5"/>
  <c r="B189" i="5"/>
  <c r="A190" i="5"/>
  <c r="B190" i="5"/>
  <c r="A191" i="5"/>
  <c r="B191" i="5"/>
  <c r="A192" i="5"/>
  <c r="B192" i="5"/>
  <c r="A193" i="5"/>
  <c r="B193" i="5"/>
  <c r="A194" i="5"/>
  <c r="B194" i="5"/>
  <c r="A195" i="5"/>
  <c r="B195" i="5"/>
  <c r="A196" i="5"/>
  <c r="B196" i="5"/>
  <c r="A197" i="5"/>
  <c r="B197" i="5"/>
  <c r="A198" i="5"/>
  <c r="B198" i="5"/>
  <c r="A199" i="5"/>
  <c r="B199" i="5"/>
  <c r="A200" i="5"/>
  <c r="B200" i="5"/>
  <c r="A201" i="5"/>
  <c r="B201" i="5"/>
  <c r="A202" i="5"/>
  <c r="B202" i="5"/>
  <c r="A203" i="5"/>
  <c r="B203" i="5"/>
  <c r="A204" i="5"/>
  <c r="B204" i="5"/>
  <c r="A205" i="5"/>
  <c r="B205" i="5"/>
  <c r="A206" i="5"/>
  <c r="B206" i="5"/>
  <c r="A207" i="5"/>
  <c r="B207" i="5"/>
  <c r="A208" i="5"/>
  <c r="B208" i="5"/>
  <c r="A209" i="5"/>
  <c r="B209" i="5"/>
  <c r="A210" i="5"/>
  <c r="B210" i="5"/>
  <c r="A211" i="5"/>
  <c r="B211" i="5"/>
  <c r="A212" i="5"/>
  <c r="B212" i="5"/>
  <c r="A213" i="5"/>
  <c r="B213" i="5"/>
  <c r="A214" i="5"/>
  <c r="B214" i="5"/>
  <c r="A215" i="5"/>
  <c r="B215" i="5"/>
  <c r="A216" i="5"/>
  <c r="B216" i="5"/>
  <c r="A217" i="5"/>
  <c r="B217" i="5"/>
  <c r="A218" i="5"/>
  <c r="B218" i="5"/>
  <c r="A219" i="5"/>
  <c r="B219" i="5"/>
  <c r="A220" i="5"/>
  <c r="B220" i="5"/>
  <c r="A221" i="5"/>
  <c r="B221" i="5"/>
  <c r="A222" i="5"/>
  <c r="B222" i="5"/>
  <c r="A223" i="5"/>
  <c r="B223" i="5"/>
  <c r="A224" i="5"/>
  <c r="B224" i="5"/>
  <c r="A225" i="5"/>
  <c r="B225" i="5"/>
  <c r="A226" i="5"/>
  <c r="B226" i="5"/>
  <c r="A227" i="5"/>
  <c r="B227" i="5"/>
  <c r="A228" i="5"/>
  <c r="B228" i="5"/>
  <c r="A229" i="5"/>
  <c r="B229" i="5"/>
  <c r="A230" i="5"/>
  <c r="B230" i="5"/>
  <c r="A231" i="5"/>
  <c r="B231" i="5"/>
  <c r="A232" i="5"/>
  <c r="B232" i="5"/>
  <c r="A233" i="5"/>
  <c r="B233" i="5"/>
  <c r="A234" i="5"/>
  <c r="B234" i="5"/>
  <c r="A235" i="5"/>
  <c r="B235" i="5"/>
  <c r="A236" i="5"/>
  <c r="B236" i="5"/>
  <c r="A237" i="5"/>
  <c r="B237" i="5"/>
  <c r="A238" i="5"/>
  <c r="B238" i="5"/>
  <c r="A239" i="5"/>
  <c r="B239" i="5"/>
  <c r="A240" i="5"/>
  <c r="B240" i="5"/>
  <c r="A241" i="5"/>
  <c r="B241" i="5"/>
  <c r="A242" i="5"/>
  <c r="B242" i="5"/>
  <c r="A243" i="5"/>
  <c r="B243" i="5"/>
  <c r="A244" i="5"/>
  <c r="B244" i="5"/>
  <c r="A245" i="5"/>
  <c r="B245" i="5"/>
  <c r="A246" i="5"/>
  <c r="B246" i="5"/>
  <c r="A247" i="5"/>
  <c r="B247" i="5"/>
  <c r="A248" i="5"/>
  <c r="B248" i="5"/>
  <c r="A249" i="5"/>
  <c r="B249" i="5"/>
  <c r="A250" i="5"/>
  <c r="B250" i="5"/>
  <c r="A251" i="5"/>
  <c r="B251" i="5"/>
  <c r="A252" i="5"/>
  <c r="B252" i="5"/>
  <c r="A253" i="5"/>
  <c r="B253" i="5"/>
  <c r="A254" i="5"/>
  <c r="B254" i="5"/>
  <c r="A255" i="5"/>
  <c r="B255" i="5"/>
  <c r="A256" i="5"/>
  <c r="B256" i="5"/>
  <c r="A257" i="5"/>
  <c r="B257" i="5"/>
  <c r="A258" i="5"/>
  <c r="B258" i="5"/>
  <c r="A259" i="5"/>
  <c r="B259" i="5"/>
  <c r="A260" i="5"/>
  <c r="B260" i="5"/>
  <c r="A261" i="5"/>
  <c r="B261" i="5"/>
  <c r="A262" i="5"/>
  <c r="B262" i="5"/>
  <c r="A263" i="5"/>
  <c r="B263" i="5"/>
  <c r="A264" i="5"/>
  <c r="B264" i="5"/>
  <c r="A265" i="5"/>
  <c r="B265" i="5"/>
  <c r="A266" i="5"/>
  <c r="B266" i="5"/>
  <c r="A267" i="5"/>
  <c r="B267" i="5"/>
  <c r="A268" i="5"/>
  <c r="B268" i="5"/>
  <c r="A269" i="5"/>
  <c r="B269" i="5"/>
  <c r="A270" i="5"/>
  <c r="B270" i="5"/>
  <c r="A271" i="5"/>
  <c r="B271" i="5"/>
  <c r="A272" i="5"/>
  <c r="B272" i="5"/>
  <c r="A273" i="5"/>
  <c r="B273" i="5"/>
  <c r="A274" i="5"/>
  <c r="B274" i="5"/>
  <c r="A275" i="5"/>
  <c r="B275" i="5"/>
  <c r="A276" i="5"/>
  <c r="B276" i="5"/>
  <c r="A277" i="5"/>
  <c r="B277" i="5"/>
  <c r="A278" i="5"/>
  <c r="B278" i="5"/>
  <c r="A279" i="5"/>
  <c r="B279" i="5"/>
  <c r="A280" i="5"/>
  <c r="B280" i="5"/>
  <c r="A281" i="5"/>
  <c r="B281" i="5"/>
  <c r="A282" i="5"/>
  <c r="B282" i="5"/>
  <c r="A283" i="5"/>
  <c r="B283" i="5"/>
  <c r="A284" i="5"/>
  <c r="B284" i="5"/>
  <c r="A285" i="5"/>
  <c r="B285" i="5"/>
  <c r="A286" i="5"/>
  <c r="B286" i="5"/>
  <c r="A287" i="5"/>
  <c r="B287" i="5"/>
  <c r="A288" i="5"/>
  <c r="B288" i="5"/>
  <c r="A289" i="5"/>
  <c r="B289" i="5"/>
  <c r="A290" i="5"/>
  <c r="B290" i="5"/>
  <c r="A291" i="5"/>
  <c r="B291" i="5"/>
  <c r="A292" i="5"/>
  <c r="B292" i="5"/>
  <c r="A293" i="5"/>
  <c r="B293" i="5"/>
  <c r="A294" i="5"/>
  <c r="B294" i="5"/>
  <c r="A295" i="5"/>
  <c r="B295" i="5"/>
  <c r="A296" i="5"/>
  <c r="B296" i="5"/>
  <c r="A297" i="5"/>
  <c r="B297" i="5"/>
  <c r="A298" i="5"/>
  <c r="B298" i="5"/>
  <c r="A299" i="5"/>
  <c r="B299" i="5"/>
  <c r="A300" i="5"/>
  <c r="B300" i="5"/>
  <c r="A301" i="5"/>
  <c r="B301" i="5"/>
  <c r="A302" i="5"/>
  <c r="B302" i="5"/>
  <c r="A303" i="5"/>
  <c r="B303" i="5"/>
  <c r="A304" i="5"/>
  <c r="B304" i="5"/>
  <c r="A305" i="5"/>
  <c r="B305" i="5"/>
  <c r="A306" i="5"/>
  <c r="B306" i="5"/>
  <c r="A307" i="5"/>
  <c r="B307" i="5"/>
  <c r="A308" i="5"/>
  <c r="B308" i="5"/>
  <c r="A309" i="5"/>
  <c r="B309" i="5"/>
  <c r="A310" i="5"/>
  <c r="B310" i="5"/>
  <c r="A311" i="5"/>
  <c r="B311" i="5"/>
  <c r="A312" i="5"/>
  <c r="B312" i="5"/>
  <c r="A313" i="5"/>
  <c r="B313" i="5"/>
  <c r="A314" i="5"/>
  <c r="B314" i="5"/>
  <c r="A315" i="5"/>
  <c r="B315" i="5"/>
  <c r="A316" i="5"/>
  <c r="B316" i="5"/>
  <c r="A317" i="5"/>
  <c r="B317" i="5"/>
  <c r="A318" i="5"/>
  <c r="B318" i="5"/>
  <c r="A319" i="5"/>
  <c r="B319" i="5"/>
  <c r="A320" i="5"/>
  <c r="B320" i="5"/>
  <c r="A321" i="5"/>
  <c r="B321" i="5"/>
  <c r="A322" i="5"/>
  <c r="B322" i="5"/>
  <c r="A323" i="5"/>
  <c r="B323" i="5"/>
  <c r="A324" i="5"/>
  <c r="B324" i="5"/>
  <c r="A325" i="5"/>
  <c r="B325" i="5"/>
  <c r="A326" i="5"/>
  <c r="B326" i="5"/>
  <c r="A327" i="5"/>
  <c r="B327" i="5"/>
  <c r="A328" i="5"/>
  <c r="B328" i="5"/>
  <c r="A329" i="5"/>
  <c r="B329" i="5"/>
  <c r="A330" i="5"/>
  <c r="B330" i="5"/>
  <c r="A331" i="5"/>
  <c r="B331" i="5"/>
  <c r="A332" i="5"/>
  <c r="B332" i="5"/>
  <c r="A333" i="5"/>
  <c r="B333" i="5"/>
  <c r="A334" i="5"/>
  <c r="B334" i="5"/>
  <c r="A335" i="5"/>
  <c r="B335" i="5"/>
  <c r="A336" i="5"/>
  <c r="B336" i="5"/>
  <c r="A337" i="5"/>
  <c r="B337" i="5"/>
  <c r="A338" i="5"/>
  <c r="B338" i="5"/>
  <c r="A339" i="5"/>
  <c r="B339" i="5"/>
  <c r="A340" i="5"/>
  <c r="B340" i="5"/>
  <c r="A341" i="5"/>
  <c r="B341" i="5"/>
  <c r="A342" i="5"/>
  <c r="B342" i="5"/>
  <c r="A343" i="5"/>
  <c r="B343" i="5"/>
  <c r="A344" i="5"/>
  <c r="B344" i="5"/>
  <c r="A345" i="5"/>
  <c r="B345" i="5"/>
  <c r="A346" i="5"/>
  <c r="B346" i="5"/>
  <c r="A347" i="5"/>
  <c r="B347" i="5"/>
  <c r="A348" i="5"/>
  <c r="B348" i="5"/>
  <c r="A349" i="5"/>
  <c r="B349" i="5"/>
  <c r="A350" i="5"/>
  <c r="B350" i="5"/>
  <c r="A351" i="5"/>
  <c r="B351" i="5"/>
  <c r="A352" i="5"/>
  <c r="B352" i="5"/>
  <c r="A353" i="5"/>
  <c r="B353" i="5"/>
  <c r="A354" i="5"/>
  <c r="B354" i="5"/>
  <c r="A355" i="5"/>
  <c r="B355" i="5"/>
  <c r="A356" i="5"/>
  <c r="B356" i="5"/>
  <c r="A357" i="5"/>
  <c r="B357" i="5"/>
  <c r="A358" i="5"/>
  <c r="B358" i="5"/>
  <c r="A359" i="5"/>
  <c r="B359" i="5"/>
  <c r="A360" i="5"/>
  <c r="B360" i="5"/>
  <c r="A361" i="5"/>
  <c r="B361" i="5"/>
  <c r="A362" i="5"/>
  <c r="B362" i="5"/>
  <c r="A363" i="5"/>
  <c r="B363" i="5"/>
  <c r="A364" i="5"/>
  <c r="B364" i="5"/>
  <c r="A365" i="5"/>
  <c r="B365" i="5"/>
  <c r="A366" i="5"/>
  <c r="B366" i="5"/>
  <c r="A367" i="5"/>
  <c r="B367" i="5"/>
  <c r="A368" i="5"/>
  <c r="B368" i="5"/>
  <c r="A369" i="5"/>
  <c r="B369" i="5"/>
  <c r="A370" i="5"/>
  <c r="B370" i="5"/>
  <c r="A371" i="5"/>
  <c r="B371" i="5"/>
  <c r="A372" i="5"/>
  <c r="B372" i="5"/>
  <c r="A373" i="5"/>
  <c r="B373" i="5"/>
  <c r="A374" i="5"/>
  <c r="B374" i="5"/>
  <c r="A375" i="5"/>
  <c r="B375" i="5"/>
  <c r="A376" i="5"/>
  <c r="B376" i="5"/>
  <c r="A377" i="5"/>
  <c r="B377" i="5"/>
  <c r="A378" i="5"/>
  <c r="B378" i="5"/>
  <c r="A379" i="5"/>
  <c r="B379" i="5"/>
  <c r="A380" i="5"/>
  <c r="B380" i="5"/>
  <c r="A381" i="5"/>
  <c r="B381" i="5"/>
  <c r="A382" i="5"/>
  <c r="B382" i="5"/>
  <c r="A383" i="5"/>
  <c r="B383" i="5"/>
  <c r="A384" i="5"/>
  <c r="B384" i="5"/>
  <c r="A385" i="5"/>
  <c r="B385" i="5"/>
  <c r="A386" i="5"/>
  <c r="B386" i="5"/>
  <c r="A387" i="5"/>
  <c r="B387" i="5"/>
  <c r="A388" i="5"/>
  <c r="B388" i="5"/>
  <c r="A389" i="5"/>
  <c r="B389" i="5"/>
  <c r="A390" i="5"/>
  <c r="B390" i="5"/>
  <c r="A391" i="5"/>
  <c r="B391" i="5"/>
  <c r="A392" i="5"/>
  <c r="B392" i="5"/>
  <c r="A393" i="5"/>
  <c r="B393" i="5"/>
  <c r="A394" i="5"/>
  <c r="B394" i="5"/>
  <c r="A395" i="5"/>
  <c r="B395" i="5"/>
  <c r="A396" i="5"/>
  <c r="B396" i="5"/>
  <c r="A397" i="5"/>
  <c r="B397" i="5"/>
  <c r="A398" i="5"/>
  <c r="B398" i="5"/>
  <c r="A399" i="5"/>
  <c r="B399" i="5"/>
  <c r="A400" i="5"/>
  <c r="B400" i="5"/>
  <c r="A401" i="5"/>
  <c r="B401" i="5"/>
  <c r="A402" i="5"/>
  <c r="B402" i="5"/>
  <c r="A403" i="5"/>
  <c r="B403" i="5"/>
  <c r="A404" i="5"/>
  <c r="B404" i="5"/>
  <c r="A405" i="5"/>
  <c r="B405" i="5"/>
  <c r="A406" i="5"/>
  <c r="B406" i="5"/>
  <c r="A407" i="5"/>
  <c r="B407" i="5"/>
  <c r="A408" i="5"/>
  <c r="B408" i="5"/>
  <c r="A409" i="5"/>
  <c r="B409" i="5"/>
  <c r="A410" i="5"/>
  <c r="B410" i="5"/>
  <c r="A411" i="5"/>
  <c r="B411" i="5"/>
  <c r="A412" i="5"/>
  <c r="B412" i="5"/>
  <c r="A413" i="5"/>
  <c r="B413" i="5"/>
  <c r="A414" i="5"/>
  <c r="B414" i="5"/>
  <c r="A415" i="5"/>
  <c r="B415" i="5"/>
  <c r="A416" i="5"/>
  <c r="B416" i="5"/>
  <c r="A417" i="5"/>
  <c r="B417" i="5"/>
  <c r="A418" i="5"/>
  <c r="B418" i="5"/>
  <c r="A419" i="5"/>
  <c r="B419" i="5"/>
  <c r="A420" i="5"/>
  <c r="B420" i="5"/>
  <c r="A421" i="5"/>
  <c r="B421" i="5"/>
  <c r="A422" i="5"/>
  <c r="B422" i="5"/>
  <c r="A423" i="5"/>
  <c r="B423" i="5"/>
  <c r="A424" i="5"/>
  <c r="B424" i="5"/>
  <c r="A425" i="5"/>
  <c r="B425" i="5"/>
  <c r="A426" i="5"/>
  <c r="B426" i="5"/>
  <c r="A427" i="5"/>
  <c r="B427" i="5"/>
  <c r="A428" i="5"/>
  <c r="B428" i="5"/>
  <c r="A429" i="5"/>
  <c r="B429" i="5"/>
  <c r="A430" i="5"/>
  <c r="B430" i="5"/>
  <c r="A431" i="5"/>
  <c r="B431" i="5"/>
  <c r="A432" i="5"/>
  <c r="B432" i="5"/>
  <c r="A433" i="5"/>
  <c r="B433" i="5"/>
  <c r="A434" i="5"/>
  <c r="B434" i="5"/>
  <c r="A435" i="5"/>
  <c r="B435" i="5"/>
  <c r="A436" i="5"/>
  <c r="B436" i="5"/>
  <c r="A437" i="5"/>
  <c r="B437" i="5"/>
  <c r="A438" i="5"/>
  <c r="B438" i="5"/>
  <c r="A439" i="5"/>
  <c r="B439" i="5"/>
  <c r="A440" i="5"/>
  <c r="B440" i="5"/>
  <c r="A441" i="5"/>
  <c r="B441" i="5"/>
  <c r="A442" i="5"/>
  <c r="B442" i="5"/>
  <c r="A443" i="5"/>
  <c r="B443" i="5"/>
  <c r="A444" i="5"/>
  <c r="B444" i="5"/>
  <c r="A445" i="5"/>
  <c r="B445" i="5"/>
  <c r="A446" i="5"/>
  <c r="B446" i="5"/>
  <c r="A447" i="5"/>
  <c r="B447" i="5"/>
  <c r="A448" i="5"/>
  <c r="B448" i="5"/>
  <c r="A449" i="5"/>
  <c r="B449" i="5"/>
  <c r="A450" i="5"/>
  <c r="B450" i="5"/>
  <c r="A451" i="5"/>
  <c r="B451" i="5"/>
  <c r="A452" i="5"/>
  <c r="B452" i="5"/>
  <c r="A453" i="5"/>
  <c r="B453" i="5"/>
  <c r="A454" i="5"/>
  <c r="B454" i="5"/>
  <c r="A455" i="5"/>
  <c r="B455" i="5"/>
  <c r="A456" i="5"/>
  <c r="B456" i="5"/>
  <c r="A457" i="5"/>
  <c r="B457" i="5"/>
  <c r="A458" i="5"/>
  <c r="B458" i="5"/>
  <c r="A459" i="5"/>
  <c r="B459" i="5"/>
  <c r="A460" i="5"/>
  <c r="B460" i="5"/>
  <c r="A461" i="5"/>
  <c r="B461" i="5"/>
  <c r="A462" i="5"/>
  <c r="B462" i="5"/>
  <c r="A463" i="5"/>
  <c r="B463" i="5"/>
  <c r="A464" i="5"/>
  <c r="B464" i="5"/>
  <c r="A465" i="5"/>
  <c r="B465" i="5"/>
  <c r="A466" i="5"/>
  <c r="B466" i="5"/>
  <c r="A467" i="5"/>
  <c r="B467" i="5"/>
  <c r="A468" i="5"/>
  <c r="B468" i="5"/>
  <c r="A469" i="5"/>
  <c r="B469" i="5"/>
  <c r="A470" i="5"/>
  <c r="B470" i="5"/>
  <c r="A471" i="5"/>
  <c r="B471" i="5"/>
  <c r="A472" i="5"/>
  <c r="B472" i="5"/>
  <c r="A473" i="5"/>
  <c r="B473" i="5"/>
  <c r="A474" i="5"/>
  <c r="B474" i="5"/>
  <c r="A475" i="5"/>
  <c r="B475" i="5"/>
  <c r="A476" i="5"/>
  <c r="B476" i="5"/>
  <c r="A477" i="5"/>
  <c r="B477" i="5"/>
  <c r="A478" i="5"/>
  <c r="B478" i="5"/>
  <c r="A479" i="5"/>
  <c r="B479" i="5"/>
  <c r="A480" i="5"/>
  <c r="B480" i="5"/>
  <c r="A481" i="5"/>
  <c r="B481" i="5"/>
  <c r="A482" i="5"/>
  <c r="B482" i="5"/>
  <c r="A483" i="5"/>
  <c r="B483" i="5"/>
  <c r="A484" i="5"/>
  <c r="B484" i="5"/>
  <c r="A485" i="5"/>
  <c r="B485" i="5"/>
  <c r="A486" i="5"/>
  <c r="B486" i="5"/>
  <c r="A487" i="5"/>
  <c r="B487" i="5"/>
  <c r="A488" i="5"/>
  <c r="B488" i="5"/>
  <c r="A489" i="5"/>
  <c r="B489" i="5"/>
  <c r="A490" i="5"/>
  <c r="B490" i="5"/>
  <c r="A491" i="5"/>
  <c r="B491" i="5"/>
  <c r="A492" i="5"/>
  <c r="B492" i="5"/>
  <c r="A493" i="5"/>
  <c r="B493" i="5"/>
  <c r="A494" i="5"/>
  <c r="B494" i="5"/>
  <c r="A495" i="5"/>
  <c r="B495" i="5"/>
  <c r="A496" i="5"/>
  <c r="B496" i="5"/>
  <c r="A497" i="5"/>
  <c r="B497" i="5"/>
  <c r="A498" i="5"/>
  <c r="B498" i="5"/>
  <c r="A499" i="5"/>
  <c r="B499" i="5"/>
  <c r="A500" i="5"/>
  <c r="B500" i="5"/>
  <c r="A501" i="5"/>
  <c r="B501" i="5"/>
  <c r="A502" i="5"/>
  <c r="B502" i="5"/>
  <c r="A503" i="5"/>
  <c r="B503" i="5"/>
  <c r="A504" i="5"/>
  <c r="B504" i="5"/>
  <c r="A505" i="5"/>
  <c r="B505" i="5"/>
  <c r="A506" i="5"/>
  <c r="B506" i="5"/>
  <c r="A507" i="5"/>
  <c r="B507" i="5"/>
  <c r="A508" i="5"/>
  <c r="B508" i="5"/>
  <c r="A509" i="5"/>
  <c r="B509" i="5"/>
  <c r="A510" i="5"/>
  <c r="B510" i="5"/>
  <c r="A511" i="5"/>
  <c r="B511" i="5"/>
  <c r="A512" i="5"/>
  <c r="B512" i="5"/>
  <c r="A513" i="5"/>
  <c r="B513" i="5"/>
  <c r="A514" i="5"/>
  <c r="B514" i="5"/>
  <c r="A515" i="5"/>
  <c r="B515" i="5"/>
  <c r="A516" i="5"/>
  <c r="B516" i="5"/>
  <c r="A517" i="5"/>
  <c r="B517" i="5"/>
  <c r="A518" i="5"/>
  <c r="B518" i="5"/>
  <c r="A519" i="5"/>
  <c r="B519" i="5"/>
  <c r="A520" i="5"/>
  <c r="B520" i="5"/>
  <c r="A521" i="5"/>
  <c r="B521" i="5"/>
  <c r="A522" i="5"/>
  <c r="B522" i="5"/>
  <c r="A523" i="5"/>
  <c r="B523" i="5"/>
  <c r="A524" i="5"/>
  <c r="B524" i="5"/>
  <c r="A525" i="5"/>
  <c r="B525" i="5"/>
  <c r="A526" i="5"/>
  <c r="B526" i="5"/>
  <c r="A527" i="5"/>
  <c r="B527" i="5"/>
  <c r="A528" i="5"/>
  <c r="B528" i="5"/>
  <c r="A529" i="5"/>
  <c r="B529" i="5"/>
  <c r="A530" i="5"/>
  <c r="B530" i="5"/>
  <c r="A531" i="5"/>
  <c r="B531" i="5"/>
  <c r="A532" i="5"/>
  <c r="B532" i="5"/>
  <c r="A533" i="5"/>
  <c r="B533" i="5"/>
  <c r="A534" i="5"/>
  <c r="B534" i="5"/>
  <c r="A535" i="5"/>
  <c r="B535" i="5"/>
  <c r="A536" i="5"/>
  <c r="B536" i="5"/>
  <c r="A537" i="5"/>
  <c r="B537" i="5"/>
  <c r="A538" i="5"/>
  <c r="B538" i="5"/>
  <c r="A539" i="5"/>
  <c r="B539" i="5"/>
  <c r="A540" i="5"/>
  <c r="B540" i="5"/>
  <c r="A541" i="5"/>
  <c r="B541" i="5"/>
  <c r="A542" i="5"/>
  <c r="B542" i="5"/>
  <c r="A543" i="5"/>
  <c r="B543" i="5"/>
  <c r="A544" i="5"/>
  <c r="B544" i="5"/>
  <c r="A545" i="5"/>
  <c r="B545" i="5"/>
  <c r="A546" i="5"/>
  <c r="B546" i="5"/>
  <c r="A547" i="5"/>
  <c r="B547" i="5"/>
  <c r="A548" i="5"/>
  <c r="B548" i="5"/>
  <c r="A549" i="5"/>
  <c r="B549" i="5"/>
  <c r="A550" i="5"/>
  <c r="B550" i="5"/>
  <c r="A551" i="5"/>
  <c r="B551" i="5"/>
  <c r="A552" i="5"/>
  <c r="B552" i="5"/>
  <c r="A553" i="5"/>
  <c r="B553" i="5"/>
  <c r="A554" i="5"/>
  <c r="B554" i="5"/>
  <c r="A555" i="5"/>
  <c r="B555" i="5"/>
  <c r="A556" i="5"/>
  <c r="B556" i="5"/>
  <c r="A557" i="5"/>
  <c r="B557" i="5"/>
  <c r="A558" i="5"/>
  <c r="B558" i="5"/>
  <c r="A559" i="5"/>
  <c r="B559" i="5"/>
  <c r="A560" i="5"/>
  <c r="B560" i="5"/>
  <c r="A561" i="5"/>
  <c r="B561" i="5"/>
  <c r="A562" i="5"/>
  <c r="B562" i="5"/>
  <c r="A563" i="5"/>
  <c r="B563" i="5"/>
  <c r="A564" i="5"/>
  <c r="B564" i="5"/>
  <c r="A565" i="5"/>
  <c r="B565" i="5"/>
  <c r="A566" i="5"/>
  <c r="B566" i="5"/>
  <c r="A567" i="5"/>
  <c r="B567" i="5"/>
  <c r="A568" i="5"/>
  <c r="B568" i="5"/>
  <c r="A569" i="5"/>
  <c r="B569" i="5"/>
  <c r="A570" i="5"/>
  <c r="B570" i="5"/>
  <c r="A571" i="5"/>
  <c r="B571" i="5"/>
  <c r="A572" i="5"/>
  <c r="B572" i="5"/>
  <c r="A573" i="5"/>
  <c r="B573" i="5"/>
  <c r="A574" i="5"/>
  <c r="B574" i="5"/>
  <c r="A575" i="5"/>
  <c r="B575" i="5"/>
  <c r="A576" i="5"/>
  <c r="B576" i="5"/>
  <c r="A577" i="5"/>
  <c r="B577" i="5"/>
  <c r="A578" i="5"/>
  <c r="B578" i="5"/>
  <c r="A579" i="5"/>
  <c r="B579" i="5"/>
  <c r="A580" i="5"/>
  <c r="B580" i="5"/>
  <c r="A581" i="5"/>
  <c r="B581" i="5"/>
  <c r="A582" i="5"/>
  <c r="B582" i="5"/>
  <c r="A583" i="5"/>
  <c r="B583" i="5"/>
  <c r="A584" i="5"/>
  <c r="B584" i="5"/>
  <c r="A585" i="5"/>
  <c r="B585" i="5"/>
  <c r="A586" i="5"/>
  <c r="B586" i="5"/>
  <c r="A587" i="5"/>
  <c r="B587" i="5"/>
  <c r="A588" i="5"/>
  <c r="B588" i="5"/>
  <c r="A589" i="5"/>
  <c r="B589" i="5"/>
  <c r="A590" i="5"/>
  <c r="B590" i="5"/>
  <c r="A591" i="5"/>
  <c r="B591" i="5"/>
  <c r="A592" i="5"/>
  <c r="B592" i="5"/>
  <c r="A593" i="5"/>
  <c r="B593" i="5"/>
  <c r="A594" i="5"/>
  <c r="B594" i="5"/>
  <c r="A595" i="5"/>
  <c r="B595" i="5"/>
  <c r="A596" i="5"/>
  <c r="B596" i="5"/>
  <c r="A597" i="5"/>
  <c r="B597" i="5"/>
  <c r="A598" i="5"/>
  <c r="B598" i="5"/>
  <c r="A599" i="5"/>
  <c r="B599" i="5"/>
  <c r="A600" i="5"/>
  <c r="B600" i="5"/>
  <c r="A601" i="5"/>
  <c r="B601" i="5"/>
  <c r="A602" i="5"/>
  <c r="B602" i="5"/>
  <c r="A603" i="5"/>
  <c r="B603" i="5"/>
  <c r="A604" i="5"/>
  <c r="B604" i="5"/>
  <c r="A605" i="5"/>
  <c r="B605" i="5"/>
  <c r="A606" i="5"/>
  <c r="B606" i="5"/>
  <c r="A607" i="5"/>
  <c r="B607" i="5"/>
  <c r="A608" i="5"/>
  <c r="B608" i="5"/>
  <c r="A609" i="5"/>
  <c r="B609" i="5"/>
  <c r="A610" i="5"/>
  <c r="B610" i="5"/>
  <c r="A611" i="5"/>
  <c r="B611" i="5"/>
  <c r="A612" i="5"/>
  <c r="B612" i="5"/>
  <c r="A613" i="5"/>
  <c r="B613" i="5"/>
  <c r="A614" i="5"/>
  <c r="B614" i="5"/>
  <c r="A615" i="5"/>
  <c r="B615" i="5"/>
  <c r="A616" i="5"/>
  <c r="B616" i="5"/>
  <c r="A617" i="5"/>
  <c r="B617" i="5"/>
  <c r="A618" i="5"/>
  <c r="B618" i="5"/>
  <c r="A619" i="5"/>
  <c r="B619" i="5"/>
  <c r="A620" i="5"/>
  <c r="B620" i="5"/>
  <c r="A621" i="5"/>
  <c r="B621" i="5"/>
  <c r="A622" i="5"/>
  <c r="B622" i="5"/>
  <c r="A623" i="5"/>
  <c r="B623" i="5"/>
  <c r="A624" i="5"/>
  <c r="B624" i="5"/>
  <c r="A625" i="5"/>
  <c r="B625" i="5"/>
  <c r="A626" i="5"/>
  <c r="B626" i="5"/>
  <c r="A627" i="5"/>
  <c r="B627" i="5"/>
  <c r="A628" i="5"/>
  <c r="B628" i="5"/>
  <c r="A629" i="5"/>
  <c r="B629" i="5"/>
  <c r="A630" i="5"/>
  <c r="B630" i="5"/>
  <c r="A631" i="5"/>
  <c r="B631" i="5"/>
  <c r="A632" i="5"/>
  <c r="B632" i="5"/>
  <c r="A633" i="5"/>
  <c r="B633" i="5"/>
  <c r="A634" i="5"/>
  <c r="B634" i="5"/>
  <c r="A635" i="5"/>
  <c r="B635" i="5"/>
  <c r="A636" i="5"/>
  <c r="B636" i="5"/>
  <c r="A637" i="5"/>
  <c r="B637" i="5"/>
  <c r="A638" i="5"/>
  <c r="B638" i="5"/>
  <c r="A639" i="5"/>
  <c r="B639" i="5"/>
  <c r="A640" i="5"/>
  <c r="B640" i="5"/>
  <c r="A641" i="5"/>
  <c r="B641" i="5"/>
  <c r="A642" i="5"/>
  <c r="B642" i="5"/>
  <c r="A643" i="5"/>
  <c r="B643" i="5"/>
  <c r="A644" i="5"/>
  <c r="B644" i="5"/>
  <c r="A645" i="5"/>
  <c r="B645" i="5"/>
  <c r="A646" i="5"/>
  <c r="B646" i="5"/>
  <c r="A647" i="5"/>
  <c r="B647" i="5"/>
  <c r="A648" i="5"/>
  <c r="B648" i="5"/>
  <c r="A649" i="5"/>
  <c r="B649" i="5"/>
  <c r="A650" i="5"/>
  <c r="B650" i="5"/>
  <c r="A651" i="5"/>
  <c r="B651" i="5"/>
  <c r="A652" i="5"/>
  <c r="B652" i="5"/>
  <c r="A653" i="5"/>
  <c r="B653" i="5"/>
  <c r="A654" i="5"/>
  <c r="B654" i="5"/>
  <c r="A655" i="5"/>
  <c r="B655" i="5"/>
  <c r="A656" i="5"/>
  <c r="B656" i="5"/>
  <c r="A657" i="5"/>
  <c r="B657" i="5"/>
  <c r="A658" i="5"/>
  <c r="B658" i="5"/>
  <c r="A659" i="5"/>
  <c r="B659" i="5"/>
  <c r="A660" i="5"/>
  <c r="B660" i="5"/>
  <c r="A661" i="5"/>
  <c r="B661" i="5"/>
  <c r="A662" i="5"/>
  <c r="B662" i="5"/>
  <c r="A663" i="5"/>
  <c r="B663" i="5"/>
  <c r="A664" i="5"/>
  <c r="B664" i="5"/>
  <c r="A665" i="5"/>
  <c r="B665" i="5"/>
  <c r="A666" i="5"/>
  <c r="B666" i="5"/>
  <c r="A667" i="5"/>
  <c r="B667" i="5"/>
  <c r="A668" i="5"/>
  <c r="B668" i="5"/>
  <c r="A669" i="5"/>
  <c r="B669" i="5"/>
  <c r="A670" i="5"/>
  <c r="B670" i="5"/>
  <c r="A671" i="5"/>
  <c r="B671" i="5"/>
  <c r="A672" i="5"/>
  <c r="B672" i="5"/>
  <c r="A673" i="5"/>
  <c r="B673" i="5"/>
  <c r="A674" i="5"/>
  <c r="B674" i="5"/>
  <c r="A675" i="5"/>
  <c r="B675" i="5"/>
  <c r="A676" i="5"/>
  <c r="B676" i="5"/>
  <c r="A677" i="5"/>
  <c r="B677" i="5"/>
  <c r="A678" i="5"/>
  <c r="B678" i="5"/>
  <c r="A679" i="5"/>
  <c r="B679" i="5"/>
  <c r="A680" i="5"/>
  <c r="B680" i="5"/>
  <c r="A681" i="5"/>
  <c r="B681" i="5"/>
  <c r="A682" i="5"/>
  <c r="B682" i="5"/>
  <c r="A683" i="5"/>
  <c r="B683" i="5"/>
  <c r="A684" i="5"/>
  <c r="B684" i="5"/>
  <c r="A685" i="5"/>
  <c r="B685" i="5"/>
  <c r="A686" i="5"/>
  <c r="B686" i="5"/>
  <c r="A687" i="5"/>
  <c r="B687" i="5"/>
  <c r="A688" i="5"/>
  <c r="B688" i="5"/>
  <c r="A689" i="5"/>
  <c r="B689" i="5"/>
  <c r="A690" i="5"/>
  <c r="B690" i="5"/>
  <c r="A691" i="5"/>
  <c r="B691" i="5"/>
  <c r="A692" i="5"/>
  <c r="B692" i="5"/>
  <c r="A693" i="5"/>
  <c r="B693" i="5"/>
  <c r="A694" i="5"/>
  <c r="B694" i="5"/>
  <c r="A695" i="5"/>
  <c r="B695" i="5"/>
  <c r="A696" i="5"/>
  <c r="B696" i="5"/>
  <c r="A697" i="5"/>
  <c r="B697" i="5"/>
  <c r="A698" i="5"/>
  <c r="B698" i="5"/>
  <c r="A699" i="5"/>
  <c r="B699" i="5"/>
  <c r="A700" i="5"/>
  <c r="B700" i="5"/>
  <c r="A701" i="5"/>
  <c r="B701" i="5"/>
  <c r="A702" i="5"/>
  <c r="B702" i="5"/>
  <c r="A703" i="5"/>
  <c r="B703" i="5"/>
  <c r="A704" i="5"/>
  <c r="B704" i="5"/>
  <c r="A705" i="5"/>
  <c r="B705" i="5"/>
  <c r="A706" i="5"/>
  <c r="B706" i="5"/>
  <c r="A707" i="5"/>
  <c r="B707" i="5"/>
  <c r="A708" i="5"/>
  <c r="B708" i="5"/>
  <c r="A709" i="5"/>
  <c r="B709" i="5"/>
  <c r="A710" i="5"/>
  <c r="B710" i="5"/>
  <c r="A711" i="5"/>
  <c r="B711" i="5"/>
  <c r="A712" i="5"/>
  <c r="B712" i="5"/>
  <c r="A713" i="5"/>
  <c r="B713" i="5"/>
  <c r="A714" i="5"/>
  <c r="B714" i="5"/>
  <c r="A715" i="5"/>
  <c r="B715" i="5"/>
  <c r="A716" i="5"/>
  <c r="B716" i="5"/>
  <c r="A717" i="5"/>
  <c r="B717" i="5"/>
  <c r="A718" i="5"/>
  <c r="B718" i="5"/>
  <c r="A719" i="5"/>
  <c r="B719" i="5"/>
  <c r="A720" i="5"/>
  <c r="B720" i="5"/>
  <c r="A721" i="5"/>
  <c r="B721" i="5"/>
  <c r="A722" i="5"/>
  <c r="B722" i="5"/>
  <c r="A723" i="5"/>
  <c r="B723" i="5"/>
  <c r="A724" i="5"/>
  <c r="B724" i="5"/>
  <c r="A725" i="5"/>
  <c r="B725" i="5"/>
  <c r="A726" i="5"/>
  <c r="B726" i="5"/>
  <c r="A727" i="5"/>
  <c r="B727" i="5"/>
  <c r="A728" i="5"/>
  <c r="B728" i="5"/>
  <c r="A729" i="5"/>
  <c r="B729" i="5"/>
  <c r="A730" i="5"/>
  <c r="B730" i="5"/>
  <c r="A731" i="5"/>
  <c r="B731" i="5"/>
  <c r="A732" i="5"/>
  <c r="B732" i="5"/>
  <c r="A733" i="5"/>
  <c r="B733" i="5"/>
  <c r="A734" i="5"/>
  <c r="B734" i="5"/>
  <c r="A735" i="5"/>
  <c r="B735" i="5"/>
  <c r="A736" i="5"/>
  <c r="B736" i="5"/>
  <c r="A737" i="5"/>
  <c r="B737" i="5"/>
  <c r="A738" i="5"/>
  <c r="B738" i="5"/>
  <c r="A739" i="5"/>
  <c r="B739" i="5"/>
  <c r="A740" i="5"/>
  <c r="B740" i="5"/>
  <c r="A741" i="5"/>
  <c r="B741" i="5"/>
  <c r="A742" i="5"/>
  <c r="B742" i="5"/>
  <c r="A743" i="5"/>
  <c r="B743" i="5"/>
  <c r="A744" i="5"/>
  <c r="B744" i="5"/>
  <c r="A745" i="5"/>
  <c r="B745" i="5"/>
  <c r="A746" i="5"/>
  <c r="B746" i="5"/>
  <c r="A747" i="5"/>
  <c r="B747" i="5"/>
  <c r="A748" i="5"/>
  <c r="B748" i="5"/>
  <c r="A749" i="5"/>
  <c r="B749" i="5"/>
  <c r="A750" i="5"/>
  <c r="B750" i="5"/>
  <c r="A751" i="5"/>
  <c r="B751" i="5"/>
  <c r="A752" i="5"/>
  <c r="B752" i="5"/>
  <c r="A753" i="5"/>
  <c r="B753" i="5"/>
  <c r="A754" i="5"/>
  <c r="B754" i="5"/>
  <c r="A755" i="5"/>
  <c r="B755" i="5"/>
  <c r="A756" i="5"/>
  <c r="B756" i="5"/>
  <c r="A757" i="5"/>
  <c r="B757" i="5"/>
  <c r="A758" i="5"/>
  <c r="B758" i="5"/>
  <c r="A759" i="5"/>
  <c r="B759" i="5"/>
  <c r="A760" i="5"/>
  <c r="B760" i="5"/>
  <c r="A761" i="5"/>
  <c r="B761" i="5"/>
  <c r="A762" i="5"/>
  <c r="B762" i="5"/>
  <c r="A763" i="5"/>
  <c r="B763" i="5"/>
  <c r="A764" i="5"/>
  <c r="B764" i="5"/>
  <c r="A765" i="5"/>
  <c r="B765" i="5"/>
  <c r="A766" i="5"/>
  <c r="B766" i="5"/>
  <c r="A767" i="5"/>
  <c r="B767" i="5"/>
  <c r="A768" i="5"/>
  <c r="B768" i="5"/>
  <c r="A769" i="5"/>
  <c r="B769" i="5"/>
  <c r="A770" i="5"/>
  <c r="B770" i="5"/>
  <c r="A771" i="5"/>
  <c r="B771" i="5"/>
  <c r="A772" i="5"/>
  <c r="B772" i="5"/>
  <c r="A773" i="5"/>
  <c r="B773" i="5"/>
  <c r="A774" i="5"/>
  <c r="B774" i="5"/>
  <c r="A775" i="5"/>
  <c r="B775" i="5"/>
  <c r="A776" i="5"/>
  <c r="B776" i="5"/>
  <c r="A777" i="5"/>
  <c r="B777" i="5"/>
  <c r="A778" i="5"/>
  <c r="B778" i="5"/>
  <c r="A779" i="5"/>
  <c r="B779" i="5"/>
  <c r="A780" i="5"/>
  <c r="B780" i="5"/>
  <c r="A781" i="5"/>
  <c r="B781" i="5"/>
  <c r="A782" i="5"/>
  <c r="B782" i="5"/>
  <c r="A783" i="5"/>
  <c r="B783" i="5"/>
  <c r="A784" i="5"/>
  <c r="B784" i="5"/>
  <c r="A785" i="5"/>
  <c r="B785" i="5"/>
  <c r="A786" i="5"/>
  <c r="B786" i="5"/>
  <c r="A787" i="5"/>
  <c r="B787" i="5"/>
  <c r="A788" i="5"/>
  <c r="B788" i="5"/>
  <c r="A789" i="5"/>
  <c r="B789" i="5"/>
  <c r="A790" i="5"/>
  <c r="B790" i="5"/>
  <c r="A791" i="5"/>
  <c r="B791" i="5"/>
  <c r="A792" i="5"/>
  <c r="B792" i="5"/>
  <c r="A793" i="5"/>
  <c r="B793" i="5"/>
  <c r="A794" i="5"/>
  <c r="B794" i="5"/>
  <c r="A795" i="5"/>
  <c r="B795" i="5"/>
  <c r="A796" i="5"/>
  <c r="B796" i="5"/>
  <c r="A797" i="5"/>
  <c r="B797" i="5"/>
  <c r="A798" i="5"/>
  <c r="B798" i="5"/>
  <c r="A799" i="5"/>
  <c r="B799" i="5"/>
  <c r="A800" i="5"/>
  <c r="B800" i="5"/>
  <c r="A801" i="5"/>
  <c r="B801" i="5"/>
  <c r="A802" i="5"/>
  <c r="B802" i="5"/>
  <c r="A803" i="5"/>
  <c r="B803" i="5"/>
  <c r="A804" i="5"/>
  <c r="B804" i="5"/>
  <c r="A805" i="5"/>
  <c r="B805" i="5"/>
  <c r="A806" i="5"/>
  <c r="B806" i="5"/>
  <c r="A807" i="5"/>
  <c r="B807" i="5"/>
  <c r="A808" i="5"/>
  <c r="B808" i="5"/>
  <c r="A809" i="5"/>
  <c r="B809" i="5"/>
  <c r="A810" i="5"/>
  <c r="B810" i="5"/>
  <c r="A811" i="5"/>
  <c r="B811" i="5"/>
  <c r="A812" i="5"/>
  <c r="B812" i="5"/>
  <c r="A813" i="5"/>
  <c r="B813" i="5"/>
  <c r="A814" i="5"/>
  <c r="B814" i="5"/>
  <c r="A815" i="5"/>
  <c r="B815" i="5"/>
  <c r="A816" i="5"/>
  <c r="B816" i="5"/>
  <c r="A817" i="5"/>
  <c r="B817" i="5"/>
  <c r="A818" i="5"/>
  <c r="B818" i="5"/>
  <c r="A819" i="5"/>
  <c r="B819" i="5"/>
  <c r="A820" i="5"/>
  <c r="B820" i="5"/>
  <c r="A821" i="5"/>
  <c r="B821" i="5"/>
  <c r="A822" i="5"/>
  <c r="B822" i="5"/>
  <c r="A823" i="5"/>
  <c r="B823" i="5"/>
  <c r="A824" i="5"/>
  <c r="B824" i="5"/>
  <c r="A825" i="5"/>
  <c r="B825" i="5"/>
  <c r="A826" i="5"/>
  <c r="B826" i="5"/>
  <c r="A827" i="5"/>
  <c r="B827" i="5"/>
  <c r="A828" i="5"/>
  <c r="B828" i="5"/>
  <c r="A829" i="5"/>
  <c r="B829" i="5"/>
  <c r="A830" i="5"/>
  <c r="B830" i="5"/>
  <c r="A831" i="5"/>
  <c r="B831" i="5"/>
  <c r="A832" i="5"/>
  <c r="B832" i="5"/>
  <c r="A833" i="5"/>
  <c r="B833" i="5"/>
  <c r="A834" i="5"/>
  <c r="B834" i="5"/>
  <c r="A835" i="5"/>
  <c r="B835" i="5"/>
  <c r="A836" i="5"/>
  <c r="B836" i="5"/>
  <c r="A837" i="5"/>
  <c r="B837" i="5"/>
  <c r="A838" i="5"/>
  <c r="B838" i="5"/>
  <c r="A839" i="5"/>
  <c r="B839" i="5"/>
  <c r="A840" i="5"/>
  <c r="B840" i="5"/>
  <c r="A841" i="5"/>
  <c r="B841" i="5"/>
  <c r="A842" i="5"/>
  <c r="B842" i="5"/>
  <c r="A843" i="5"/>
  <c r="B843" i="5"/>
  <c r="A844" i="5"/>
  <c r="B844" i="5"/>
  <c r="A845" i="5"/>
  <c r="B845" i="5"/>
  <c r="A846" i="5"/>
  <c r="B846" i="5"/>
  <c r="A847" i="5"/>
  <c r="B847" i="5"/>
  <c r="A848" i="5"/>
  <c r="B848" i="5"/>
  <c r="A849" i="5"/>
  <c r="B849" i="5"/>
  <c r="A850" i="5"/>
  <c r="B850" i="5"/>
  <c r="A851" i="5"/>
  <c r="B851" i="5"/>
  <c r="A852" i="5"/>
  <c r="B852" i="5"/>
  <c r="A853" i="5"/>
  <c r="B853" i="5"/>
  <c r="A854" i="5"/>
  <c r="B854" i="5"/>
  <c r="A855" i="5"/>
  <c r="B855" i="5"/>
  <c r="A856" i="5"/>
  <c r="B856" i="5"/>
  <c r="A857" i="5"/>
  <c r="B857" i="5"/>
  <c r="A858" i="5"/>
  <c r="B858" i="5"/>
  <c r="A859" i="5"/>
  <c r="B859" i="5"/>
  <c r="A860" i="5"/>
  <c r="B860" i="5"/>
  <c r="A861" i="5"/>
  <c r="B861" i="5"/>
  <c r="A862" i="5"/>
  <c r="B862" i="5"/>
  <c r="A863" i="5"/>
  <c r="B863" i="5"/>
  <c r="A864" i="5"/>
  <c r="B864" i="5"/>
  <c r="A865" i="5"/>
  <c r="B865" i="5"/>
  <c r="A866" i="5"/>
  <c r="B866" i="5"/>
  <c r="A867" i="5"/>
  <c r="B867" i="5"/>
  <c r="A868" i="5"/>
  <c r="B868" i="5"/>
  <c r="A869" i="5"/>
  <c r="B869" i="5"/>
  <c r="A870" i="5"/>
  <c r="B870" i="5"/>
  <c r="A871" i="5"/>
  <c r="B871" i="5"/>
  <c r="A872" i="5"/>
  <c r="B872" i="5"/>
  <c r="A873" i="5"/>
  <c r="B873" i="5"/>
  <c r="A874" i="5"/>
  <c r="B874" i="5"/>
  <c r="A875" i="5"/>
  <c r="B875" i="5"/>
  <c r="A876" i="5"/>
  <c r="B876" i="5"/>
  <c r="A877" i="5"/>
  <c r="B877" i="5"/>
  <c r="A878" i="5"/>
  <c r="B878" i="5"/>
  <c r="A879" i="5"/>
  <c r="B879" i="5"/>
  <c r="A880" i="5"/>
  <c r="B880" i="5"/>
  <c r="A881" i="5"/>
  <c r="B881" i="5"/>
  <c r="A882" i="5"/>
  <c r="B882" i="5"/>
  <c r="A883" i="5"/>
  <c r="B883" i="5"/>
  <c r="A884" i="5"/>
  <c r="B884" i="5"/>
  <c r="A885" i="5"/>
  <c r="B885" i="5"/>
  <c r="A886" i="5"/>
  <c r="B886" i="5"/>
  <c r="A887" i="5"/>
  <c r="B887" i="5"/>
  <c r="A888" i="5"/>
  <c r="B888" i="5"/>
  <c r="A889" i="5"/>
  <c r="B889" i="5"/>
  <c r="A890" i="5"/>
  <c r="B890" i="5"/>
  <c r="A891" i="5"/>
  <c r="B891" i="5"/>
  <c r="A892" i="5"/>
  <c r="B892" i="5"/>
  <c r="A893" i="5"/>
  <c r="B893" i="5"/>
  <c r="A894" i="5"/>
  <c r="B894" i="5"/>
  <c r="A895" i="5"/>
  <c r="B895" i="5"/>
  <c r="A896" i="5"/>
  <c r="B896" i="5"/>
  <c r="A897" i="5"/>
  <c r="B897" i="5"/>
  <c r="A898" i="5"/>
  <c r="B898" i="5"/>
  <c r="A899" i="5"/>
  <c r="B899" i="5"/>
  <c r="A900" i="5"/>
  <c r="B900" i="5"/>
  <c r="A901" i="5"/>
  <c r="B901" i="5"/>
  <c r="A902" i="5"/>
  <c r="B902" i="5"/>
  <c r="A903" i="5"/>
  <c r="B903" i="5"/>
  <c r="A904" i="5"/>
  <c r="B904" i="5"/>
  <c r="A905" i="5"/>
  <c r="B905" i="5"/>
  <c r="A906" i="5"/>
  <c r="B906" i="5"/>
  <c r="A907" i="5"/>
  <c r="B907" i="5"/>
  <c r="A908" i="5"/>
  <c r="B908" i="5"/>
  <c r="A909" i="5"/>
  <c r="B909" i="5"/>
  <c r="A910" i="5"/>
  <c r="B910" i="5"/>
  <c r="A911" i="5"/>
  <c r="B911" i="5"/>
  <c r="A912" i="5"/>
  <c r="B912" i="5"/>
  <c r="A913" i="5"/>
  <c r="B913" i="5"/>
  <c r="A914" i="5"/>
  <c r="B914" i="5"/>
  <c r="A915" i="5"/>
  <c r="B915" i="5"/>
  <c r="A916" i="5"/>
  <c r="B916" i="5"/>
  <c r="A917" i="5"/>
  <c r="B917" i="5"/>
  <c r="A918" i="5"/>
  <c r="B918" i="5"/>
  <c r="A919" i="5"/>
  <c r="B919" i="5"/>
  <c r="A920" i="5"/>
  <c r="B920" i="5"/>
  <c r="A921" i="5"/>
  <c r="B921" i="5"/>
  <c r="A922" i="5"/>
  <c r="B922" i="5"/>
  <c r="A923" i="5"/>
  <c r="B923" i="5"/>
  <c r="A924" i="5"/>
  <c r="B924" i="5"/>
  <c r="A925" i="5"/>
  <c r="B925" i="5"/>
  <c r="A926" i="5"/>
  <c r="B926" i="5"/>
  <c r="A927" i="5"/>
  <c r="B927" i="5"/>
  <c r="A928" i="5"/>
  <c r="B928" i="5"/>
  <c r="A929" i="5"/>
  <c r="B929" i="5"/>
  <c r="A930" i="5"/>
  <c r="B930" i="5"/>
  <c r="A931" i="5"/>
  <c r="B931" i="5"/>
  <c r="A932" i="5"/>
  <c r="B932" i="5"/>
  <c r="A933" i="5"/>
  <c r="B933" i="5"/>
  <c r="A934" i="5"/>
  <c r="B934" i="5"/>
  <c r="A935" i="5"/>
  <c r="B935" i="5"/>
  <c r="A936" i="5"/>
  <c r="B936" i="5"/>
  <c r="A937" i="5"/>
  <c r="B937" i="5"/>
  <c r="A938" i="5"/>
  <c r="B938" i="5"/>
  <c r="A939" i="5"/>
  <c r="B939" i="5"/>
  <c r="A940" i="5"/>
  <c r="B940" i="5"/>
  <c r="A941" i="5"/>
  <c r="B941" i="5"/>
  <c r="A942" i="5"/>
  <c r="B942" i="5"/>
  <c r="A943" i="5"/>
  <c r="B943" i="5"/>
  <c r="A944" i="5"/>
  <c r="B944" i="5"/>
  <c r="A945" i="5"/>
  <c r="B945" i="5"/>
  <c r="A946" i="5"/>
  <c r="B946" i="5"/>
  <c r="A947" i="5"/>
  <c r="B947" i="5"/>
  <c r="A948" i="5"/>
  <c r="B948" i="5"/>
  <c r="A949" i="5"/>
  <c r="B949" i="5"/>
  <c r="A950" i="5"/>
  <c r="B950" i="5"/>
  <c r="A951" i="5"/>
  <c r="B951" i="5"/>
  <c r="A952" i="5"/>
  <c r="B952" i="5"/>
  <c r="A953" i="5"/>
  <c r="B953" i="5"/>
  <c r="A954" i="5"/>
  <c r="B954" i="5"/>
  <c r="A955" i="5"/>
  <c r="B955" i="5"/>
  <c r="A956" i="5"/>
  <c r="B956" i="5"/>
  <c r="A957" i="5"/>
  <c r="B957" i="5"/>
  <c r="A958" i="5"/>
  <c r="B958" i="5"/>
  <c r="A959" i="5"/>
  <c r="B959" i="5"/>
  <c r="A960" i="5"/>
  <c r="B960" i="5"/>
  <c r="A961" i="5"/>
  <c r="B961" i="5"/>
  <c r="A962" i="5"/>
  <c r="B962" i="5"/>
  <c r="A963" i="5"/>
  <c r="B963" i="5"/>
  <c r="A964" i="5"/>
  <c r="B964" i="5"/>
  <c r="A965" i="5"/>
  <c r="B965" i="5"/>
  <c r="A966" i="5"/>
  <c r="B966" i="5"/>
  <c r="A967" i="5"/>
  <c r="B967" i="5"/>
  <c r="A968" i="5"/>
  <c r="B968" i="5"/>
  <c r="A969" i="5"/>
  <c r="B969" i="5"/>
  <c r="A970" i="5"/>
  <c r="B970" i="5"/>
  <c r="A971" i="5"/>
  <c r="B971" i="5"/>
  <c r="A972" i="5"/>
  <c r="B972" i="5"/>
  <c r="A973" i="5"/>
  <c r="B973" i="5"/>
  <c r="A974" i="5"/>
  <c r="B974" i="5"/>
  <c r="A975" i="5"/>
  <c r="B975" i="5"/>
  <c r="A976" i="5"/>
  <c r="B976" i="5"/>
  <c r="A977" i="5"/>
  <c r="B977" i="5"/>
  <c r="A978" i="5"/>
  <c r="B978" i="5"/>
  <c r="A979" i="5"/>
  <c r="B979" i="5"/>
  <c r="A980" i="5"/>
  <c r="B980" i="5"/>
  <c r="A981" i="5"/>
  <c r="B981" i="5"/>
  <c r="A982" i="5"/>
  <c r="B982" i="5"/>
  <c r="A983" i="5"/>
  <c r="B983" i="5"/>
  <c r="A984" i="5"/>
  <c r="B984" i="5"/>
  <c r="A985" i="5"/>
  <c r="B985" i="5"/>
  <c r="A986" i="5"/>
  <c r="B986" i="5"/>
  <c r="A987" i="5"/>
  <c r="B987" i="5"/>
  <c r="A988" i="5"/>
  <c r="B988" i="5"/>
  <c r="A989" i="5"/>
  <c r="B989" i="5"/>
  <c r="A990" i="5"/>
  <c r="B990" i="5"/>
  <c r="A991" i="5"/>
  <c r="B991" i="5"/>
  <c r="A992" i="5"/>
  <c r="B992" i="5"/>
  <c r="A993" i="5"/>
  <c r="B993" i="5"/>
  <c r="A994" i="5"/>
  <c r="B994" i="5"/>
  <c r="A995" i="5"/>
  <c r="B995" i="5"/>
  <c r="A996" i="5"/>
  <c r="B996" i="5"/>
  <c r="A997" i="5"/>
  <c r="B997" i="5"/>
  <c r="A998" i="5"/>
  <c r="B998" i="5"/>
  <c r="A999" i="5"/>
  <c r="B999" i="5"/>
  <c r="A1000" i="5"/>
  <c r="B1000" i="5"/>
  <c r="A1001" i="5"/>
  <c r="B1001" i="5"/>
  <c r="A1002" i="5"/>
  <c r="B1002" i="5"/>
  <c r="A1003" i="5"/>
  <c r="B1003" i="5"/>
  <c r="A1004" i="5"/>
  <c r="B1004" i="5"/>
  <c r="A1005" i="5"/>
  <c r="B1005" i="5"/>
  <c r="A1006" i="5"/>
  <c r="B1006" i="5"/>
  <c r="A1007" i="5"/>
  <c r="B1007" i="5"/>
  <c r="A1008" i="5"/>
  <c r="B1008" i="5"/>
  <c r="A1009" i="5"/>
  <c r="B1009" i="5"/>
  <c r="A1010" i="5"/>
  <c r="B1010" i="5"/>
  <c r="A1011" i="5"/>
  <c r="B1011" i="5"/>
  <c r="A1012" i="5"/>
  <c r="B1012" i="5"/>
  <c r="A1013" i="5"/>
  <c r="B1013" i="5"/>
  <c r="A1014" i="5"/>
  <c r="B1014" i="5"/>
  <c r="A1015" i="5"/>
  <c r="B1015" i="5"/>
  <c r="A1016" i="5"/>
  <c r="B1016" i="5"/>
  <c r="A1017" i="5"/>
  <c r="B1017" i="5"/>
  <c r="A1018" i="5"/>
  <c r="B1018" i="5"/>
  <c r="A1019" i="5"/>
  <c r="B1019" i="5"/>
  <c r="A1020" i="5"/>
  <c r="B1020" i="5"/>
  <c r="A1021" i="5"/>
  <c r="B1021" i="5"/>
  <c r="A1022" i="5"/>
  <c r="B1022" i="5"/>
  <c r="A1023" i="5"/>
  <c r="B1023" i="5"/>
  <c r="A1024" i="5"/>
  <c r="B1024" i="5"/>
  <c r="A1025" i="5"/>
  <c r="B1025" i="5"/>
  <c r="A1026" i="5"/>
  <c r="B1026" i="5"/>
  <c r="A1027" i="5"/>
  <c r="B1027" i="5"/>
  <c r="A1028" i="5"/>
  <c r="B1028" i="5"/>
  <c r="A1029" i="5"/>
  <c r="B1029" i="5"/>
  <c r="A1030" i="5"/>
  <c r="B1030" i="5"/>
  <c r="A1031" i="5"/>
  <c r="B1031" i="5"/>
  <c r="A1032" i="5"/>
  <c r="B1032" i="5"/>
  <c r="A1033" i="5"/>
  <c r="B1033" i="5"/>
  <c r="A1034" i="5"/>
  <c r="B1034" i="5"/>
  <c r="A1035" i="5"/>
  <c r="B1035" i="5"/>
  <c r="A1036" i="5"/>
  <c r="B1036" i="5"/>
  <c r="A1037" i="5"/>
  <c r="B1037" i="5"/>
  <c r="A1038" i="5"/>
  <c r="B1038" i="5"/>
  <c r="A1039" i="5"/>
  <c r="B1039" i="5"/>
  <c r="A1040" i="5"/>
  <c r="B1040" i="5"/>
  <c r="A1041" i="5"/>
  <c r="B1041" i="5"/>
  <c r="A1042" i="5"/>
  <c r="B1042" i="5"/>
  <c r="A1043" i="5"/>
  <c r="B1043" i="5"/>
  <c r="A1044" i="5"/>
  <c r="B1044" i="5"/>
  <c r="A1045" i="5"/>
  <c r="B1045" i="5"/>
  <c r="A1046" i="5"/>
  <c r="B1046" i="5"/>
  <c r="A1047" i="5"/>
  <c r="B1047" i="5"/>
  <c r="A1048" i="5"/>
  <c r="B1048" i="5"/>
  <c r="A1049" i="5"/>
  <c r="B1049" i="5"/>
  <c r="A1050" i="5"/>
  <c r="B1050" i="5"/>
  <c r="A1051" i="5"/>
  <c r="B1051" i="5"/>
  <c r="A1052" i="5"/>
  <c r="B1052" i="5"/>
  <c r="A1053" i="5"/>
  <c r="B1053" i="5"/>
  <c r="A1054" i="5"/>
  <c r="B1054" i="5"/>
  <c r="A1055" i="5"/>
  <c r="B1055" i="5"/>
  <c r="A1056" i="5"/>
  <c r="B1056" i="5"/>
  <c r="A1057" i="5"/>
  <c r="B1057" i="5"/>
  <c r="A1058" i="5"/>
  <c r="B1058" i="5"/>
  <c r="A1059" i="5"/>
  <c r="B1059" i="5"/>
  <c r="A1060" i="5"/>
  <c r="B1060" i="5"/>
  <c r="A1061" i="5"/>
  <c r="B1061" i="5"/>
  <c r="A1062" i="5"/>
  <c r="B1062" i="5"/>
  <c r="A1063" i="5"/>
  <c r="B1063" i="5"/>
  <c r="A1064" i="5"/>
  <c r="B1064" i="5"/>
  <c r="A1065" i="5"/>
  <c r="B1065" i="5"/>
  <c r="A1066" i="5"/>
  <c r="B1066" i="5"/>
  <c r="A1067" i="5"/>
  <c r="B1067" i="5"/>
  <c r="A1068" i="5"/>
  <c r="B1068" i="5"/>
  <c r="A1069" i="5"/>
  <c r="B1069" i="5"/>
  <c r="A1070" i="5"/>
  <c r="B1070" i="5"/>
  <c r="A1071" i="5"/>
  <c r="B1071" i="5"/>
  <c r="A1072" i="5"/>
  <c r="B1072" i="5"/>
  <c r="A1073" i="5"/>
  <c r="B1073" i="5"/>
  <c r="A1074" i="5"/>
  <c r="B1074" i="5"/>
  <c r="A1075" i="5"/>
  <c r="B1075" i="5"/>
  <c r="A1076" i="5"/>
  <c r="B1076" i="5"/>
  <c r="A1077" i="5"/>
  <c r="B1077" i="5"/>
  <c r="A1078" i="5"/>
  <c r="B1078" i="5"/>
  <c r="A1079" i="5"/>
  <c r="B1079" i="5"/>
  <c r="A1080" i="5"/>
  <c r="B1080" i="5"/>
  <c r="A1081" i="5"/>
  <c r="B1081" i="5"/>
  <c r="A1082" i="5"/>
  <c r="B1082" i="5"/>
  <c r="A1083" i="5"/>
  <c r="B1083" i="5"/>
  <c r="A1084" i="5"/>
  <c r="B1084" i="5"/>
  <c r="A1085" i="5"/>
  <c r="B1085" i="5"/>
  <c r="A1086" i="5"/>
  <c r="B1086" i="5"/>
  <c r="A1087" i="5"/>
  <c r="B1087" i="5"/>
  <c r="A1088" i="5"/>
  <c r="B1088" i="5"/>
  <c r="A1089" i="5"/>
  <c r="B1089" i="5"/>
  <c r="A1090" i="5"/>
  <c r="B1090" i="5"/>
  <c r="A1091" i="5"/>
  <c r="B1091" i="5"/>
  <c r="A1092" i="5"/>
  <c r="B1092" i="5"/>
  <c r="A1093" i="5"/>
  <c r="B1093" i="5"/>
  <c r="A1094" i="5"/>
  <c r="B1094" i="5"/>
  <c r="A1095" i="5"/>
  <c r="B1095" i="5"/>
  <c r="A1096" i="5"/>
  <c r="B1096" i="5"/>
  <c r="A1097" i="5"/>
  <c r="B1097" i="5"/>
  <c r="A1098" i="5"/>
  <c r="B1098" i="5"/>
  <c r="A1099" i="5"/>
  <c r="B1099" i="5"/>
  <c r="A1100" i="5"/>
  <c r="B1100" i="5"/>
  <c r="A1101" i="5"/>
  <c r="B1101" i="5"/>
  <c r="A1102" i="5"/>
  <c r="B1102" i="5"/>
  <c r="A1103" i="5"/>
  <c r="B1103" i="5"/>
  <c r="A1104" i="5"/>
  <c r="B1104" i="5"/>
  <c r="A1105" i="5"/>
  <c r="B1105" i="5"/>
  <c r="A1106" i="5"/>
  <c r="B1106" i="5"/>
  <c r="A1107" i="5"/>
  <c r="B1107" i="5"/>
  <c r="A1108" i="5"/>
  <c r="B1108" i="5"/>
  <c r="A1109" i="5"/>
  <c r="B1109" i="5"/>
  <c r="A1110" i="5"/>
  <c r="B1110" i="5"/>
  <c r="A1111" i="5"/>
  <c r="B1111" i="5"/>
  <c r="A1112" i="5"/>
  <c r="B1112" i="5"/>
  <c r="A1113" i="5"/>
  <c r="B1113" i="5"/>
  <c r="A1114" i="5"/>
  <c r="B1114" i="5"/>
  <c r="A1115" i="5"/>
  <c r="B1115" i="5"/>
  <c r="A1116" i="5"/>
  <c r="B1116" i="5"/>
  <c r="A1117" i="5"/>
  <c r="B1117" i="5"/>
  <c r="A1118" i="5"/>
  <c r="B1118" i="5"/>
  <c r="A1119" i="5"/>
  <c r="B1119" i="5"/>
  <c r="A1120" i="5"/>
  <c r="B1120" i="5"/>
  <c r="A1121" i="5"/>
  <c r="B1121" i="5"/>
  <c r="A1122" i="5"/>
  <c r="B1122" i="5"/>
  <c r="A1123" i="5"/>
  <c r="B1123" i="5"/>
  <c r="A1124" i="5"/>
  <c r="B1124" i="5"/>
  <c r="A1125" i="5"/>
  <c r="B1125" i="5"/>
  <c r="A1126" i="5"/>
  <c r="B1126" i="5"/>
  <c r="A1127" i="5"/>
  <c r="B1127" i="5"/>
  <c r="A1128" i="5"/>
  <c r="B1128" i="5"/>
  <c r="A1129" i="5"/>
  <c r="B1129" i="5"/>
  <c r="A1130" i="5"/>
  <c r="B1130" i="5"/>
  <c r="A1131" i="5"/>
  <c r="B1131" i="5"/>
  <c r="A1132" i="5"/>
  <c r="B1132" i="5"/>
  <c r="A1133" i="5"/>
  <c r="B1133" i="5"/>
  <c r="A1134" i="5"/>
  <c r="B1134" i="5"/>
  <c r="A1135" i="5"/>
  <c r="B1135" i="5"/>
  <c r="A1136" i="5"/>
  <c r="B1136" i="5"/>
  <c r="A1137" i="5"/>
  <c r="B1137" i="5"/>
  <c r="A1138" i="5"/>
  <c r="B1138" i="5"/>
  <c r="A1139" i="5"/>
  <c r="B1139" i="5"/>
  <c r="A1140" i="5"/>
  <c r="B1140" i="5"/>
  <c r="A1141" i="5"/>
  <c r="B1141" i="5"/>
  <c r="A1142" i="5"/>
  <c r="B1142" i="5"/>
  <c r="A1143" i="5"/>
  <c r="B1143" i="5"/>
  <c r="A1144" i="5"/>
  <c r="B1144" i="5"/>
  <c r="A1145" i="5"/>
  <c r="B1145" i="5"/>
  <c r="A1146" i="5"/>
  <c r="B1146" i="5"/>
  <c r="A1147" i="5"/>
  <c r="B1147" i="5"/>
  <c r="A1148" i="5"/>
  <c r="B1148" i="5"/>
  <c r="A1149" i="5"/>
  <c r="B1149" i="5"/>
  <c r="A1150" i="5"/>
  <c r="B1150" i="5"/>
  <c r="A1151" i="5"/>
  <c r="B1151" i="5"/>
  <c r="A1152" i="5"/>
  <c r="B1152" i="5"/>
  <c r="A1153" i="5"/>
  <c r="B1153" i="5"/>
  <c r="A1154" i="5"/>
  <c r="B1154" i="5"/>
  <c r="A1155" i="5"/>
  <c r="B1155" i="5"/>
  <c r="A1156" i="5"/>
  <c r="B1156" i="5"/>
  <c r="A1157" i="5"/>
  <c r="B1157" i="5"/>
  <c r="A1158" i="5"/>
  <c r="B1158" i="5"/>
  <c r="A1159" i="5"/>
  <c r="B1159" i="5"/>
  <c r="A1160" i="5"/>
  <c r="B1160" i="5"/>
  <c r="A1161" i="5"/>
  <c r="B1161" i="5"/>
  <c r="A1162" i="5"/>
  <c r="B1162" i="5"/>
  <c r="A1163" i="5"/>
  <c r="B1163" i="5"/>
  <c r="A1164" i="5"/>
  <c r="B1164" i="5"/>
  <c r="A1165" i="5"/>
  <c r="B1165" i="5"/>
  <c r="A1166" i="5"/>
  <c r="B1166" i="5"/>
  <c r="A1167" i="5"/>
  <c r="B1167" i="5"/>
  <c r="A1168" i="5"/>
  <c r="B1168" i="5"/>
  <c r="A1169" i="5"/>
  <c r="B1169" i="5"/>
  <c r="A1170" i="5"/>
  <c r="B1170" i="5"/>
  <c r="A1171" i="5"/>
  <c r="B1171" i="5"/>
  <c r="A1172" i="5"/>
  <c r="B1172" i="5"/>
  <c r="A1173" i="5"/>
  <c r="B1173" i="5"/>
  <c r="A1174" i="5"/>
  <c r="B1174" i="5"/>
  <c r="A1175" i="5"/>
  <c r="B1175" i="5"/>
  <c r="A1176" i="5"/>
  <c r="B1176" i="5"/>
  <c r="A1177" i="5"/>
  <c r="B1177" i="5"/>
  <c r="A1178" i="5"/>
  <c r="B1178" i="5"/>
  <c r="A1179" i="5"/>
  <c r="B1179" i="5"/>
  <c r="A1180" i="5"/>
  <c r="B1180" i="5"/>
  <c r="A1181" i="5"/>
  <c r="B1181" i="5"/>
  <c r="A1182" i="5"/>
  <c r="B1182" i="5"/>
  <c r="A1183" i="5"/>
  <c r="B1183" i="5"/>
  <c r="A1184" i="5"/>
  <c r="B1184" i="5"/>
  <c r="A1185" i="5"/>
  <c r="B1185" i="5"/>
  <c r="A1186" i="5"/>
  <c r="B1186" i="5"/>
  <c r="A1187" i="5"/>
  <c r="B1187" i="5"/>
  <c r="A1188" i="5"/>
  <c r="B1188" i="5"/>
  <c r="A1189" i="5"/>
  <c r="B1189" i="5"/>
  <c r="A1190" i="5"/>
  <c r="B1190" i="5"/>
  <c r="A1191" i="5"/>
  <c r="B1191" i="5"/>
  <c r="A1192" i="5"/>
  <c r="B1192" i="5"/>
  <c r="A1193" i="5"/>
  <c r="B1193" i="5"/>
  <c r="A1194" i="5"/>
  <c r="B1194" i="5"/>
  <c r="A1195" i="5"/>
  <c r="B1195" i="5"/>
  <c r="A1196" i="5"/>
  <c r="B1196" i="5"/>
  <c r="A1197" i="5"/>
  <c r="B1197" i="5"/>
  <c r="A1198" i="5"/>
  <c r="B1198" i="5"/>
  <c r="A1199" i="5"/>
  <c r="B1199" i="5"/>
  <c r="A1200" i="5"/>
  <c r="B1200" i="5"/>
  <c r="A1201" i="5"/>
  <c r="B1201" i="5"/>
  <c r="A1202" i="5"/>
  <c r="B1202" i="5"/>
  <c r="A1203" i="5"/>
  <c r="B1203" i="5"/>
  <c r="A1204" i="5"/>
  <c r="B1204" i="5"/>
  <c r="A1205" i="5"/>
  <c r="B1205" i="5"/>
  <c r="A1206" i="5"/>
  <c r="B1206" i="5"/>
  <c r="A1207" i="5"/>
  <c r="B1207" i="5"/>
  <c r="A1208" i="5"/>
  <c r="B1208" i="5"/>
  <c r="A1209" i="5"/>
  <c r="B1209" i="5"/>
  <c r="A1210" i="5"/>
  <c r="B1210" i="5"/>
  <c r="A1211" i="5"/>
  <c r="B1211" i="5"/>
  <c r="A1212" i="5"/>
  <c r="B1212" i="5"/>
  <c r="A1213" i="5"/>
  <c r="B1213" i="5"/>
  <c r="A1214" i="5"/>
  <c r="B1214" i="5"/>
  <c r="A1215" i="5"/>
  <c r="B1215" i="5"/>
  <c r="A1216" i="5"/>
  <c r="B1216" i="5"/>
  <c r="A1217" i="5"/>
  <c r="B1217" i="5"/>
  <c r="A1218" i="5"/>
  <c r="B1218" i="5"/>
  <c r="A1219" i="5"/>
  <c r="B1219" i="5"/>
  <c r="A1220" i="5"/>
  <c r="B1220" i="5"/>
  <c r="A1221" i="5"/>
  <c r="B1221" i="5"/>
  <c r="A1222" i="5"/>
  <c r="B1222" i="5"/>
  <c r="A1223" i="5"/>
  <c r="B1223" i="5"/>
  <c r="A1224" i="5"/>
  <c r="B1224" i="5"/>
  <c r="A1225" i="5"/>
  <c r="B1225" i="5"/>
  <c r="A1226" i="5"/>
  <c r="B1226" i="5"/>
  <c r="A1227" i="5"/>
  <c r="B1227" i="5"/>
  <c r="A1228" i="5"/>
  <c r="B1228" i="5"/>
  <c r="A1229" i="5"/>
  <c r="B1229" i="5"/>
  <c r="A1230" i="5"/>
  <c r="B1230" i="5"/>
  <c r="A1231" i="5"/>
  <c r="B1231" i="5"/>
  <c r="A1232" i="5"/>
  <c r="B1232" i="5"/>
  <c r="A1233" i="5"/>
  <c r="B1233" i="5"/>
  <c r="A1234" i="5"/>
  <c r="B1234" i="5"/>
  <c r="A1235" i="5"/>
  <c r="B1235" i="5"/>
  <c r="A1236" i="5"/>
  <c r="B1236" i="5"/>
  <c r="A1237" i="5"/>
  <c r="B1237" i="5"/>
  <c r="A1238" i="5"/>
  <c r="B1238" i="5"/>
  <c r="A1239" i="5"/>
  <c r="B1239" i="5"/>
  <c r="A1240" i="5"/>
  <c r="B1240" i="5"/>
  <c r="A1241" i="5"/>
  <c r="B1241" i="5"/>
  <c r="A1242" i="5"/>
  <c r="B1242" i="5"/>
  <c r="A1243" i="5"/>
  <c r="B1243" i="5"/>
  <c r="A1244" i="5"/>
  <c r="B1244" i="5"/>
  <c r="A1245" i="5"/>
  <c r="B1245" i="5"/>
  <c r="A1246" i="5"/>
  <c r="B1246" i="5"/>
  <c r="A1247" i="5"/>
  <c r="B1247" i="5"/>
  <c r="A1248" i="5"/>
  <c r="B1248" i="5"/>
  <c r="A1249" i="5"/>
  <c r="B1249" i="5"/>
  <c r="A1250" i="5"/>
  <c r="B1250" i="5"/>
  <c r="A1251" i="5"/>
  <c r="B1251" i="5"/>
  <c r="A1252" i="5"/>
  <c r="B1252" i="5"/>
  <c r="A1253" i="5"/>
  <c r="B1253" i="5"/>
  <c r="A1254" i="5"/>
  <c r="B1254" i="5"/>
  <c r="A1255" i="5"/>
  <c r="B1255" i="5"/>
  <c r="A1256" i="5"/>
  <c r="B1256" i="5"/>
  <c r="A1257" i="5"/>
  <c r="B1257" i="5"/>
  <c r="A1258" i="5"/>
  <c r="B1258" i="5"/>
  <c r="A1259" i="5"/>
  <c r="B1259" i="5"/>
  <c r="A1260" i="5"/>
  <c r="B1260" i="5"/>
  <c r="A1261" i="5"/>
  <c r="B1261" i="5"/>
  <c r="A1262" i="5"/>
  <c r="B1262" i="5"/>
  <c r="A1263" i="5"/>
  <c r="B1263" i="5"/>
  <c r="A1264" i="5"/>
  <c r="B1264" i="5"/>
  <c r="A1265" i="5"/>
  <c r="B1265" i="5"/>
  <c r="A1266" i="5"/>
  <c r="B1266" i="5"/>
  <c r="A1267" i="5"/>
  <c r="B1267" i="5"/>
  <c r="A1268" i="5"/>
  <c r="B1268" i="5"/>
  <c r="A1269" i="5"/>
  <c r="B1269" i="5"/>
  <c r="A1270" i="5"/>
  <c r="B1270" i="5"/>
  <c r="A1271" i="5"/>
  <c r="B1271" i="5"/>
  <c r="A1272" i="5"/>
  <c r="B1272" i="5"/>
  <c r="A1273" i="5"/>
  <c r="B1273" i="5"/>
  <c r="A1274" i="5"/>
  <c r="B1274" i="5"/>
  <c r="A1275" i="5"/>
  <c r="B1275" i="5"/>
  <c r="A1276" i="5"/>
  <c r="B1276" i="5"/>
  <c r="A1277" i="5"/>
  <c r="B1277" i="5"/>
  <c r="A1278" i="5"/>
  <c r="B1278" i="5"/>
  <c r="A1279" i="5"/>
  <c r="B1279" i="5"/>
  <c r="A1280" i="5"/>
  <c r="B1280" i="5"/>
  <c r="A1281" i="5"/>
  <c r="B1281" i="5"/>
  <c r="A1282" i="5"/>
  <c r="B1282" i="5"/>
  <c r="A1283" i="5"/>
  <c r="B1283" i="5"/>
  <c r="A1284" i="5"/>
  <c r="B1284" i="5"/>
  <c r="A1285" i="5"/>
  <c r="B1285" i="5"/>
  <c r="A1286" i="5"/>
  <c r="B1286" i="5"/>
  <c r="A1287" i="5"/>
  <c r="B1287" i="5"/>
  <c r="A1288" i="5"/>
  <c r="B1288" i="5"/>
  <c r="A1289" i="5"/>
  <c r="B1289" i="5"/>
  <c r="A1290" i="5"/>
  <c r="B1290" i="5"/>
  <c r="A1291" i="5"/>
  <c r="B1291" i="5"/>
  <c r="A1292" i="5"/>
  <c r="B1292" i="5"/>
  <c r="A1293" i="5"/>
  <c r="B1293" i="5"/>
  <c r="A1294" i="5"/>
  <c r="B1294" i="5"/>
  <c r="A1295" i="5"/>
  <c r="B1295" i="5"/>
  <c r="A1296" i="5"/>
  <c r="B1296" i="5"/>
  <c r="A1297" i="5"/>
  <c r="B1297" i="5"/>
  <c r="A1298" i="5"/>
  <c r="B1298" i="5"/>
  <c r="A1299" i="5"/>
  <c r="B1299" i="5"/>
  <c r="A1300" i="5"/>
  <c r="B1300" i="5"/>
  <c r="A1301" i="5"/>
  <c r="B1301" i="5"/>
  <c r="A1302" i="5"/>
  <c r="B1302" i="5"/>
  <c r="A1303" i="5"/>
  <c r="B1303" i="5"/>
  <c r="A1304" i="5"/>
  <c r="B1304" i="5"/>
  <c r="A1305" i="5"/>
  <c r="B1305" i="5"/>
  <c r="A1306" i="5"/>
  <c r="B1306" i="5"/>
  <c r="A1307" i="5"/>
  <c r="B1307" i="5"/>
  <c r="A1308" i="5"/>
  <c r="B1308" i="5"/>
  <c r="A1309" i="5"/>
  <c r="B1309" i="5"/>
  <c r="A1310" i="5"/>
  <c r="B1310" i="5"/>
  <c r="A1311" i="5"/>
  <c r="B1311" i="5"/>
  <c r="A1312" i="5"/>
  <c r="B1312" i="5"/>
  <c r="A1313" i="5"/>
  <c r="B1313" i="5"/>
  <c r="A1314" i="5"/>
  <c r="B1314" i="5"/>
  <c r="A1315" i="5"/>
  <c r="B1315" i="5"/>
  <c r="A1316" i="5"/>
  <c r="B1316" i="5"/>
  <c r="A1317" i="5"/>
  <c r="B1317" i="5"/>
  <c r="A1318" i="5"/>
  <c r="B1318" i="5"/>
  <c r="A1319" i="5"/>
  <c r="B1319" i="5"/>
  <c r="A1320" i="5"/>
  <c r="B1320" i="5"/>
  <c r="A1321" i="5"/>
  <c r="B1321" i="5"/>
  <c r="A1322" i="5"/>
  <c r="B1322" i="5"/>
  <c r="A1323" i="5"/>
  <c r="B1323" i="5"/>
  <c r="A1324" i="5"/>
  <c r="B1324" i="5"/>
  <c r="A1325" i="5"/>
  <c r="B1325" i="5"/>
  <c r="A1326" i="5"/>
  <c r="B1326" i="5"/>
  <c r="A1327" i="5"/>
  <c r="B1327" i="5"/>
  <c r="A1328" i="5"/>
  <c r="B1328" i="5"/>
  <c r="A1329" i="5"/>
  <c r="B1329" i="5"/>
  <c r="A1330" i="5"/>
  <c r="B1330" i="5"/>
  <c r="A1331" i="5"/>
  <c r="B1331" i="5"/>
  <c r="A1332" i="5"/>
  <c r="B1332" i="5"/>
  <c r="A1333" i="5"/>
  <c r="B1333" i="5"/>
  <c r="A1334" i="5"/>
  <c r="B1334" i="5"/>
  <c r="A1335" i="5"/>
  <c r="B1335" i="5"/>
  <c r="A1336" i="5"/>
  <c r="B1336" i="5"/>
  <c r="A1337" i="5"/>
  <c r="B1337" i="5"/>
  <c r="A1338" i="5"/>
  <c r="B1338" i="5"/>
  <c r="A1339" i="5"/>
  <c r="B1339" i="5"/>
  <c r="A1340" i="5"/>
  <c r="B1340" i="5"/>
  <c r="A1341" i="5"/>
  <c r="B1341" i="5"/>
  <c r="A1342" i="5"/>
  <c r="B1342" i="5"/>
  <c r="A1343" i="5"/>
  <c r="B1343" i="5"/>
  <c r="A1344" i="5"/>
  <c r="B1344" i="5"/>
  <c r="A1345" i="5"/>
  <c r="B1345" i="5"/>
  <c r="A1346" i="5"/>
  <c r="B1346" i="5"/>
  <c r="A1347" i="5"/>
  <c r="B1347" i="5"/>
  <c r="A1348" i="5"/>
  <c r="B1348" i="5"/>
  <c r="A1349" i="5"/>
  <c r="B1349" i="5"/>
  <c r="A1350" i="5"/>
  <c r="B1350" i="5"/>
  <c r="A1351" i="5"/>
  <c r="B1351" i="5"/>
  <c r="A1352" i="5"/>
  <c r="B1352" i="5"/>
  <c r="A1353" i="5"/>
  <c r="B1353" i="5"/>
  <c r="A1354" i="5"/>
  <c r="B1354" i="5"/>
  <c r="A1355" i="5"/>
  <c r="B1355" i="5"/>
  <c r="A1356" i="5"/>
  <c r="B1356" i="5"/>
  <c r="A1357" i="5"/>
  <c r="B1357" i="5"/>
  <c r="A1358" i="5"/>
  <c r="B1358" i="5"/>
  <c r="A1359" i="5"/>
  <c r="B1359" i="5"/>
  <c r="A1360" i="5"/>
  <c r="B1360" i="5"/>
  <c r="A1361" i="5"/>
  <c r="B1361" i="5"/>
  <c r="A1362" i="5"/>
  <c r="B1362" i="5"/>
  <c r="A1363" i="5"/>
  <c r="B1363" i="5"/>
  <c r="A1364" i="5"/>
  <c r="B1364" i="5"/>
  <c r="A1365" i="5"/>
  <c r="B1365" i="5"/>
  <c r="A1366" i="5"/>
  <c r="B1366" i="5"/>
  <c r="A1367" i="5"/>
  <c r="B1367" i="5"/>
  <c r="A1368" i="5"/>
  <c r="B1368" i="5"/>
  <c r="A1369" i="5"/>
  <c r="B1369" i="5"/>
  <c r="A1370" i="5"/>
  <c r="B1370" i="5"/>
  <c r="A1371" i="5"/>
  <c r="B1371" i="5"/>
  <c r="A1372" i="5"/>
  <c r="B1372" i="5"/>
  <c r="A1373" i="5"/>
  <c r="B1373" i="5"/>
  <c r="A1374" i="5"/>
  <c r="B1374" i="5"/>
  <c r="A1375" i="5"/>
  <c r="B1375" i="5"/>
  <c r="A1376" i="5"/>
  <c r="B1376" i="5"/>
  <c r="A1377" i="5"/>
  <c r="B1377" i="5"/>
  <c r="A1378" i="5"/>
  <c r="B1378" i="5"/>
  <c r="A1379" i="5"/>
  <c r="B1379" i="5"/>
  <c r="A1380" i="5"/>
  <c r="B1380" i="5"/>
  <c r="A1381" i="5"/>
  <c r="B1381" i="5"/>
  <c r="A1382" i="5"/>
  <c r="B1382" i="5"/>
  <c r="A1383" i="5"/>
  <c r="B1383" i="5"/>
  <c r="A1384" i="5"/>
  <c r="B1384" i="5"/>
  <c r="A1385" i="5"/>
  <c r="B1385" i="5"/>
  <c r="A1386" i="5"/>
  <c r="B1386" i="5"/>
  <c r="A1387" i="5"/>
  <c r="B1387" i="5"/>
  <c r="A1388" i="5"/>
  <c r="B1388" i="5"/>
  <c r="A1389" i="5"/>
  <c r="B1389" i="5"/>
  <c r="A1390" i="5"/>
  <c r="B1390" i="5"/>
  <c r="A1391" i="5"/>
  <c r="B1391" i="5"/>
  <c r="A1392" i="5"/>
  <c r="B1392" i="5"/>
  <c r="A1393" i="5"/>
  <c r="B1393" i="5"/>
  <c r="A1394" i="5"/>
  <c r="B1394" i="5"/>
  <c r="A1395" i="5"/>
  <c r="B1395" i="5"/>
  <c r="A1396" i="5"/>
  <c r="B1396" i="5"/>
  <c r="A1397" i="5"/>
  <c r="B1397" i="5"/>
  <c r="A1398" i="5"/>
  <c r="B1398" i="5"/>
  <c r="A1399" i="5"/>
  <c r="B1399" i="5"/>
  <c r="A1400" i="5"/>
  <c r="B1400" i="5"/>
  <c r="A1401" i="5"/>
  <c r="B1401" i="5"/>
  <c r="A1402" i="5"/>
  <c r="B1402" i="5"/>
  <c r="A1403" i="5"/>
  <c r="B1403" i="5"/>
  <c r="A1404" i="5"/>
  <c r="B1404" i="5"/>
  <c r="A1405" i="5"/>
  <c r="B1405" i="5"/>
  <c r="A1406" i="5"/>
  <c r="B1406" i="5"/>
  <c r="A1407" i="5"/>
  <c r="B1407" i="5"/>
  <c r="A1408" i="5"/>
  <c r="B1408" i="5"/>
  <c r="A1409" i="5"/>
  <c r="B1409" i="5"/>
  <c r="A1410" i="5"/>
  <c r="B1410" i="5"/>
  <c r="A1411" i="5"/>
  <c r="B1411" i="5"/>
  <c r="A1412" i="5"/>
  <c r="B1412" i="5"/>
  <c r="A1413" i="5"/>
  <c r="B1413" i="5"/>
  <c r="A1414" i="5"/>
  <c r="B1414" i="5"/>
  <c r="A1415" i="5"/>
  <c r="B1415" i="5"/>
  <c r="A1416" i="5"/>
  <c r="B1416" i="5"/>
  <c r="A1417" i="5"/>
  <c r="B1417" i="5"/>
  <c r="A1418" i="5"/>
  <c r="B1418" i="5"/>
  <c r="A1419" i="5"/>
  <c r="B1419" i="5"/>
  <c r="A1420" i="5"/>
  <c r="B1420" i="5"/>
  <c r="A1421" i="5"/>
  <c r="B1421" i="5"/>
  <c r="A1422" i="5"/>
  <c r="B1422" i="5"/>
  <c r="A1423" i="5"/>
  <c r="B1423" i="5"/>
  <c r="A1424" i="5"/>
  <c r="B1424" i="5"/>
  <c r="A1425" i="5"/>
  <c r="B1425" i="5"/>
  <c r="A1426" i="5"/>
  <c r="B1426" i="5"/>
  <c r="A1427" i="5"/>
  <c r="B1427" i="5"/>
  <c r="A1428" i="5"/>
  <c r="B1428" i="5"/>
  <c r="A1429" i="5"/>
  <c r="B1429" i="5"/>
  <c r="A1430" i="5"/>
  <c r="B1430" i="5"/>
  <c r="A1431" i="5"/>
  <c r="B1431" i="5"/>
  <c r="A1432" i="5"/>
  <c r="B1432" i="5"/>
  <c r="A1433" i="5"/>
  <c r="B1433" i="5"/>
  <c r="A1434" i="5"/>
  <c r="B1434" i="5"/>
  <c r="A1435" i="5"/>
  <c r="B1435" i="5"/>
  <c r="A1436" i="5"/>
  <c r="B1436" i="5"/>
  <c r="A1437" i="5"/>
  <c r="B1437" i="5"/>
  <c r="A1438" i="5"/>
  <c r="B1438" i="5"/>
  <c r="A1439" i="5"/>
  <c r="B1439" i="5"/>
  <c r="A1440" i="5"/>
  <c r="B1440" i="5"/>
  <c r="A1441" i="5"/>
  <c r="B1441" i="5"/>
  <c r="A1442" i="5"/>
  <c r="B1442" i="5"/>
  <c r="A1443" i="5"/>
  <c r="B1443" i="5"/>
  <c r="A1444" i="5"/>
  <c r="B1444" i="5"/>
  <c r="A1445" i="5"/>
  <c r="B1445" i="5"/>
  <c r="A1446" i="5"/>
  <c r="B1446" i="5"/>
  <c r="A1447" i="5"/>
  <c r="B1447" i="5"/>
  <c r="A1448" i="5"/>
  <c r="B1448" i="5"/>
  <c r="A1449" i="5"/>
  <c r="B1449" i="5"/>
  <c r="A1450" i="5"/>
  <c r="B1450" i="5"/>
  <c r="A1451" i="5"/>
  <c r="B1451" i="5"/>
  <c r="A1452" i="5"/>
  <c r="B1452" i="5"/>
  <c r="A1453" i="5"/>
  <c r="B1453" i="5"/>
  <c r="A1454" i="5"/>
  <c r="B1454" i="5"/>
  <c r="A1455" i="5"/>
  <c r="B1455" i="5"/>
  <c r="A1456" i="5"/>
  <c r="B1456" i="5"/>
  <c r="A1457" i="5"/>
  <c r="B1457" i="5"/>
  <c r="A1458" i="5"/>
  <c r="B1458" i="5"/>
  <c r="A1459" i="5"/>
  <c r="B1459" i="5"/>
  <c r="A1460" i="5"/>
  <c r="B1460" i="5"/>
  <c r="A1461" i="5"/>
  <c r="B1461" i="5"/>
  <c r="A1462" i="5"/>
  <c r="B1462" i="5"/>
  <c r="A1463" i="5"/>
  <c r="B1463" i="5"/>
  <c r="A1464" i="5"/>
  <c r="B1464" i="5"/>
  <c r="A1465" i="5"/>
  <c r="B1465" i="5"/>
  <c r="A1466" i="5"/>
  <c r="B1466" i="5"/>
  <c r="A1467" i="5"/>
  <c r="B1467" i="5"/>
  <c r="A1468" i="5"/>
  <c r="B1468" i="5"/>
  <c r="A1469" i="5"/>
  <c r="B1469" i="5"/>
  <c r="A1470" i="5"/>
  <c r="B1470" i="5"/>
  <c r="A1471" i="5"/>
  <c r="B1471" i="5"/>
  <c r="A1472" i="5"/>
  <c r="B1472" i="5"/>
  <c r="A1473" i="5"/>
  <c r="B1473" i="5"/>
  <c r="A1474" i="5"/>
  <c r="B1474" i="5"/>
  <c r="A1475" i="5"/>
  <c r="B1475" i="5"/>
  <c r="A1476" i="5"/>
  <c r="B1476" i="5"/>
  <c r="A1477" i="5"/>
  <c r="B1477" i="5"/>
  <c r="A1478" i="5"/>
  <c r="B1478" i="5"/>
  <c r="A1479" i="5"/>
  <c r="B1479" i="5"/>
  <c r="A1480" i="5"/>
  <c r="B1480" i="5"/>
  <c r="A1481" i="5"/>
  <c r="B1481" i="5"/>
  <c r="A1482" i="5"/>
  <c r="B1482" i="5"/>
  <c r="A1483" i="5"/>
  <c r="B1483" i="5"/>
  <c r="A1484" i="5"/>
  <c r="B1484" i="5"/>
  <c r="A1485" i="5"/>
  <c r="B1485" i="5"/>
  <c r="A1486" i="5"/>
  <c r="B1486" i="5"/>
  <c r="A1487" i="5"/>
  <c r="B1487" i="5"/>
  <c r="A1488" i="5"/>
  <c r="B1488" i="5"/>
  <c r="A1489" i="5"/>
  <c r="B1489" i="5"/>
  <c r="A1490" i="5"/>
  <c r="B1490" i="5"/>
  <c r="A1491" i="5"/>
  <c r="B1491" i="5"/>
  <c r="A1492" i="5"/>
  <c r="B1492" i="5"/>
  <c r="A1493" i="5"/>
  <c r="B1493" i="5"/>
  <c r="A1494" i="5"/>
  <c r="B1494" i="5"/>
  <c r="A1495" i="5"/>
  <c r="B1495" i="5"/>
  <c r="A1496" i="5"/>
  <c r="B1496" i="5"/>
  <c r="A1497" i="5"/>
  <c r="B1497" i="5"/>
  <c r="A1498" i="5"/>
  <c r="B1498" i="5"/>
  <c r="A1499" i="5"/>
  <c r="B1499" i="5"/>
  <c r="A1500" i="5"/>
  <c r="B1500" i="5"/>
  <c r="A1501" i="5"/>
  <c r="B1501" i="5"/>
  <c r="A1502" i="5"/>
  <c r="B1502" i="5"/>
  <c r="A1503" i="5"/>
  <c r="B1503" i="5"/>
  <c r="A1504" i="5"/>
  <c r="B1504" i="5"/>
  <c r="A1505" i="5"/>
  <c r="B1505" i="5"/>
  <c r="A1506" i="5"/>
  <c r="B1506" i="5"/>
  <c r="A1507" i="5"/>
  <c r="B1507" i="5"/>
  <c r="A1508" i="5"/>
  <c r="B1508" i="5"/>
  <c r="A1509" i="5"/>
  <c r="B1509" i="5"/>
  <c r="A1510" i="5"/>
  <c r="B1510" i="5"/>
  <c r="A1511" i="5"/>
  <c r="B1511" i="5"/>
  <c r="A1512" i="5"/>
  <c r="B1512" i="5"/>
  <c r="A1513" i="5"/>
  <c r="B1513" i="5"/>
  <c r="A1514" i="5"/>
  <c r="B1514" i="5"/>
  <c r="A1515" i="5"/>
  <c r="B1515" i="5"/>
  <c r="A1516" i="5"/>
  <c r="B1516" i="5"/>
  <c r="A1517" i="5"/>
  <c r="B1517" i="5"/>
  <c r="A1518" i="5"/>
  <c r="B1518" i="5"/>
  <c r="A1519" i="5"/>
  <c r="B1519" i="5"/>
  <c r="A1520" i="5"/>
  <c r="B1520" i="5"/>
  <c r="A1521" i="5"/>
  <c r="B1521" i="5"/>
  <c r="A1522" i="5"/>
  <c r="B1522" i="5"/>
  <c r="A1523" i="5"/>
  <c r="B1523" i="5"/>
  <c r="A1524" i="5"/>
  <c r="B1524" i="5"/>
  <c r="A1525" i="5"/>
  <c r="B1525" i="5"/>
  <c r="A1526" i="5"/>
  <c r="B1526" i="5"/>
  <c r="A1527" i="5"/>
  <c r="B1527" i="5"/>
  <c r="A1528" i="5"/>
  <c r="B1528" i="5"/>
  <c r="A1529" i="5"/>
  <c r="B1529" i="5"/>
  <c r="A1530" i="5"/>
  <c r="B1530" i="5"/>
  <c r="A1531" i="5"/>
  <c r="B1531" i="5"/>
  <c r="A1532" i="5"/>
  <c r="B1532" i="5"/>
  <c r="A1533" i="5"/>
  <c r="B1533" i="5"/>
  <c r="A1534" i="5"/>
  <c r="B1534" i="5"/>
  <c r="A1535" i="5"/>
  <c r="B1535" i="5"/>
  <c r="A1536" i="5"/>
  <c r="B1536" i="5"/>
  <c r="A1537" i="5"/>
  <c r="B1537" i="5"/>
  <c r="A1538" i="5"/>
  <c r="B1538" i="5"/>
  <c r="A1539" i="5"/>
  <c r="B1539" i="5"/>
  <c r="A1540" i="5"/>
  <c r="B1540" i="5"/>
  <c r="A1541" i="5"/>
  <c r="B1541" i="5"/>
  <c r="A1542" i="5"/>
  <c r="B1542" i="5"/>
  <c r="A1543" i="5"/>
  <c r="B1543" i="5"/>
  <c r="A1544" i="5"/>
  <c r="B1544" i="5"/>
  <c r="A1545" i="5"/>
  <c r="B1545" i="5"/>
  <c r="A1546" i="5"/>
  <c r="B1546" i="5"/>
  <c r="A1547" i="5"/>
  <c r="B1547" i="5"/>
  <c r="A1548" i="5"/>
  <c r="B1548" i="5"/>
  <c r="A1549" i="5"/>
  <c r="B1549" i="5"/>
  <c r="A1550" i="5"/>
  <c r="B1550" i="5"/>
  <c r="A1551" i="5"/>
  <c r="B1551" i="5"/>
  <c r="A1552" i="5"/>
  <c r="B1552" i="5"/>
  <c r="A1553" i="5"/>
  <c r="B1553" i="5"/>
  <c r="A1554" i="5"/>
  <c r="B1554" i="5"/>
  <c r="A1555" i="5"/>
  <c r="B1555" i="5"/>
  <c r="A1556" i="5"/>
  <c r="B1556" i="5"/>
  <c r="A1557" i="5"/>
  <c r="B1557" i="5"/>
  <c r="A1558" i="5"/>
  <c r="B1558" i="5"/>
  <c r="A1559" i="5"/>
  <c r="B1559" i="5"/>
  <c r="A1560" i="5"/>
  <c r="B1560" i="5"/>
  <c r="A1561" i="5"/>
  <c r="B1561" i="5"/>
  <c r="A1562" i="5"/>
  <c r="B1562" i="5"/>
  <c r="A1563" i="5"/>
  <c r="B1563" i="5"/>
  <c r="A1564" i="5"/>
  <c r="B1564" i="5"/>
  <c r="A1565" i="5"/>
  <c r="B1565" i="5"/>
  <c r="A1566" i="5"/>
  <c r="B1566" i="5"/>
  <c r="A1567" i="5"/>
  <c r="B1567" i="5"/>
  <c r="A1568" i="5"/>
  <c r="B1568" i="5"/>
  <c r="A1569" i="5"/>
  <c r="B1569" i="5"/>
  <c r="A1570" i="5"/>
  <c r="B1570" i="5"/>
  <c r="A1571" i="5"/>
  <c r="B1571" i="5"/>
  <c r="A1572" i="5"/>
  <c r="B1572" i="5"/>
  <c r="A1573" i="5"/>
  <c r="B1573" i="5"/>
  <c r="A1574" i="5"/>
  <c r="B1574" i="5"/>
  <c r="A1575" i="5"/>
  <c r="B1575" i="5"/>
  <c r="A1576" i="5"/>
  <c r="B1576" i="5"/>
  <c r="A1577" i="5"/>
  <c r="B1577" i="5"/>
  <c r="A1578" i="5"/>
  <c r="B1578" i="5"/>
  <c r="A1579" i="5"/>
  <c r="B1579" i="5"/>
  <c r="A1580" i="5"/>
  <c r="B1580" i="5"/>
  <c r="A1581" i="5"/>
  <c r="B1581" i="5"/>
  <c r="A1582" i="5"/>
  <c r="B1582" i="5"/>
  <c r="A1583" i="5"/>
  <c r="B1583" i="5"/>
  <c r="A1584" i="5"/>
  <c r="B1584" i="5"/>
  <c r="A1585" i="5"/>
  <c r="B1585" i="5"/>
  <c r="A1586" i="5"/>
  <c r="B1586" i="5"/>
  <c r="A1587" i="5"/>
  <c r="B1587" i="5"/>
  <c r="A1588" i="5"/>
  <c r="B1588" i="5"/>
  <c r="A1589" i="5"/>
  <c r="B1589" i="5"/>
  <c r="A1590" i="5"/>
  <c r="B1590" i="5"/>
  <c r="A1591" i="5"/>
  <c r="B1591" i="5"/>
  <c r="A1592" i="5"/>
  <c r="B1592" i="5"/>
  <c r="A1593" i="5"/>
  <c r="B1593" i="5"/>
  <c r="A1594" i="5"/>
  <c r="B1594" i="5"/>
  <c r="A1595" i="5"/>
  <c r="B1595" i="5"/>
  <c r="A1596" i="5"/>
  <c r="B1596" i="5"/>
  <c r="A1597" i="5"/>
  <c r="B1597" i="5"/>
  <c r="A1598" i="5"/>
  <c r="B1598" i="5"/>
  <c r="A1599" i="5"/>
  <c r="B1599" i="5"/>
  <c r="A1600" i="5"/>
  <c r="B1600" i="5"/>
  <c r="A1601" i="5"/>
  <c r="B1601" i="5"/>
  <c r="A1602" i="5"/>
  <c r="B1602" i="5"/>
  <c r="A1603" i="5"/>
  <c r="B1603" i="5"/>
  <c r="A1604" i="5"/>
  <c r="B1604" i="5"/>
  <c r="A1605" i="5"/>
  <c r="B1605" i="5"/>
  <c r="A1606" i="5"/>
  <c r="B1606" i="5"/>
  <c r="A1607" i="5"/>
  <c r="B1607" i="5"/>
  <c r="A1608" i="5"/>
  <c r="B1608" i="5"/>
  <c r="A1609" i="5"/>
  <c r="B1609" i="5"/>
  <c r="A1610" i="5"/>
  <c r="B1610" i="5"/>
  <c r="A1611" i="5"/>
  <c r="B1611" i="5"/>
  <c r="A1612" i="5"/>
  <c r="B1612" i="5"/>
  <c r="A1613" i="5"/>
  <c r="B1613" i="5"/>
  <c r="A1614" i="5"/>
  <c r="B1614" i="5"/>
  <c r="A1615" i="5"/>
  <c r="B1615" i="5"/>
  <c r="A1616" i="5"/>
  <c r="B1616" i="5"/>
  <c r="A1617" i="5"/>
  <c r="B1617" i="5"/>
  <c r="A1618" i="5"/>
  <c r="B1618" i="5"/>
  <c r="A1619" i="5"/>
  <c r="B1619" i="5"/>
  <c r="A1620" i="5"/>
  <c r="B1620" i="5"/>
  <c r="A1621" i="5"/>
  <c r="B1621" i="5"/>
  <c r="A1622" i="5"/>
  <c r="B1622" i="5"/>
  <c r="A1623" i="5"/>
  <c r="B1623" i="5"/>
  <c r="A1624" i="5"/>
  <c r="B1624" i="5"/>
  <c r="A1625" i="5"/>
  <c r="B1625" i="5"/>
  <c r="A1626" i="5"/>
  <c r="B1626" i="5"/>
  <c r="A1627" i="5"/>
  <c r="B1627" i="5"/>
  <c r="A1628" i="5"/>
  <c r="B1628" i="5"/>
  <c r="A1629" i="5"/>
  <c r="B1629" i="5"/>
  <c r="A1630" i="5"/>
  <c r="B1630" i="5"/>
  <c r="A1631" i="5"/>
  <c r="B1631" i="5"/>
  <c r="A1632" i="5"/>
  <c r="B1632" i="5"/>
  <c r="A1633" i="5"/>
  <c r="B1633" i="5"/>
  <c r="A1634" i="5"/>
  <c r="B1634" i="5"/>
  <c r="A1635" i="5"/>
  <c r="B1635" i="5"/>
  <c r="A1636" i="5"/>
  <c r="B1636" i="5"/>
  <c r="A1637" i="5"/>
  <c r="B1637" i="5"/>
  <c r="A1638" i="5"/>
  <c r="B1638" i="5"/>
  <c r="A1639" i="5"/>
  <c r="B1639" i="5"/>
  <c r="A1640" i="5"/>
  <c r="B1640" i="5"/>
  <c r="A1641" i="5"/>
  <c r="B1641" i="5"/>
  <c r="A1642" i="5"/>
  <c r="B1642" i="5"/>
  <c r="A1643" i="5"/>
  <c r="B1643" i="5"/>
  <c r="A1644" i="5"/>
  <c r="B1644" i="5"/>
  <c r="A1645" i="5"/>
  <c r="B1645" i="5"/>
  <c r="A1646" i="5"/>
  <c r="B1646" i="5"/>
  <c r="A1647" i="5"/>
  <c r="B1647" i="5"/>
  <c r="A1648" i="5"/>
  <c r="B1648" i="5"/>
  <c r="A1649" i="5"/>
  <c r="B1649" i="5"/>
  <c r="A1650" i="5"/>
  <c r="B1650" i="5"/>
  <c r="A1651" i="5"/>
  <c r="B1651" i="5"/>
  <c r="A1652" i="5"/>
  <c r="B1652" i="5"/>
  <c r="A1653" i="5"/>
  <c r="B1653" i="5"/>
  <c r="A1654" i="5"/>
  <c r="B1654" i="5"/>
  <c r="A1655" i="5"/>
  <c r="B1655" i="5"/>
  <c r="A1656" i="5"/>
  <c r="B1656" i="5"/>
  <c r="A1657" i="5"/>
  <c r="B1657" i="5"/>
  <c r="A1658" i="5"/>
  <c r="B1658" i="5"/>
  <c r="A1659" i="5"/>
  <c r="B1659" i="5"/>
  <c r="A1660" i="5"/>
  <c r="B1660" i="5"/>
  <c r="A1661" i="5"/>
  <c r="B1661" i="5"/>
  <c r="A1662" i="5"/>
  <c r="B1662" i="5"/>
  <c r="A1663" i="5"/>
  <c r="B1663" i="5"/>
  <c r="A1664" i="5"/>
  <c r="B1664" i="5"/>
  <c r="A1665" i="5"/>
  <c r="B1665" i="5"/>
  <c r="A1666" i="5"/>
  <c r="B1666" i="5"/>
  <c r="A1667" i="5"/>
  <c r="B1667" i="5"/>
  <c r="A1668" i="5"/>
  <c r="B1668" i="5"/>
  <c r="A1669" i="5"/>
  <c r="B1669" i="5"/>
  <c r="A1670" i="5"/>
  <c r="B1670" i="5"/>
  <c r="A1671" i="5"/>
  <c r="B1671" i="5"/>
  <c r="A1672" i="5"/>
  <c r="B1672" i="5"/>
  <c r="A1673" i="5"/>
  <c r="B1673" i="5"/>
  <c r="A1674" i="5"/>
  <c r="B1674" i="5"/>
  <c r="A1675" i="5"/>
  <c r="B1675" i="5"/>
  <c r="A1676" i="5"/>
  <c r="B1676" i="5"/>
  <c r="A1677" i="5"/>
  <c r="B1677" i="5"/>
  <c r="A1678" i="5"/>
  <c r="B1678" i="5"/>
  <c r="A1679" i="5"/>
  <c r="B1679" i="5"/>
  <c r="A1680" i="5"/>
  <c r="B1680" i="5"/>
  <c r="A1681" i="5"/>
  <c r="B1681" i="5"/>
  <c r="A1682" i="5"/>
  <c r="B1682" i="5"/>
  <c r="A1683" i="5"/>
  <c r="B1683" i="5"/>
  <c r="A1684" i="5"/>
  <c r="B1684" i="5"/>
  <c r="A1685" i="5"/>
  <c r="B1685" i="5"/>
  <c r="A1686" i="5"/>
  <c r="B1686" i="5"/>
  <c r="A1687" i="5"/>
  <c r="B1687" i="5"/>
  <c r="A1688" i="5"/>
  <c r="B1688" i="5"/>
  <c r="A1689" i="5"/>
  <c r="B1689" i="5"/>
  <c r="A1690" i="5"/>
  <c r="B1690" i="5"/>
  <c r="A1691" i="5"/>
  <c r="B1691" i="5"/>
  <c r="A1692" i="5"/>
  <c r="B1692" i="5"/>
  <c r="A1693" i="5"/>
  <c r="B1693" i="5"/>
  <c r="A1694" i="5"/>
  <c r="B1694" i="5"/>
  <c r="A1695" i="5"/>
  <c r="B1695" i="5"/>
  <c r="A1696" i="5"/>
  <c r="B1696" i="5"/>
  <c r="A1697" i="5"/>
  <c r="B1697" i="5"/>
  <c r="A1698" i="5"/>
  <c r="B1698" i="5"/>
  <c r="A1699" i="5"/>
  <c r="B1699" i="5"/>
  <c r="A1700" i="5"/>
  <c r="B1700" i="5"/>
  <c r="A1701" i="5"/>
  <c r="B1701" i="5"/>
  <c r="A1702" i="5"/>
  <c r="B1702" i="5"/>
  <c r="A1703" i="5"/>
  <c r="B1703" i="5"/>
  <c r="A1704" i="5"/>
  <c r="B1704" i="5"/>
  <c r="A1705" i="5"/>
  <c r="B1705" i="5"/>
  <c r="A1706" i="5"/>
  <c r="B1706" i="5"/>
  <c r="A1707" i="5"/>
  <c r="B1707" i="5"/>
  <c r="A1708" i="5"/>
  <c r="B1708" i="5"/>
  <c r="A1709" i="5"/>
  <c r="B1709" i="5"/>
  <c r="A1710" i="5"/>
  <c r="B1710" i="5"/>
  <c r="A1711" i="5"/>
  <c r="B1711" i="5"/>
  <c r="A1712" i="5"/>
  <c r="B1712" i="5"/>
  <c r="A1713" i="5"/>
  <c r="B1713" i="5"/>
  <c r="A1714" i="5"/>
  <c r="B1714" i="5"/>
  <c r="A1715" i="5"/>
  <c r="B1715" i="5"/>
  <c r="A1716" i="5"/>
  <c r="B1716" i="5"/>
  <c r="A1717" i="5"/>
  <c r="B1717" i="5"/>
  <c r="A1718" i="5"/>
  <c r="B1718" i="5"/>
  <c r="A1719" i="5"/>
  <c r="B1719" i="5"/>
  <c r="A1720" i="5"/>
  <c r="B1720" i="5"/>
  <c r="A1721" i="5"/>
  <c r="B1721" i="5"/>
  <c r="A1722" i="5"/>
  <c r="B1722" i="5"/>
  <c r="A1723" i="5"/>
  <c r="B1723" i="5"/>
  <c r="A1724" i="5"/>
  <c r="B1724" i="5"/>
  <c r="A1725" i="5"/>
  <c r="B1725" i="5"/>
  <c r="A1726" i="5"/>
  <c r="B1726" i="5"/>
  <c r="A1727" i="5"/>
  <c r="B1727" i="5"/>
  <c r="A1728" i="5"/>
  <c r="B1728" i="5"/>
  <c r="A1729" i="5"/>
  <c r="B1729" i="5"/>
  <c r="A1730" i="5"/>
  <c r="B1730" i="5"/>
  <c r="A1731" i="5"/>
  <c r="B1731" i="5"/>
  <c r="A1732" i="5"/>
  <c r="B1732" i="5"/>
  <c r="A1733" i="5"/>
  <c r="B1733" i="5"/>
  <c r="A1734" i="5"/>
  <c r="B1734" i="5"/>
  <c r="A1735" i="5"/>
  <c r="B1735" i="5"/>
  <c r="A1736" i="5"/>
  <c r="B1736" i="5"/>
  <c r="A1737" i="5"/>
  <c r="B1737" i="5"/>
  <c r="A1738" i="5"/>
  <c r="B1738" i="5"/>
  <c r="A1739" i="5"/>
  <c r="B1739" i="5"/>
  <c r="A1740" i="5"/>
  <c r="B1740" i="5"/>
  <c r="A1741" i="5"/>
  <c r="B1741" i="5"/>
  <c r="A1742" i="5"/>
  <c r="B1742" i="5"/>
  <c r="A1743" i="5"/>
  <c r="B1743" i="5"/>
  <c r="A1744" i="5"/>
  <c r="B1744" i="5"/>
  <c r="A1745" i="5"/>
  <c r="B1745" i="5"/>
  <c r="A1746" i="5"/>
  <c r="B1746" i="5"/>
  <c r="A1747" i="5"/>
  <c r="B1747" i="5"/>
  <c r="A1748" i="5"/>
  <c r="B1748" i="5"/>
  <c r="A1749" i="5"/>
  <c r="B1749" i="5"/>
  <c r="A1750" i="5"/>
  <c r="B1750" i="5"/>
  <c r="A1751" i="5"/>
  <c r="B1751" i="5"/>
  <c r="A1752" i="5"/>
  <c r="B1752" i="5"/>
  <c r="A1753" i="5"/>
  <c r="B1753" i="5"/>
  <c r="A1754" i="5"/>
  <c r="B1754" i="5"/>
  <c r="A1755" i="5"/>
  <c r="B1755" i="5"/>
  <c r="A1756" i="5"/>
  <c r="B1756" i="5"/>
  <c r="A1757" i="5"/>
  <c r="B1757" i="5"/>
  <c r="A1758" i="5"/>
  <c r="B1758" i="5"/>
  <c r="A1759" i="5"/>
  <c r="B1759" i="5"/>
  <c r="A1760" i="5"/>
  <c r="B1760" i="5"/>
  <c r="A1761" i="5"/>
  <c r="B1761" i="5"/>
  <c r="A1762" i="5"/>
  <c r="B1762" i="5"/>
  <c r="A1763" i="5"/>
  <c r="B1763" i="5"/>
  <c r="A1764" i="5"/>
  <c r="B1764" i="5"/>
  <c r="A1765" i="5"/>
  <c r="B1765" i="5"/>
  <c r="A1766" i="5"/>
  <c r="B1766" i="5"/>
  <c r="A1767" i="5"/>
  <c r="B1767" i="5"/>
  <c r="A1768" i="5"/>
  <c r="B1768" i="5"/>
  <c r="A1769" i="5"/>
  <c r="B1769" i="5"/>
  <c r="A1770" i="5"/>
  <c r="B1770" i="5"/>
  <c r="A1771" i="5"/>
  <c r="B1771" i="5"/>
  <c r="A1772" i="5"/>
  <c r="B1772" i="5"/>
  <c r="A1773" i="5"/>
  <c r="B1773" i="5"/>
  <c r="A1774" i="5"/>
  <c r="B1774" i="5"/>
  <c r="A1775" i="5"/>
  <c r="B1775" i="5"/>
  <c r="A1776" i="5"/>
  <c r="B1776" i="5"/>
  <c r="A1777" i="5"/>
  <c r="B1777" i="5"/>
  <c r="A1778" i="5"/>
  <c r="B1778" i="5"/>
  <c r="A1779" i="5"/>
  <c r="B1779" i="5"/>
  <c r="A1780" i="5"/>
  <c r="B1780" i="5"/>
  <c r="A1781" i="5"/>
  <c r="B1781" i="5"/>
  <c r="A1782" i="5"/>
  <c r="B1782" i="5"/>
  <c r="A1783" i="5"/>
  <c r="B1783" i="5"/>
  <c r="A1784" i="5"/>
  <c r="B1784" i="5"/>
  <c r="A1785" i="5"/>
  <c r="B1785" i="5"/>
  <c r="A1786" i="5"/>
  <c r="B1786" i="5"/>
  <c r="A1787" i="5"/>
  <c r="B1787" i="5"/>
  <c r="A1788" i="5"/>
  <c r="B1788" i="5"/>
  <c r="A1789" i="5"/>
  <c r="B1789" i="5"/>
  <c r="A1790" i="5"/>
  <c r="B1790" i="5"/>
  <c r="A1791" i="5"/>
  <c r="B1791" i="5"/>
  <c r="A1792" i="5"/>
  <c r="B1792" i="5"/>
  <c r="A1793" i="5"/>
  <c r="B1793" i="5"/>
  <c r="A1794" i="5"/>
  <c r="B1794" i="5"/>
  <c r="A1795" i="5"/>
  <c r="B1795" i="5"/>
  <c r="A1796" i="5"/>
  <c r="B1796" i="5"/>
  <c r="A1797" i="5"/>
  <c r="B1797" i="5"/>
  <c r="A1798" i="5"/>
  <c r="B1798" i="5"/>
  <c r="A1799" i="5"/>
  <c r="B1799" i="5"/>
  <c r="A1800" i="5"/>
  <c r="B1800" i="5"/>
  <c r="A1801" i="5"/>
  <c r="B1801" i="5"/>
  <c r="A1802" i="5"/>
  <c r="B1802" i="5"/>
  <c r="A1803" i="5"/>
  <c r="B1803" i="5"/>
  <c r="A1804" i="5"/>
  <c r="B1804" i="5"/>
  <c r="A1805" i="5"/>
  <c r="B1805" i="5"/>
  <c r="A1806" i="5"/>
  <c r="B1806" i="5"/>
  <c r="A1807" i="5"/>
  <c r="B1807" i="5"/>
  <c r="A1808" i="5"/>
  <c r="B1808" i="5"/>
  <c r="A1809" i="5"/>
  <c r="B1809" i="5"/>
  <c r="A1810" i="5"/>
  <c r="B1810" i="5"/>
  <c r="A1811" i="5"/>
  <c r="B1811" i="5"/>
  <c r="A1812" i="5"/>
  <c r="B1812" i="5"/>
  <c r="A1813" i="5"/>
  <c r="B1813" i="5"/>
  <c r="A1814" i="5"/>
  <c r="B1814" i="5"/>
  <c r="A1815" i="5"/>
  <c r="B1815" i="5"/>
  <c r="A1816" i="5"/>
  <c r="B1816" i="5"/>
  <c r="A1817" i="5"/>
  <c r="B1817" i="5"/>
  <c r="A1818" i="5"/>
  <c r="B1818" i="5"/>
  <c r="A1819" i="5"/>
  <c r="B1819" i="5"/>
  <c r="A1820" i="5"/>
  <c r="B1820" i="5"/>
  <c r="A1821" i="5"/>
  <c r="B1821" i="5"/>
  <c r="A1822" i="5"/>
  <c r="B1822" i="5"/>
  <c r="A1823" i="5"/>
  <c r="B1823" i="5"/>
  <c r="A1824" i="5"/>
  <c r="B1824" i="5"/>
  <c r="A1825" i="5"/>
  <c r="B1825" i="5"/>
  <c r="A1826" i="5"/>
  <c r="B1826" i="5"/>
  <c r="A1827" i="5"/>
  <c r="B1827" i="5"/>
  <c r="A1828" i="5"/>
  <c r="B1828" i="5"/>
  <c r="A1829" i="5"/>
  <c r="B1829" i="5"/>
  <c r="A1830" i="5"/>
  <c r="B1830" i="5"/>
  <c r="A1831" i="5"/>
  <c r="B1831" i="5"/>
  <c r="A1832" i="5"/>
  <c r="B1832" i="5"/>
  <c r="A1833" i="5"/>
  <c r="B1833" i="5"/>
  <c r="A1834" i="5"/>
  <c r="B1834" i="5"/>
  <c r="A1835" i="5"/>
  <c r="B1835" i="5"/>
  <c r="A1836" i="5"/>
  <c r="B1836" i="5"/>
  <c r="A1837" i="5"/>
  <c r="B1837" i="5"/>
  <c r="A1838" i="5"/>
  <c r="B1838" i="5"/>
  <c r="A1839" i="5"/>
  <c r="B1839" i="5"/>
  <c r="A1840" i="5"/>
  <c r="B1840" i="5"/>
  <c r="A1841" i="5"/>
  <c r="B1841" i="5"/>
  <c r="A1842" i="5"/>
  <c r="B1842" i="5"/>
  <c r="A1843" i="5"/>
  <c r="B1843" i="5"/>
  <c r="A1844" i="5"/>
  <c r="B1844" i="5"/>
  <c r="A1845" i="5"/>
  <c r="B1845" i="5"/>
  <c r="A1846" i="5"/>
  <c r="B1846" i="5"/>
  <c r="A1847" i="5"/>
  <c r="B1847" i="5"/>
  <c r="A1848" i="5"/>
  <c r="B1848" i="5"/>
  <c r="A1849" i="5"/>
  <c r="B1849" i="5"/>
  <c r="A1850" i="5"/>
  <c r="B1850" i="5"/>
  <c r="A1851" i="5"/>
  <c r="B1851" i="5"/>
  <c r="A1852" i="5"/>
  <c r="B1852" i="5"/>
  <c r="A1853" i="5"/>
  <c r="B1853" i="5"/>
  <c r="A1854" i="5"/>
  <c r="B1854" i="5"/>
  <c r="A1855" i="5"/>
  <c r="B1855" i="5"/>
  <c r="A1856" i="5"/>
  <c r="B1856" i="5"/>
  <c r="A1857" i="5"/>
  <c r="B1857" i="5"/>
  <c r="A1858" i="5"/>
  <c r="B1858" i="5"/>
  <c r="A1859" i="5"/>
  <c r="B1859" i="5"/>
  <c r="A1860" i="5"/>
  <c r="B1860" i="5"/>
  <c r="A1861" i="5"/>
  <c r="B1861" i="5"/>
  <c r="A1862" i="5"/>
  <c r="B1862" i="5"/>
  <c r="A1863" i="5"/>
  <c r="B1863" i="5"/>
  <c r="A1864" i="5"/>
  <c r="B1864" i="5"/>
  <c r="A1865" i="5"/>
  <c r="B1865" i="5"/>
  <c r="A1866" i="5"/>
  <c r="B1866" i="5"/>
  <c r="A1867" i="5"/>
  <c r="B1867" i="5"/>
  <c r="A1868" i="5"/>
  <c r="B1868" i="5"/>
  <c r="A1869" i="5"/>
  <c r="B1869" i="5"/>
  <c r="A1870" i="5"/>
  <c r="B1870" i="5"/>
  <c r="A1871" i="5"/>
  <c r="B1871" i="5"/>
  <c r="A1872" i="5"/>
  <c r="B1872" i="5"/>
  <c r="A1873" i="5"/>
  <c r="B1873" i="5"/>
  <c r="A1874" i="5"/>
  <c r="B1874" i="5"/>
  <c r="A1875" i="5"/>
  <c r="B1875" i="5"/>
  <c r="A1876" i="5"/>
  <c r="B1876" i="5"/>
  <c r="A1877" i="5"/>
  <c r="B1877" i="5"/>
  <c r="A1878" i="5"/>
  <c r="B1878" i="5"/>
  <c r="A1879" i="5"/>
  <c r="B1879" i="5"/>
  <c r="A1880" i="5"/>
  <c r="B1880" i="5"/>
  <c r="A1881" i="5"/>
  <c r="B1881" i="5"/>
  <c r="A1882" i="5"/>
  <c r="B1882" i="5"/>
  <c r="A1883" i="5"/>
  <c r="B1883" i="5"/>
  <c r="A1884" i="5"/>
  <c r="B1884" i="5"/>
  <c r="A1885" i="5"/>
  <c r="B1885" i="5"/>
  <c r="A1886" i="5"/>
  <c r="B1886" i="5"/>
  <c r="A1887" i="5"/>
  <c r="B1887" i="5"/>
  <c r="A1888" i="5"/>
  <c r="B1888" i="5"/>
  <c r="A1889" i="5"/>
  <c r="B1889" i="5"/>
  <c r="A1890" i="5"/>
  <c r="B1890" i="5"/>
  <c r="A1891" i="5"/>
  <c r="B1891" i="5"/>
  <c r="A1892" i="5"/>
  <c r="B1892" i="5"/>
  <c r="A1893" i="5"/>
  <c r="B1893" i="5"/>
  <c r="A1894" i="5"/>
  <c r="B1894" i="5"/>
  <c r="A1895" i="5"/>
  <c r="B1895" i="5"/>
  <c r="A1896" i="5"/>
  <c r="B1896" i="5"/>
  <c r="A1897" i="5"/>
  <c r="B1897" i="5"/>
  <c r="A1898" i="5"/>
  <c r="B1898" i="5"/>
  <c r="A1899" i="5"/>
  <c r="B1899" i="5"/>
  <c r="A1900" i="5"/>
  <c r="B1900" i="5"/>
  <c r="A1901" i="5"/>
  <c r="B1901" i="5"/>
  <c r="A1902" i="5"/>
  <c r="B1902" i="5"/>
  <c r="A1903" i="5"/>
  <c r="B1903" i="5"/>
  <c r="A1904" i="5"/>
  <c r="B1904" i="5"/>
  <c r="A1905" i="5"/>
  <c r="B1905" i="5"/>
  <c r="A1906" i="5"/>
  <c r="B1906" i="5"/>
  <c r="A1907" i="5"/>
  <c r="B1907" i="5"/>
  <c r="A1908" i="5"/>
  <c r="B1908" i="5"/>
  <c r="A1909" i="5"/>
  <c r="B1909" i="5"/>
  <c r="A1910" i="5"/>
  <c r="B1910" i="5"/>
  <c r="A1911" i="5"/>
  <c r="B1911" i="5"/>
  <c r="A1912" i="5"/>
  <c r="B1912" i="5"/>
  <c r="A1913" i="5"/>
  <c r="B1913" i="5"/>
  <c r="A1914" i="5"/>
  <c r="B1914" i="5"/>
  <c r="A1915" i="5"/>
  <c r="B1915" i="5"/>
  <c r="A1916" i="5"/>
  <c r="B1916" i="5"/>
  <c r="A1917" i="5"/>
  <c r="B1917" i="5"/>
  <c r="A1918" i="5"/>
  <c r="B1918" i="5"/>
  <c r="A1919" i="5"/>
  <c r="B1919" i="5"/>
  <c r="A1920" i="5"/>
  <c r="B1920" i="5"/>
  <c r="A1921" i="5"/>
  <c r="B1921" i="5"/>
  <c r="A1922" i="5"/>
  <c r="B1922" i="5"/>
  <c r="A1923" i="5"/>
  <c r="B1923" i="5"/>
  <c r="A1924" i="5"/>
  <c r="B1924" i="5"/>
  <c r="A1925" i="5"/>
  <c r="B1925" i="5"/>
  <c r="A1926" i="5"/>
  <c r="B1926" i="5"/>
  <c r="A1927" i="5"/>
  <c r="B1927" i="5"/>
  <c r="A1928" i="5"/>
  <c r="B1928" i="5"/>
  <c r="A1929" i="5"/>
  <c r="B1929" i="5"/>
  <c r="A1930" i="5"/>
  <c r="B1930" i="5"/>
  <c r="A1931" i="5"/>
  <c r="B1931" i="5"/>
  <c r="A1932" i="5"/>
  <c r="B1932" i="5"/>
  <c r="A1933" i="5"/>
  <c r="B1933" i="5"/>
  <c r="A1934" i="5"/>
  <c r="B1934" i="5"/>
  <c r="A1935" i="5"/>
  <c r="B1935" i="5"/>
  <c r="A1936" i="5"/>
  <c r="B1936" i="5"/>
  <c r="A1937" i="5"/>
  <c r="B1937" i="5"/>
  <c r="A1938" i="5"/>
  <c r="B1938" i="5"/>
  <c r="A1939" i="5"/>
  <c r="B1939" i="5"/>
  <c r="A1940" i="5"/>
  <c r="B1940" i="5"/>
  <c r="A1941" i="5"/>
  <c r="B1941" i="5"/>
  <c r="A1942" i="5"/>
  <c r="B1942" i="5"/>
  <c r="A1943" i="5"/>
  <c r="B1943" i="5"/>
  <c r="A1944" i="5"/>
  <c r="B1944" i="5"/>
  <c r="A1945" i="5"/>
  <c r="B1945" i="5"/>
  <c r="A1946" i="5"/>
  <c r="B1946" i="5"/>
  <c r="A1947" i="5"/>
  <c r="B1947" i="5"/>
  <c r="A1948" i="5"/>
  <c r="B1948" i="5"/>
  <c r="A1949" i="5"/>
  <c r="B1949" i="5"/>
  <c r="A1950" i="5"/>
  <c r="B1950" i="5"/>
  <c r="A1951" i="5"/>
  <c r="B1951" i="5"/>
  <c r="A1952" i="5"/>
  <c r="B1952" i="5"/>
  <c r="A1953" i="5"/>
  <c r="B1953" i="5"/>
  <c r="A1954" i="5"/>
  <c r="B1954" i="5"/>
  <c r="A1955" i="5"/>
  <c r="B1955" i="5"/>
  <c r="A1956" i="5"/>
  <c r="B1956" i="5"/>
  <c r="A1957" i="5"/>
  <c r="B1957" i="5"/>
  <c r="A1958" i="5"/>
  <c r="B1958" i="5"/>
  <c r="A1959" i="5"/>
  <c r="B1959" i="5"/>
  <c r="A1960" i="5"/>
  <c r="B1960" i="5"/>
  <c r="A1961" i="5"/>
  <c r="B1961" i="5"/>
  <c r="A1962" i="5"/>
  <c r="B1962" i="5"/>
  <c r="A1963" i="5"/>
  <c r="B1963" i="5"/>
  <c r="A1964" i="5"/>
  <c r="B1964" i="5"/>
  <c r="A1965" i="5"/>
  <c r="B1965" i="5"/>
  <c r="A1966" i="5"/>
  <c r="B1966" i="5"/>
  <c r="A1967" i="5"/>
  <c r="B1967" i="5"/>
  <c r="A1968" i="5"/>
  <c r="B1968" i="5"/>
  <c r="A1969" i="5"/>
  <c r="B1969" i="5"/>
  <c r="A1970" i="5"/>
  <c r="B1970" i="5"/>
  <c r="A1971" i="5"/>
  <c r="B1971" i="5"/>
  <c r="A1972" i="5"/>
  <c r="B1972" i="5"/>
  <c r="A1973" i="5"/>
  <c r="B1973" i="5"/>
  <c r="A1974" i="5"/>
  <c r="B1974" i="5"/>
  <c r="A1975" i="5"/>
  <c r="B1975" i="5"/>
  <c r="A1976" i="5"/>
  <c r="B1976" i="5"/>
  <c r="A1977" i="5"/>
  <c r="B1977" i="5"/>
  <c r="A1978" i="5"/>
  <c r="B1978" i="5"/>
  <c r="A1979" i="5"/>
  <c r="B1979" i="5"/>
  <c r="A1980" i="5"/>
  <c r="B1980" i="5"/>
  <c r="A1981" i="5"/>
  <c r="B1981" i="5"/>
  <c r="A1982" i="5"/>
  <c r="B1982" i="5"/>
  <c r="A1983" i="5"/>
  <c r="B1983" i="5"/>
  <c r="A1984" i="5"/>
  <c r="B1984" i="5"/>
  <c r="A1985" i="5"/>
  <c r="B1985" i="5"/>
  <c r="A1986" i="5"/>
  <c r="B1986" i="5"/>
  <c r="A1987" i="5"/>
  <c r="B1987" i="5"/>
  <c r="A1988" i="5"/>
  <c r="B1988" i="5"/>
  <c r="A1989" i="5"/>
  <c r="B1989" i="5"/>
  <c r="A1990" i="5"/>
  <c r="B1990" i="5"/>
  <c r="A1991" i="5"/>
  <c r="B1991" i="5"/>
  <c r="A1992" i="5"/>
  <c r="B1992" i="5"/>
  <c r="A1993" i="5"/>
  <c r="B1993" i="5"/>
  <c r="A1994" i="5"/>
  <c r="B1994" i="5"/>
  <c r="A1995" i="5"/>
  <c r="B1995" i="5"/>
  <c r="A1996" i="5"/>
  <c r="B1996" i="5"/>
  <c r="A1997" i="5"/>
  <c r="B1997" i="5"/>
  <c r="A1998" i="5"/>
  <c r="B1998" i="5"/>
  <c r="A1999" i="5"/>
  <c r="B1999" i="5"/>
  <c r="A2000" i="5"/>
  <c r="B2000" i="5"/>
  <c r="A2001" i="5"/>
  <c r="B2001" i="5"/>
  <c r="A2002" i="5"/>
  <c r="B2002" i="5"/>
  <c r="A2003" i="5"/>
  <c r="B2003" i="5"/>
  <c r="A2004" i="5"/>
  <c r="B2004" i="5"/>
  <c r="A2005" i="5"/>
  <c r="B2005" i="5"/>
  <c r="A2006" i="5"/>
  <c r="B2006" i="5"/>
  <c r="A2007" i="5"/>
  <c r="B2007" i="5"/>
  <c r="A2008" i="5"/>
  <c r="B2008" i="5"/>
  <c r="A2009" i="5"/>
  <c r="B2009" i="5"/>
  <c r="A2010" i="5"/>
  <c r="B2010" i="5"/>
  <c r="A2011" i="5"/>
  <c r="B2011" i="5"/>
  <c r="A2012" i="5"/>
  <c r="B2012" i="5"/>
  <c r="A2013" i="5"/>
  <c r="B2013" i="5"/>
  <c r="A2014" i="5"/>
  <c r="B2014" i="5"/>
  <c r="A2015" i="5"/>
  <c r="B2015" i="5"/>
  <c r="A2016" i="5"/>
  <c r="B2016" i="5"/>
  <c r="A2017" i="5"/>
  <c r="B2017" i="5"/>
  <c r="A2018" i="5"/>
  <c r="B2018" i="5"/>
  <c r="A2019" i="5"/>
  <c r="B2019" i="5"/>
  <c r="A2020" i="5"/>
  <c r="B2020" i="5"/>
  <c r="A2021" i="5"/>
  <c r="B2021" i="5"/>
  <c r="A2022" i="5"/>
  <c r="B2022" i="5"/>
  <c r="A2023" i="5"/>
  <c r="B2023" i="5"/>
  <c r="A2024" i="5"/>
  <c r="B2024" i="5"/>
  <c r="A2025" i="5"/>
  <c r="B2025" i="5"/>
  <c r="A2026" i="5"/>
  <c r="B2026" i="5"/>
  <c r="A2027" i="5"/>
  <c r="B2027" i="5"/>
  <c r="A2028" i="5"/>
  <c r="B2028" i="5"/>
  <c r="A2029" i="5"/>
  <c r="B2029" i="5"/>
  <c r="A2030" i="5"/>
  <c r="B2030" i="5"/>
  <c r="A2031" i="5"/>
  <c r="B2031" i="5"/>
  <c r="A2032" i="5"/>
  <c r="B2032" i="5"/>
  <c r="A2033" i="5"/>
  <c r="B2033" i="5"/>
  <c r="A2034" i="5"/>
  <c r="B2034" i="5"/>
  <c r="A2035" i="5"/>
  <c r="B2035" i="5"/>
  <c r="A2036" i="5"/>
  <c r="B2036" i="5"/>
  <c r="A2037" i="5"/>
  <c r="B2037" i="5"/>
  <c r="A2038" i="5"/>
  <c r="B2038" i="5"/>
  <c r="A2039" i="5"/>
  <c r="B2039" i="5"/>
  <c r="A2040" i="5"/>
  <c r="B2040" i="5"/>
  <c r="A2041" i="5"/>
  <c r="B2041" i="5"/>
  <c r="A2042" i="5"/>
  <c r="B2042" i="5"/>
  <c r="A2043" i="5"/>
  <c r="B2043" i="5"/>
  <c r="A2044" i="5"/>
  <c r="B2044" i="5"/>
  <c r="A2045" i="5"/>
  <c r="B2045" i="5"/>
  <c r="A2046" i="5"/>
  <c r="B2046" i="5"/>
  <c r="A2047" i="5"/>
  <c r="B2047" i="5"/>
  <c r="A2048" i="5"/>
  <c r="B2048" i="5"/>
  <c r="A2049" i="5"/>
  <c r="B2049" i="5"/>
  <c r="A2050" i="5"/>
  <c r="B2050" i="5"/>
  <c r="A2051" i="5"/>
  <c r="B2051" i="5"/>
  <c r="A2052" i="5"/>
  <c r="B2052" i="5"/>
  <c r="A2053" i="5"/>
  <c r="B2053" i="5"/>
  <c r="A2054" i="5"/>
  <c r="B2054" i="5"/>
  <c r="A2055" i="5"/>
  <c r="B2055" i="5"/>
  <c r="A2056" i="5"/>
  <c r="B2056" i="5"/>
  <c r="A2057" i="5"/>
  <c r="B2057" i="5"/>
  <c r="A2058" i="5"/>
  <c r="B2058" i="5"/>
  <c r="A2059" i="5"/>
  <c r="B2059" i="5"/>
  <c r="A2060" i="5"/>
  <c r="B2060" i="5"/>
  <c r="A2061" i="5"/>
  <c r="B2061" i="5"/>
  <c r="A2062" i="5"/>
  <c r="B2062" i="5"/>
  <c r="A2063" i="5"/>
  <c r="B2063" i="5"/>
  <c r="A2064" i="5"/>
  <c r="B2064" i="5"/>
  <c r="A2065" i="5"/>
  <c r="B2065" i="5"/>
  <c r="A2066" i="5"/>
  <c r="B2066" i="5"/>
  <c r="A2067" i="5"/>
  <c r="B2067" i="5"/>
  <c r="A2068" i="5"/>
  <c r="B2068" i="5"/>
  <c r="A2069" i="5"/>
  <c r="B2069" i="5"/>
  <c r="A2070" i="5"/>
  <c r="B2070" i="5"/>
  <c r="A2071" i="5"/>
  <c r="B2071" i="5"/>
  <c r="A2072" i="5"/>
  <c r="B2072" i="5"/>
  <c r="A2073" i="5"/>
  <c r="B2073" i="5"/>
  <c r="A2074" i="5"/>
  <c r="B2074" i="5"/>
  <c r="A2075" i="5"/>
  <c r="B2075" i="5"/>
  <c r="A2076" i="5"/>
  <c r="B2076" i="5"/>
  <c r="A2077" i="5"/>
  <c r="B2077" i="5"/>
  <c r="A2078" i="5"/>
  <c r="B2078" i="5"/>
  <c r="A2079" i="5"/>
  <c r="B2079" i="5"/>
  <c r="A2080" i="5"/>
  <c r="B2080" i="5"/>
  <c r="A2081" i="5"/>
  <c r="B2081" i="5"/>
  <c r="A2082" i="5"/>
  <c r="B2082" i="5"/>
  <c r="A2083" i="5"/>
  <c r="B2083" i="5"/>
  <c r="A2084" i="5"/>
  <c r="B2084" i="5"/>
  <c r="A2085" i="5"/>
  <c r="B2085" i="5"/>
  <c r="A2086" i="5"/>
  <c r="B2086" i="5"/>
  <c r="A2087" i="5"/>
  <c r="B2087" i="5"/>
  <c r="A2088" i="5"/>
  <c r="B2088" i="5"/>
  <c r="A2089" i="5"/>
  <c r="B2089" i="5"/>
  <c r="A2090" i="5"/>
  <c r="B2090" i="5"/>
  <c r="A2091" i="5"/>
  <c r="B2091" i="5"/>
  <c r="A2092" i="5"/>
  <c r="B2092" i="5"/>
  <c r="A2093" i="5"/>
  <c r="B2093" i="5"/>
  <c r="A2094" i="5"/>
  <c r="B2094" i="5"/>
  <c r="A2095" i="5"/>
  <c r="B2095" i="5"/>
  <c r="A2096" i="5"/>
  <c r="B2096" i="5"/>
  <c r="A2097" i="5"/>
  <c r="B2097" i="5"/>
  <c r="A2098" i="5"/>
  <c r="B2098" i="5"/>
  <c r="A2099" i="5"/>
  <c r="B2099" i="5"/>
  <c r="A2100" i="5"/>
  <c r="B2100" i="5"/>
  <c r="A2101" i="5"/>
  <c r="B2101" i="5"/>
  <c r="A2102" i="5"/>
  <c r="B2102" i="5"/>
  <c r="A2103" i="5"/>
  <c r="B2103" i="5"/>
  <c r="A2104" i="5"/>
  <c r="B2104" i="5"/>
  <c r="A2105" i="5"/>
  <c r="B2105" i="5"/>
  <c r="A2106" i="5"/>
  <c r="B2106" i="5"/>
  <c r="A2107" i="5"/>
  <c r="B2107" i="5"/>
  <c r="A2108" i="5"/>
  <c r="B2108" i="5"/>
  <c r="A2109" i="5"/>
  <c r="B2109" i="5"/>
  <c r="A2110" i="5"/>
  <c r="B2110" i="5"/>
  <c r="A2111" i="5"/>
  <c r="B2111" i="5"/>
  <c r="A2112" i="5"/>
  <c r="B2112" i="5"/>
  <c r="A2113" i="5"/>
  <c r="B2113" i="5"/>
  <c r="A2114" i="5"/>
  <c r="B2114" i="5"/>
  <c r="A2115" i="5"/>
  <c r="B2115" i="5"/>
  <c r="A2116" i="5"/>
  <c r="B2116" i="5"/>
  <c r="A2117" i="5"/>
  <c r="B2117" i="5"/>
  <c r="A2118" i="5"/>
  <c r="B2118" i="5"/>
  <c r="A2119" i="5"/>
  <c r="B2119" i="5"/>
  <c r="A2120" i="5"/>
  <c r="B2120" i="5"/>
  <c r="A2121" i="5"/>
  <c r="B2121" i="5"/>
  <c r="A2122" i="5"/>
  <c r="B2122" i="5"/>
  <c r="A2123" i="5"/>
  <c r="B2123" i="5"/>
  <c r="A2124" i="5"/>
  <c r="B2124" i="5"/>
  <c r="A2125" i="5"/>
  <c r="B2125" i="5"/>
  <c r="A2126" i="5"/>
  <c r="B2126" i="5"/>
  <c r="A2127" i="5"/>
  <c r="B2127" i="5"/>
  <c r="A2128" i="5"/>
  <c r="B2128" i="5"/>
  <c r="A2129" i="5"/>
  <c r="B2129" i="5"/>
  <c r="A2130" i="5"/>
  <c r="B2130" i="5"/>
  <c r="A2131" i="5"/>
  <c r="B2131" i="5"/>
  <c r="A2132" i="5"/>
  <c r="B2132" i="5"/>
  <c r="A2133" i="5"/>
  <c r="B2133" i="5"/>
  <c r="A2134" i="5"/>
  <c r="B2134" i="5"/>
  <c r="A2135" i="5"/>
  <c r="B2135" i="5"/>
  <c r="A2136" i="5"/>
  <c r="B2136" i="5"/>
  <c r="A2137" i="5"/>
  <c r="B2137" i="5"/>
  <c r="A2138" i="5"/>
  <c r="B2138" i="5"/>
  <c r="A2139" i="5"/>
  <c r="B2139" i="5"/>
  <c r="A2140" i="5"/>
  <c r="B2140" i="5"/>
  <c r="A2141" i="5"/>
  <c r="B2141" i="5"/>
  <c r="A2142" i="5"/>
  <c r="B2142" i="5"/>
  <c r="A2143" i="5"/>
  <c r="B2143" i="5"/>
  <c r="A2144" i="5"/>
  <c r="B2144" i="5"/>
  <c r="A2145" i="5"/>
  <c r="B2145" i="5"/>
  <c r="A2146" i="5"/>
  <c r="B2146" i="5"/>
  <c r="A2147" i="5"/>
  <c r="B2147" i="5"/>
  <c r="A2148" i="5"/>
  <c r="B2148" i="5"/>
  <c r="A2149" i="5"/>
  <c r="B2149" i="5"/>
  <c r="A2150" i="5"/>
  <c r="B2150" i="5"/>
  <c r="A2151" i="5"/>
  <c r="B2151" i="5"/>
  <c r="A2152" i="5"/>
  <c r="B2152" i="5"/>
  <c r="A2153" i="5"/>
  <c r="B2153" i="5"/>
  <c r="A2154" i="5"/>
  <c r="B2154" i="5"/>
  <c r="A2155" i="5"/>
  <c r="B2155" i="5"/>
  <c r="A2156" i="5"/>
  <c r="B2156" i="5"/>
  <c r="A2157" i="5"/>
  <c r="B2157" i="5"/>
  <c r="A2158" i="5"/>
  <c r="B2158" i="5"/>
  <c r="A2159" i="5"/>
  <c r="B2159" i="5"/>
  <c r="A2160" i="5"/>
  <c r="B2160" i="5"/>
  <c r="A2161" i="5"/>
  <c r="B2161" i="5"/>
  <c r="A2162" i="5"/>
  <c r="B2162" i="5"/>
  <c r="A2163" i="5"/>
  <c r="B2163" i="5"/>
  <c r="A2164" i="5"/>
  <c r="B2164" i="5"/>
  <c r="A2165" i="5"/>
  <c r="B2165" i="5"/>
  <c r="A2166" i="5"/>
  <c r="B2166" i="5"/>
  <c r="A2167" i="5"/>
  <c r="B2167" i="5"/>
  <c r="A2168" i="5"/>
  <c r="B2168" i="5"/>
  <c r="A2169" i="5"/>
  <c r="B2169" i="5"/>
  <c r="A2170" i="5"/>
  <c r="B2170" i="5"/>
  <c r="A2171" i="5"/>
  <c r="B2171" i="5"/>
  <c r="A2172" i="5"/>
  <c r="B2172" i="5"/>
  <c r="A2173" i="5"/>
  <c r="B2173" i="5"/>
  <c r="A2174" i="5"/>
  <c r="B2174" i="5"/>
  <c r="A2175" i="5"/>
  <c r="B2175" i="5"/>
  <c r="A2176" i="5"/>
  <c r="B2176" i="5"/>
  <c r="A2177" i="5"/>
  <c r="B2177" i="5"/>
  <c r="A2178" i="5"/>
  <c r="B2178" i="5"/>
  <c r="A2179" i="5"/>
  <c r="B2179" i="5"/>
  <c r="A2180" i="5"/>
  <c r="B2180" i="5"/>
  <c r="A2181" i="5"/>
  <c r="B2181" i="5"/>
  <c r="A2182" i="5"/>
  <c r="B2182" i="5"/>
  <c r="A2183" i="5"/>
  <c r="B2183" i="5"/>
  <c r="A2184" i="5"/>
  <c r="B2184" i="5"/>
  <c r="A2185" i="5"/>
  <c r="B2185" i="5"/>
  <c r="A2186" i="5"/>
  <c r="B2186" i="5"/>
  <c r="A2187" i="5"/>
  <c r="B2187" i="5"/>
  <c r="A2188" i="5"/>
  <c r="B2188" i="5"/>
  <c r="A2189" i="5"/>
  <c r="B2189" i="5"/>
  <c r="A2190" i="5"/>
  <c r="B2190" i="5"/>
  <c r="A2191" i="5"/>
  <c r="B2191" i="5"/>
  <c r="A2192" i="5"/>
  <c r="B2192" i="5"/>
  <c r="A2193" i="5"/>
  <c r="B2193" i="5"/>
  <c r="A2194" i="5"/>
  <c r="B2194" i="5"/>
  <c r="A2195" i="5"/>
  <c r="B2195" i="5"/>
  <c r="A2196" i="5"/>
  <c r="B2196" i="5"/>
  <c r="A2197" i="5"/>
  <c r="B2197" i="5"/>
  <c r="A2198" i="5"/>
  <c r="B2198" i="5"/>
  <c r="A2199" i="5"/>
  <c r="B2199" i="5"/>
  <c r="A2200" i="5"/>
  <c r="B2200" i="5"/>
  <c r="A2201" i="5"/>
  <c r="B2201" i="5"/>
  <c r="A2202" i="5"/>
  <c r="B2202" i="5"/>
  <c r="A2203" i="5"/>
  <c r="B2203" i="5"/>
  <c r="A2204" i="5"/>
  <c r="B2204" i="5"/>
  <c r="A2205" i="5"/>
  <c r="B2205" i="5"/>
  <c r="A2206" i="5"/>
  <c r="B2206" i="5"/>
  <c r="A2207" i="5"/>
  <c r="B2207" i="5"/>
  <c r="A2208" i="5"/>
  <c r="B2208" i="5"/>
  <c r="A2209" i="5"/>
  <c r="B2209" i="5"/>
  <c r="A2210" i="5"/>
  <c r="B2210" i="5"/>
  <c r="A2211" i="5"/>
  <c r="B2211" i="5"/>
  <c r="A2212" i="5"/>
  <c r="B2212" i="5"/>
  <c r="A2213" i="5"/>
  <c r="B2213" i="5"/>
  <c r="A2214" i="5"/>
  <c r="B2214" i="5"/>
  <c r="A2215" i="5"/>
  <c r="B2215" i="5"/>
  <c r="A2216" i="5"/>
  <c r="B2216" i="5"/>
  <c r="A2217" i="5"/>
  <c r="B2217" i="5"/>
  <c r="A2218" i="5"/>
  <c r="B2218" i="5"/>
  <c r="A2219" i="5"/>
  <c r="B2219" i="5"/>
  <c r="A2220" i="5"/>
  <c r="B2220" i="5"/>
  <c r="A2221" i="5"/>
  <c r="B2221" i="5"/>
  <c r="A2222" i="5"/>
  <c r="B2222" i="5"/>
  <c r="A2223" i="5"/>
  <c r="B2223" i="5"/>
  <c r="A2224" i="5"/>
  <c r="B2224" i="5"/>
  <c r="A2225" i="5"/>
  <c r="B2225" i="5"/>
  <c r="A2226" i="5"/>
  <c r="B2226" i="5"/>
  <c r="A2227" i="5"/>
  <c r="B2227" i="5"/>
  <c r="A2228" i="5"/>
  <c r="B2228" i="5"/>
  <c r="A2229" i="5"/>
  <c r="B2229" i="5"/>
  <c r="A2230" i="5"/>
  <c r="B2230" i="5"/>
  <c r="A2231" i="5"/>
  <c r="B2231" i="5"/>
  <c r="A2232" i="5"/>
  <c r="B2232" i="5"/>
  <c r="A2233" i="5"/>
  <c r="B2233" i="5"/>
  <c r="A2234" i="5"/>
  <c r="B2234" i="5"/>
  <c r="A2235" i="5"/>
  <c r="B2235" i="5"/>
  <c r="A2236" i="5"/>
  <c r="B2236" i="5"/>
  <c r="A2237" i="5"/>
  <c r="B2237" i="5"/>
  <c r="A2238" i="5"/>
  <c r="B2238" i="5"/>
  <c r="A2239" i="5"/>
  <c r="B2239" i="5"/>
  <c r="A2240" i="5"/>
  <c r="B2240" i="5"/>
  <c r="A2241" i="5"/>
  <c r="B2241" i="5"/>
  <c r="A2242" i="5"/>
  <c r="B2242" i="5"/>
  <c r="A2243" i="5"/>
  <c r="B2243" i="5"/>
  <c r="A2244" i="5"/>
  <c r="B2244" i="5"/>
  <c r="A2245" i="5"/>
  <c r="B2245" i="5"/>
  <c r="A2246" i="5"/>
  <c r="B2246" i="5"/>
  <c r="A2247" i="5"/>
  <c r="B2247" i="5"/>
  <c r="A2248" i="5"/>
  <c r="B2248" i="5"/>
  <c r="A2249" i="5"/>
  <c r="B2249" i="5"/>
  <c r="A2250" i="5"/>
  <c r="B2250" i="5"/>
  <c r="A2251" i="5"/>
  <c r="B2251" i="5"/>
  <c r="A2252" i="5"/>
  <c r="B2252" i="5"/>
  <c r="A2253" i="5"/>
  <c r="B2253" i="5"/>
  <c r="A2254" i="5"/>
  <c r="B2254" i="5"/>
  <c r="A2255" i="5"/>
  <c r="B2255" i="5"/>
  <c r="A2256" i="5"/>
  <c r="B2256" i="5"/>
  <c r="A2257" i="5"/>
  <c r="B2257" i="5"/>
  <c r="A2258" i="5"/>
  <c r="B2258" i="5"/>
  <c r="A2259" i="5"/>
  <c r="B2259" i="5"/>
  <c r="A2260" i="5"/>
  <c r="B2260" i="5"/>
  <c r="A2261" i="5"/>
  <c r="B2261" i="5"/>
  <c r="A2262" i="5"/>
  <c r="B2262" i="5"/>
  <c r="A2263" i="5"/>
  <c r="B2263" i="5"/>
  <c r="A2264" i="5"/>
  <c r="B2264" i="5"/>
  <c r="A2265" i="5"/>
  <c r="B2265" i="5"/>
  <c r="A2266" i="5"/>
  <c r="B2266" i="5"/>
  <c r="A2267" i="5"/>
  <c r="B2267" i="5"/>
  <c r="A2268" i="5"/>
  <c r="B2268" i="5"/>
  <c r="A2269" i="5"/>
  <c r="B2269" i="5"/>
  <c r="A2270" i="5"/>
  <c r="B2270" i="5"/>
  <c r="A2271" i="5"/>
  <c r="B2271" i="5"/>
  <c r="A2272" i="5"/>
  <c r="B2272" i="5"/>
  <c r="A2273" i="5"/>
  <c r="B2273" i="5"/>
  <c r="A2274" i="5"/>
  <c r="B2274" i="5"/>
  <c r="A2275" i="5"/>
  <c r="B2275" i="5"/>
  <c r="A2276" i="5"/>
  <c r="B2276" i="5"/>
  <c r="A2277" i="5"/>
  <c r="B2277" i="5"/>
  <c r="A2278" i="5"/>
  <c r="B2278" i="5"/>
  <c r="A2279" i="5"/>
  <c r="B2279" i="5"/>
  <c r="A2280" i="5"/>
  <c r="B2280" i="5"/>
  <c r="A2281" i="5"/>
  <c r="B2281" i="5"/>
  <c r="A2282" i="5"/>
  <c r="B2282" i="5"/>
  <c r="A2283" i="5"/>
  <c r="B2283" i="5"/>
  <c r="A2284" i="5"/>
  <c r="B2284" i="5"/>
  <c r="A2285" i="5"/>
  <c r="B2285" i="5"/>
  <c r="A2286" i="5"/>
  <c r="B2286" i="5"/>
  <c r="A2287" i="5"/>
  <c r="B2287" i="5"/>
  <c r="A2288" i="5"/>
  <c r="B2288" i="5"/>
  <c r="A2289" i="5"/>
  <c r="B2289" i="5"/>
  <c r="A2290" i="5"/>
  <c r="B2290" i="5"/>
  <c r="A2291" i="5"/>
  <c r="B2291" i="5"/>
  <c r="A2292" i="5"/>
  <c r="B2292" i="5"/>
  <c r="A2293" i="5"/>
  <c r="B2293" i="5"/>
  <c r="A2294" i="5"/>
  <c r="B2294" i="5"/>
  <c r="A2295" i="5"/>
  <c r="B2295" i="5"/>
  <c r="A2296" i="5"/>
  <c r="B2296" i="5"/>
  <c r="A2297" i="5"/>
  <c r="B2297" i="5"/>
  <c r="A2298" i="5"/>
  <c r="B2298" i="5"/>
  <c r="A2299" i="5"/>
  <c r="B2299" i="5"/>
  <c r="A2300" i="5"/>
  <c r="B2300" i="5"/>
  <c r="A2301" i="5"/>
  <c r="B2301" i="5"/>
  <c r="A2302" i="5"/>
  <c r="B2302" i="5"/>
  <c r="A2303" i="5"/>
  <c r="B2303" i="5"/>
  <c r="A2304" i="5"/>
  <c r="B2304" i="5"/>
  <c r="A2305" i="5"/>
  <c r="B2305" i="5"/>
  <c r="A2306" i="5"/>
  <c r="B2306" i="5"/>
  <c r="A2307" i="5"/>
  <c r="B2307" i="5"/>
  <c r="A2308" i="5"/>
  <c r="B2308" i="5"/>
  <c r="A2309" i="5"/>
  <c r="B2309" i="5"/>
  <c r="A2310" i="5"/>
  <c r="B2310" i="5"/>
  <c r="A2311" i="5"/>
  <c r="B2311" i="5"/>
  <c r="A2312" i="5"/>
  <c r="B2312" i="5"/>
  <c r="A2313" i="5"/>
  <c r="B2313" i="5"/>
  <c r="A2314" i="5"/>
  <c r="B2314" i="5"/>
  <c r="A2315" i="5"/>
  <c r="B2315" i="5"/>
  <c r="A2316" i="5"/>
  <c r="B2316" i="5"/>
  <c r="A2317" i="5"/>
  <c r="B2317" i="5"/>
  <c r="A2318" i="5"/>
  <c r="B2318" i="5"/>
  <c r="A2319" i="5"/>
  <c r="B2319" i="5"/>
  <c r="A2320" i="5"/>
  <c r="B2320" i="5"/>
  <c r="A2321" i="5"/>
  <c r="B2321" i="5"/>
  <c r="A2322" i="5"/>
  <c r="B2322" i="5"/>
  <c r="A2323" i="5"/>
  <c r="B2323" i="5"/>
  <c r="A2324" i="5"/>
  <c r="B2324" i="5"/>
  <c r="A2325" i="5"/>
  <c r="B2325" i="5"/>
  <c r="A2326" i="5"/>
  <c r="B2326" i="5"/>
  <c r="A2327" i="5"/>
  <c r="B2327" i="5"/>
  <c r="A2328" i="5"/>
  <c r="B2328" i="5"/>
  <c r="A2329" i="5"/>
  <c r="B2329" i="5"/>
  <c r="A2330" i="5"/>
  <c r="B2330" i="5"/>
  <c r="A2331" i="5"/>
  <c r="B2331" i="5"/>
  <c r="A2332" i="5"/>
  <c r="B2332" i="5"/>
  <c r="A2333" i="5"/>
  <c r="B2333" i="5"/>
  <c r="A2334" i="5"/>
  <c r="B2334" i="5"/>
  <c r="A2335" i="5"/>
  <c r="B2335" i="5"/>
  <c r="A2336" i="5"/>
  <c r="B2336" i="5"/>
  <c r="A2337" i="5"/>
  <c r="B2337" i="5"/>
  <c r="A2338" i="5"/>
  <c r="B2338" i="5"/>
  <c r="A2339" i="5"/>
  <c r="B2339" i="5"/>
  <c r="A2340" i="5"/>
  <c r="B2340" i="5"/>
  <c r="A2341" i="5"/>
  <c r="B2341" i="5"/>
  <c r="A2342" i="5"/>
  <c r="B2342" i="5"/>
  <c r="A2343" i="5"/>
  <c r="B2343" i="5"/>
  <c r="A2344" i="5"/>
  <c r="B2344" i="5"/>
  <c r="A2345" i="5"/>
  <c r="B2345" i="5"/>
  <c r="A2346" i="5"/>
  <c r="B2346" i="5"/>
  <c r="A2347" i="5"/>
  <c r="B2347" i="5"/>
  <c r="A2348" i="5"/>
  <c r="B2348" i="5"/>
  <c r="A2349" i="5"/>
  <c r="B2349" i="5"/>
  <c r="A2350" i="5"/>
  <c r="B2350" i="5"/>
  <c r="A2351" i="5"/>
  <c r="B2351" i="5"/>
  <c r="A2352" i="5"/>
  <c r="B2352" i="5"/>
  <c r="A2353" i="5"/>
  <c r="B2353" i="5"/>
  <c r="A2354" i="5"/>
  <c r="B2354" i="5"/>
  <c r="A2355" i="5"/>
  <c r="B2355" i="5"/>
  <c r="A2356" i="5"/>
  <c r="B2356" i="5"/>
  <c r="A2357" i="5"/>
  <c r="B2357" i="5"/>
  <c r="A2358" i="5"/>
  <c r="B2358" i="5"/>
  <c r="A2359" i="5"/>
  <c r="B2359" i="5"/>
  <c r="A2360" i="5"/>
  <c r="B2360" i="5"/>
  <c r="A2361" i="5"/>
  <c r="B2361" i="5"/>
  <c r="A2362" i="5"/>
  <c r="B2362" i="5"/>
  <c r="A2363" i="5"/>
  <c r="B2363" i="5"/>
  <c r="A2364" i="5"/>
  <c r="B2364" i="5"/>
  <c r="A2365" i="5"/>
  <c r="B2365" i="5"/>
  <c r="A2366" i="5"/>
  <c r="B2366" i="5"/>
  <c r="A2367" i="5"/>
  <c r="B2367" i="5"/>
  <c r="A2368" i="5"/>
  <c r="B2368" i="5"/>
  <c r="A2369" i="5"/>
  <c r="B2369" i="5"/>
  <c r="A2370" i="5"/>
  <c r="B2370" i="5"/>
  <c r="A2371" i="5"/>
  <c r="B2371" i="5"/>
  <c r="A2372" i="5"/>
  <c r="B2372" i="5"/>
  <c r="A2373" i="5"/>
  <c r="B2373" i="5"/>
  <c r="A2374" i="5"/>
  <c r="B2374" i="5"/>
  <c r="A2375" i="5"/>
  <c r="B2375" i="5"/>
  <c r="A2376" i="5"/>
  <c r="B2376" i="5"/>
  <c r="A2377" i="5"/>
  <c r="B2377" i="5"/>
  <c r="A2378" i="5"/>
  <c r="B2378" i="5"/>
  <c r="A2379" i="5"/>
  <c r="B2379" i="5"/>
  <c r="A2380" i="5"/>
  <c r="B2380" i="5"/>
  <c r="A2381" i="5"/>
  <c r="B2381" i="5"/>
  <c r="A2382" i="5"/>
  <c r="B2382" i="5"/>
  <c r="A2383" i="5"/>
  <c r="B2383" i="5"/>
  <c r="A2384" i="5"/>
  <c r="B2384" i="5"/>
  <c r="A2385" i="5"/>
  <c r="B2385" i="5"/>
  <c r="A2386" i="5"/>
  <c r="B2386" i="5"/>
  <c r="A2387" i="5"/>
  <c r="B2387" i="5"/>
  <c r="A2388" i="5"/>
  <c r="B2388" i="5"/>
  <c r="A2389" i="5"/>
  <c r="B2389" i="5"/>
  <c r="A2390" i="5"/>
  <c r="B2390" i="5"/>
  <c r="A2391" i="5"/>
  <c r="B2391" i="5"/>
  <c r="A2392" i="5"/>
  <c r="B2392" i="5"/>
  <c r="A2393" i="5"/>
  <c r="B2393" i="5"/>
  <c r="A2394" i="5"/>
  <c r="B2394" i="5"/>
  <c r="A2395" i="5"/>
  <c r="B2395" i="5"/>
  <c r="A2396" i="5"/>
  <c r="B2396" i="5"/>
  <c r="A2397" i="5"/>
  <c r="B2397" i="5"/>
  <c r="A2398" i="5"/>
  <c r="B2398" i="5"/>
  <c r="A2399" i="5"/>
  <c r="B2399" i="5"/>
  <c r="A2400" i="5"/>
  <c r="B2400" i="5"/>
  <c r="A2401" i="5"/>
  <c r="B2401" i="5"/>
  <c r="A2402" i="5"/>
  <c r="B2402" i="5"/>
  <c r="A2403" i="5"/>
  <c r="B2403" i="5"/>
  <c r="A2404" i="5"/>
  <c r="B2404" i="5"/>
  <c r="A2405" i="5"/>
  <c r="B2405" i="5"/>
  <c r="A2406" i="5"/>
  <c r="B2406" i="5"/>
  <c r="A2407" i="5"/>
  <c r="B2407" i="5"/>
  <c r="A2408" i="5"/>
  <c r="B2408" i="5"/>
  <c r="A2409" i="5"/>
  <c r="B2409" i="5"/>
  <c r="A2410" i="5"/>
  <c r="B2410" i="5"/>
  <c r="A2411" i="5"/>
  <c r="B2411" i="5"/>
  <c r="A2412" i="5"/>
  <c r="B2412" i="5"/>
  <c r="A2413" i="5"/>
  <c r="B2413" i="5"/>
  <c r="A2414" i="5"/>
  <c r="B2414" i="5"/>
  <c r="A2415" i="5"/>
  <c r="B2415" i="5"/>
  <c r="A2416" i="5"/>
  <c r="B2416" i="5"/>
  <c r="A2417" i="5"/>
  <c r="B2417" i="5"/>
  <c r="A2418" i="5"/>
  <c r="B2418" i="5"/>
  <c r="A2419" i="5"/>
  <c r="B2419" i="5"/>
  <c r="A2420" i="5"/>
  <c r="B2420" i="5"/>
  <c r="A2421" i="5"/>
  <c r="B2421" i="5"/>
  <c r="A2422" i="5"/>
  <c r="B2422" i="5"/>
  <c r="A2423" i="5"/>
  <c r="B2423" i="5"/>
  <c r="A2424" i="5"/>
  <c r="B2424" i="5"/>
  <c r="A2425" i="5"/>
  <c r="B2425" i="5"/>
  <c r="A2426" i="5"/>
  <c r="B2426" i="5"/>
  <c r="A2427" i="5"/>
  <c r="B2427" i="5"/>
  <c r="A2428" i="5"/>
  <c r="B2428" i="5"/>
  <c r="A2429" i="5"/>
  <c r="B2429" i="5"/>
  <c r="A2430" i="5"/>
  <c r="B2430" i="5"/>
  <c r="A2431" i="5"/>
  <c r="B2431" i="5"/>
  <c r="A2432" i="5"/>
  <c r="B2432" i="5"/>
  <c r="A2433" i="5"/>
  <c r="B2433" i="5"/>
  <c r="A2434" i="5"/>
  <c r="B2434" i="5"/>
  <c r="A2435" i="5"/>
  <c r="B2435" i="5"/>
  <c r="A2436" i="5"/>
  <c r="B2436" i="5"/>
  <c r="A2437" i="5"/>
  <c r="B2437" i="5"/>
  <c r="A2438" i="5"/>
  <c r="B2438" i="5"/>
  <c r="A2439" i="5"/>
  <c r="B2439" i="5"/>
  <c r="A2440" i="5"/>
  <c r="B2440" i="5"/>
  <c r="A2441" i="5"/>
  <c r="B2441" i="5"/>
  <c r="A2442" i="5"/>
  <c r="B2442" i="5"/>
  <c r="A2443" i="5"/>
  <c r="B2443" i="5"/>
  <c r="A2444" i="5"/>
  <c r="B2444" i="5"/>
  <c r="A2445" i="5"/>
  <c r="B2445" i="5"/>
  <c r="A2446" i="5"/>
  <c r="B2446" i="5"/>
  <c r="A2447" i="5"/>
  <c r="B2447" i="5"/>
  <c r="A2448" i="5"/>
  <c r="B2448" i="5"/>
  <c r="A2449" i="5"/>
  <c r="B2449" i="5"/>
  <c r="A2450" i="5"/>
  <c r="B2450" i="5"/>
  <c r="A2451" i="5"/>
  <c r="B2451" i="5"/>
  <c r="A2452" i="5"/>
  <c r="B2452" i="5"/>
  <c r="A2453" i="5"/>
  <c r="B2453" i="5"/>
  <c r="A2454" i="5"/>
  <c r="B2454" i="5"/>
  <c r="A2455" i="5"/>
  <c r="B2455" i="5"/>
  <c r="A2456" i="5"/>
  <c r="B2456" i="5"/>
  <c r="A2457" i="5"/>
  <c r="B2457" i="5"/>
  <c r="A2458" i="5"/>
  <c r="B2458" i="5"/>
  <c r="A2459" i="5"/>
  <c r="B2459" i="5"/>
  <c r="A2460" i="5"/>
  <c r="B2460" i="5"/>
  <c r="A2461" i="5"/>
  <c r="B2461" i="5"/>
  <c r="A2462" i="5"/>
  <c r="B2462" i="5"/>
  <c r="A2463" i="5"/>
  <c r="B2463" i="5"/>
  <c r="A2464" i="5"/>
  <c r="B2464" i="5"/>
  <c r="A2465" i="5"/>
  <c r="B2465" i="5"/>
  <c r="A2466" i="5"/>
  <c r="B2466" i="5"/>
  <c r="A2467" i="5"/>
  <c r="B2467" i="5"/>
  <c r="A2468" i="5"/>
  <c r="B2468" i="5"/>
  <c r="A2469" i="5"/>
  <c r="B2469" i="5"/>
  <c r="A2470" i="5"/>
  <c r="B2470" i="5"/>
  <c r="A2471" i="5"/>
  <c r="B2471" i="5"/>
  <c r="A2472" i="5"/>
  <c r="B2472" i="5"/>
  <c r="A2473" i="5"/>
  <c r="B2473" i="5"/>
  <c r="A2474" i="5"/>
  <c r="B2474" i="5"/>
  <c r="A2475" i="5"/>
  <c r="B2475" i="5"/>
  <c r="A2476" i="5"/>
  <c r="B2476" i="5"/>
  <c r="A2477" i="5"/>
  <c r="B2477" i="5"/>
  <c r="A2478" i="5"/>
  <c r="B2478" i="5"/>
  <c r="A2479" i="5"/>
  <c r="B2479" i="5"/>
  <c r="A2480" i="5"/>
  <c r="B2480" i="5"/>
  <c r="A2481" i="5"/>
  <c r="B2481" i="5"/>
  <c r="A2482" i="5"/>
  <c r="B2482" i="5"/>
  <c r="A2483" i="5"/>
  <c r="B2483" i="5"/>
  <c r="A2484" i="5"/>
  <c r="B2484" i="5"/>
  <c r="A2485" i="5"/>
  <c r="B2485" i="5"/>
  <c r="A2486" i="5"/>
  <c r="B2486" i="5"/>
  <c r="A2487" i="5"/>
  <c r="B2487" i="5"/>
  <c r="A2488" i="5"/>
  <c r="B2488" i="5"/>
  <c r="A2489" i="5"/>
  <c r="B2489" i="5"/>
  <c r="A2490" i="5"/>
  <c r="B2490" i="5"/>
  <c r="A2491" i="5"/>
  <c r="B2491" i="5"/>
  <c r="A2492" i="5"/>
  <c r="B2492" i="5"/>
  <c r="A2493" i="5"/>
  <c r="B2493" i="5"/>
  <c r="A2494" i="5"/>
  <c r="B2494" i="5"/>
  <c r="A2495" i="5"/>
  <c r="B2495" i="5"/>
  <c r="A2496" i="5"/>
  <c r="B2496" i="5"/>
  <c r="A2497" i="5"/>
  <c r="B2497" i="5"/>
  <c r="A2498" i="5"/>
  <c r="B2498" i="5"/>
  <c r="A2499" i="5"/>
  <c r="B2499" i="5"/>
  <c r="A2500" i="5"/>
  <c r="B2500" i="5"/>
  <c r="A2501" i="5"/>
  <c r="B2501" i="5"/>
  <c r="A2502" i="5"/>
  <c r="B2502" i="5"/>
  <c r="A2503" i="5"/>
  <c r="B2503" i="5"/>
  <c r="A2504" i="5"/>
  <c r="B2504" i="5"/>
  <c r="A2505" i="5"/>
  <c r="B2505" i="5"/>
  <c r="A2506" i="5"/>
  <c r="B2506" i="5"/>
  <c r="A2507" i="5"/>
  <c r="B2507" i="5"/>
  <c r="A2508" i="5"/>
  <c r="B2508" i="5"/>
  <c r="A2509" i="5"/>
  <c r="B2509" i="5"/>
  <c r="A2510" i="5"/>
  <c r="B2510" i="5"/>
  <c r="A2511" i="5"/>
  <c r="B2511" i="5"/>
  <c r="A2512" i="5"/>
  <c r="B2512" i="5"/>
  <c r="A2513" i="5"/>
  <c r="B2513" i="5"/>
  <c r="A2514" i="5"/>
  <c r="B2514" i="5"/>
  <c r="A2515" i="5"/>
  <c r="B2515" i="5"/>
  <c r="A2516" i="5"/>
  <c r="B2516" i="5"/>
  <c r="A2517" i="5"/>
  <c r="B2517" i="5"/>
  <c r="A2518" i="5"/>
  <c r="B2518" i="5"/>
  <c r="A2519" i="5"/>
  <c r="B2519" i="5"/>
  <c r="A2520" i="5"/>
  <c r="B2520" i="5"/>
  <c r="A2521" i="5"/>
  <c r="B2521" i="5"/>
  <c r="A2522" i="5"/>
  <c r="B2522" i="5"/>
  <c r="A2523" i="5"/>
  <c r="B2523" i="5"/>
  <c r="A2524" i="5"/>
  <c r="B2524" i="5"/>
  <c r="A2525" i="5"/>
  <c r="B2525" i="5"/>
  <c r="A2526" i="5"/>
  <c r="B2526" i="5"/>
  <c r="A2527" i="5"/>
  <c r="B2527" i="5"/>
  <c r="A2528" i="5"/>
  <c r="B2528" i="5"/>
  <c r="A2529" i="5"/>
  <c r="B2529" i="5"/>
  <c r="A2530" i="5"/>
  <c r="B2530" i="5"/>
  <c r="A2531" i="5"/>
  <c r="B2531" i="5"/>
  <c r="A2532" i="5"/>
  <c r="B2532" i="5"/>
  <c r="A2533" i="5"/>
  <c r="B2533" i="5"/>
  <c r="A2534" i="5"/>
  <c r="B2534" i="5"/>
  <c r="A2535" i="5"/>
  <c r="B2535" i="5"/>
  <c r="A2536" i="5"/>
  <c r="B2536" i="5"/>
  <c r="A2537" i="5"/>
  <c r="B2537" i="5"/>
  <c r="A2538" i="5"/>
  <c r="B2538" i="5"/>
  <c r="A2539" i="5"/>
  <c r="B2539" i="5"/>
  <c r="A2540" i="5"/>
  <c r="B2540" i="5"/>
  <c r="A2541" i="5"/>
  <c r="B2541" i="5"/>
  <c r="A2542" i="5"/>
  <c r="B2542" i="5"/>
  <c r="A2543" i="5"/>
  <c r="B2543" i="5"/>
  <c r="A2544" i="5"/>
  <c r="B2544" i="5"/>
  <c r="A2545" i="5"/>
  <c r="B2545" i="5"/>
  <c r="A2546" i="5"/>
  <c r="B2546" i="5"/>
  <c r="A2547" i="5"/>
  <c r="B2547" i="5"/>
  <c r="A2548" i="5"/>
  <c r="B2548" i="5"/>
  <c r="A2549" i="5"/>
  <c r="B2549" i="5"/>
  <c r="A2550" i="5"/>
  <c r="B2550" i="5"/>
  <c r="A2551" i="5"/>
  <c r="B2551" i="5"/>
  <c r="A2552" i="5"/>
  <c r="B2552" i="5"/>
  <c r="A2553" i="5"/>
  <c r="B2553" i="5"/>
  <c r="A2554" i="5"/>
  <c r="B2554" i="5"/>
  <c r="A2555" i="5"/>
  <c r="B2555" i="5"/>
  <c r="A2556" i="5"/>
  <c r="B2556" i="5"/>
  <c r="A2557" i="5"/>
  <c r="B2557" i="5"/>
  <c r="A2558" i="5"/>
  <c r="B2558" i="5"/>
  <c r="A2559" i="5"/>
  <c r="B2559" i="5"/>
  <c r="A2560" i="5"/>
  <c r="B2560" i="5"/>
  <c r="A2561" i="5"/>
  <c r="B2561" i="5"/>
  <c r="A2562" i="5"/>
  <c r="B2562" i="5"/>
  <c r="A2563" i="5"/>
  <c r="B2563" i="5"/>
  <c r="A2564" i="5"/>
  <c r="B2564" i="5"/>
  <c r="A2565" i="5"/>
  <c r="B2565" i="5"/>
  <c r="A2566" i="5"/>
  <c r="B2566" i="5"/>
  <c r="A2567" i="5"/>
  <c r="B2567" i="5"/>
  <c r="A2568" i="5"/>
  <c r="B2568" i="5"/>
  <c r="A2569" i="5"/>
  <c r="B2569" i="5"/>
  <c r="A2570" i="5"/>
  <c r="B2570" i="5"/>
  <c r="A2571" i="5"/>
  <c r="B2571" i="5"/>
  <c r="A2572" i="5"/>
  <c r="B2572" i="5"/>
  <c r="A2573" i="5"/>
  <c r="B2573" i="5"/>
  <c r="A2574" i="5"/>
  <c r="B2574" i="5"/>
  <c r="A2575" i="5"/>
  <c r="B2575" i="5"/>
  <c r="A2576" i="5"/>
  <c r="B2576" i="5"/>
  <c r="A2577" i="5"/>
  <c r="B2577" i="5"/>
  <c r="A2578" i="5"/>
  <c r="B2578" i="5"/>
  <c r="A2579" i="5"/>
  <c r="B2579" i="5"/>
  <c r="A2580" i="5"/>
  <c r="B2580" i="5"/>
  <c r="A2581" i="5"/>
  <c r="B2581" i="5"/>
  <c r="A2582" i="5"/>
  <c r="B2582" i="5"/>
  <c r="A2583" i="5"/>
  <c r="B2583" i="5"/>
  <c r="A2584" i="5"/>
  <c r="B2584" i="5"/>
  <c r="A2585" i="5"/>
  <c r="B2585" i="5"/>
  <c r="A2586" i="5"/>
  <c r="B2586" i="5"/>
  <c r="A2587" i="5"/>
  <c r="B2587" i="5"/>
  <c r="A2588" i="5"/>
  <c r="B2588" i="5"/>
  <c r="A2589" i="5"/>
  <c r="B2589" i="5"/>
  <c r="A2590" i="5"/>
  <c r="B2590" i="5"/>
  <c r="A2591" i="5"/>
  <c r="B2591" i="5"/>
  <c r="A2592" i="5"/>
  <c r="B2592" i="5"/>
  <c r="A2593" i="5"/>
  <c r="B2593" i="5"/>
  <c r="A2594" i="5"/>
  <c r="B2594" i="5"/>
  <c r="A2595" i="5"/>
  <c r="B2595" i="5"/>
  <c r="A2596" i="5"/>
  <c r="B2596" i="5"/>
  <c r="A2597" i="5"/>
  <c r="B2597" i="5"/>
  <c r="A2598" i="5"/>
  <c r="B2598" i="5"/>
  <c r="A2599" i="5"/>
  <c r="B2599" i="5"/>
  <c r="A2600" i="5"/>
  <c r="B2600" i="5"/>
  <c r="A2601" i="5"/>
  <c r="B2601" i="5"/>
  <c r="A2602" i="5"/>
  <c r="B2602" i="5"/>
  <c r="A2603" i="5"/>
  <c r="B2603" i="5"/>
  <c r="A2604" i="5"/>
  <c r="B2604" i="5"/>
  <c r="A2605" i="5"/>
  <c r="B2605" i="5"/>
  <c r="A2606" i="5"/>
  <c r="B2606" i="5"/>
  <c r="A2607" i="5"/>
  <c r="B2607" i="5"/>
  <c r="A2608" i="5"/>
  <c r="B2608" i="5"/>
  <c r="A2609" i="5"/>
  <c r="B2609" i="5"/>
  <c r="A2610" i="5"/>
  <c r="B2610" i="5"/>
  <c r="A2611" i="5"/>
  <c r="B2611" i="5"/>
  <c r="A2612" i="5"/>
  <c r="B2612" i="5"/>
  <c r="A2613" i="5"/>
  <c r="B2613" i="5"/>
  <c r="A2614" i="5"/>
  <c r="B2614" i="5"/>
  <c r="A2615" i="5"/>
  <c r="B2615" i="5"/>
  <c r="A2616" i="5"/>
  <c r="B2616" i="5"/>
  <c r="A2617" i="5"/>
  <c r="B2617" i="5"/>
  <c r="A2618" i="5"/>
  <c r="B2618" i="5"/>
  <c r="A2619" i="5"/>
  <c r="B2619" i="5"/>
  <c r="A2620" i="5"/>
  <c r="B2620" i="5"/>
  <c r="A2621" i="5"/>
  <c r="B2621" i="5"/>
  <c r="A2622" i="5"/>
  <c r="B2622" i="5"/>
  <c r="A2623" i="5"/>
  <c r="B2623" i="5"/>
  <c r="A2624" i="5"/>
  <c r="B2624" i="5"/>
  <c r="A2625" i="5"/>
  <c r="B2625" i="5"/>
  <c r="A2626" i="5"/>
  <c r="B2626" i="5"/>
  <c r="A2627" i="5"/>
  <c r="B2627" i="5"/>
  <c r="A2628" i="5"/>
  <c r="B2628" i="5"/>
  <c r="A2629" i="5"/>
  <c r="B2629" i="5"/>
  <c r="A2630" i="5"/>
  <c r="B2630" i="5"/>
  <c r="A2631" i="5"/>
  <c r="B2631" i="5"/>
  <c r="A2632" i="5"/>
  <c r="B2632" i="5"/>
  <c r="A2633" i="5"/>
  <c r="B2633" i="5"/>
  <c r="A2634" i="5"/>
  <c r="B2634" i="5"/>
  <c r="A2635" i="5"/>
  <c r="B2635" i="5"/>
  <c r="A2636" i="5"/>
  <c r="B2636" i="5"/>
  <c r="A2637" i="5"/>
  <c r="B2637" i="5"/>
  <c r="A2638" i="5"/>
  <c r="B2638" i="5"/>
  <c r="A2639" i="5"/>
  <c r="B2639" i="5"/>
  <c r="A2640" i="5"/>
  <c r="B2640" i="5"/>
  <c r="A2641" i="5"/>
  <c r="B2641" i="5"/>
  <c r="A2642" i="5"/>
  <c r="B2642" i="5"/>
  <c r="A2643" i="5"/>
  <c r="B2643" i="5"/>
  <c r="A2644" i="5"/>
  <c r="B2644" i="5"/>
  <c r="A2645" i="5"/>
  <c r="B2645" i="5"/>
  <c r="A2646" i="5"/>
  <c r="B2646" i="5"/>
  <c r="A2647" i="5"/>
  <c r="B2647" i="5"/>
  <c r="A2648" i="5"/>
  <c r="B2648" i="5"/>
  <c r="A2649" i="5"/>
  <c r="B2649" i="5"/>
  <c r="A2650" i="5"/>
  <c r="B2650" i="5"/>
  <c r="A2651" i="5"/>
  <c r="B2651" i="5"/>
  <c r="A2652" i="5"/>
  <c r="B2652" i="5"/>
  <c r="A2653" i="5"/>
  <c r="B2653" i="5"/>
  <c r="A2654" i="5"/>
  <c r="B2654" i="5"/>
  <c r="A2655" i="5"/>
  <c r="B2655" i="5"/>
  <c r="A2656" i="5"/>
  <c r="B2656" i="5"/>
  <c r="A2657" i="5"/>
  <c r="B2657" i="5"/>
  <c r="A2658" i="5"/>
  <c r="B2658" i="5"/>
  <c r="A2659" i="5"/>
  <c r="B2659" i="5"/>
  <c r="A2660" i="5"/>
  <c r="B2660" i="5"/>
  <c r="A2661" i="5"/>
  <c r="B2661" i="5"/>
  <c r="A2662" i="5"/>
  <c r="B2662" i="5"/>
  <c r="A2663" i="5"/>
  <c r="B2663" i="5"/>
  <c r="A2664" i="5"/>
  <c r="B2664" i="5"/>
  <c r="A2665" i="5"/>
  <c r="B2665" i="5"/>
  <c r="A2666" i="5"/>
  <c r="B2666" i="5"/>
  <c r="A2667" i="5"/>
  <c r="B2667" i="5"/>
  <c r="A2668" i="5"/>
  <c r="B2668" i="5"/>
  <c r="A2669" i="5"/>
  <c r="B2669" i="5"/>
  <c r="A2670" i="5"/>
  <c r="B2670" i="5"/>
  <c r="A2671" i="5"/>
  <c r="B2671" i="5"/>
  <c r="A2672" i="5"/>
  <c r="B2672" i="5"/>
  <c r="A2673" i="5"/>
  <c r="B2673" i="5"/>
  <c r="A2674" i="5"/>
  <c r="B2674" i="5"/>
  <c r="A2675" i="5"/>
  <c r="B2675" i="5"/>
  <c r="A2676" i="5"/>
  <c r="B2676" i="5"/>
  <c r="A2677" i="5"/>
  <c r="B2677" i="5"/>
  <c r="A2678" i="5"/>
  <c r="B2678" i="5"/>
  <c r="A2679" i="5"/>
  <c r="B2679" i="5"/>
  <c r="A2680" i="5"/>
  <c r="B2680" i="5"/>
  <c r="A2681" i="5"/>
  <c r="B2681" i="5"/>
  <c r="A2682" i="5"/>
  <c r="B2682" i="5"/>
  <c r="A2683" i="5"/>
  <c r="B2683" i="5"/>
  <c r="A2684" i="5"/>
  <c r="B2684" i="5"/>
  <c r="A2685" i="5"/>
  <c r="B2685" i="5"/>
  <c r="A2686" i="5"/>
  <c r="B2686" i="5"/>
  <c r="A2687" i="5"/>
  <c r="B2687" i="5"/>
  <c r="A2688" i="5"/>
  <c r="B2688" i="5"/>
  <c r="A2689" i="5"/>
  <c r="B2689" i="5"/>
  <c r="A2690" i="5"/>
  <c r="B2690" i="5"/>
  <c r="A2691" i="5"/>
  <c r="B2691" i="5"/>
  <c r="A2692" i="5"/>
  <c r="B2692" i="5"/>
  <c r="A2693" i="5"/>
  <c r="B2693" i="5"/>
  <c r="A2694" i="5"/>
  <c r="B2694" i="5"/>
  <c r="A2695" i="5"/>
  <c r="B2695" i="5"/>
  <c r="A2696" i="5"/>
  <c r="B2696" i="5"/>
  <c r="A2697" i="5"/>
  <c r="B2697" i="5"/>
  <c r="A2698" i="5"/>
  <c r="B2698" i="5"/>
  <c r="A2699" i="5"/>
  <c r="B2699" i="5"/>
  <c r="A2700" i="5"/>
  <c r="B2700" i="5"/>
  <c r="A2701" i="5"/>
  <c r="B2701" i="5"/>
  <c r="A2702" i="5"/>
  <c r="B2702" i="5"/>
  <c r="A2703" i="5"/>
  <c r="B2703" i="5"/>
  <c r="A2704" i="5"/>
  <c r="B2704" i="5"/>
  <c r="A2705" i="5"/>
  <c r="B2705" i="5"/>
  <c r="A2706" i="5"/>
  <c r="B2706" i="5"/>
  <c r="A2707" i="5"/>
  <c r="B2707" i="5"/>
  <c r="A2708" i="5"/>
  <c r="B2708" i="5"/>
  <c r="A2709" i="5"/>
  <c r="B2709" i="5"/>
  <c r="A2710" i="5"/>
  <c r="B2710" i="5"/>
  <c r="A2711" i="5"/>
  <c r="B2711" i="5"/>
  <c r="A2712" i="5"/>
  <c r="B2712" i="5"/>
  <c r="A2713" i="5"/>
  <c r="B2713" i="5"/>
  <c r="A2714" i="5"/>
  <c r="B2714" i="5"/>
  <c r="A2715" i="5"/>
  <c r="B2715" i="5"/>
  <c r="A2716" i="5"/>
  <c r="B2716" i="5"/>
  <c r="A2717" i="5"/>
  <c r="B2717" i="5"/>
  <c r="A2718" i="5"/>
  <c r="B2718" i="5"/>
  <c r="A2719" i="5"/>
  <c r="B2719" i="5"/>
  <c r="A2720" i="5"/>
  <c r="B2720" i="5"/>
  <c r="A2721" i="5"/>
  <c r="B2721" i="5"/>
  <c r="A2722" i="5"/>
  <c r="B2722" i="5"/>
  <c r="A2723" i="5"/>
  <c r="B2723" i="5"/>
  <c r="A2724" i="5"/>
  <c r="B2724" i="5"/>
  <c r="A2725" i="5"/>
  <c r="B2725" i="5"/>
  <c r="A2726" i="5"/>
  <c r="B2726" i="5"/>
  <c r="A2727" i="5"/>
  <c r="B2727" i="5"/>
  <c r="A2728" i="5"/>
  <c r="B2728" i="5"/>
  <c r="A2729" i="5"/>
  <c r="B2729" i="5"/>
  <c r="A2730" i="5"/>
  <c r="B2730" i="5"/>
  <c r="A2731" i="5"/>
  <c r="B2731" i="5"/>
  <c r="A2732" i="5"/>
  <c r="B2732" i="5"/>
  <c r="A2733" i="5"/>
  <c r="B2733" i="5"/>
  <c r="A2734" i="5"/>
  <c r="B2734" i="5"/>
  <c r="A2735" i="5"/>
  <c r="B2735" i="5"/>
  <c r="A2736" i="5"/>
  <c r="B2736" i="5"/>
  <c r="A2737" i="5"/>
  <c r="B2737" i="5"/>
  <c r="A2738" i="5"/>
  <c r="B2738" i="5"/>
  <c r="A2739" i="5"/>
  <c r="B2739" i="5"/>
  <c r="A2740" i="5"/>
  <c r="B2740" i="5"/>
  <c r="A2741" i="5"/>
  <c r="B2741" i="5"/>
  <c r="A2742" i="5"/>
  <c r="B2742" i="5"/>
  <c r="A2743" i="5"/>
  <c r="B2743" i="5"/>
  <c r="A2744" i="5"/>
  <c r="B2744" i="5"/>
  <c r="A2745" i="5"/>
  <c r="B2745" i="5"/>
  <c r="A2746" i="5"/>
  <c r="B2746" i="5"/>
  <c r="A2747" i="5"/>
  <c r="B2747" i="5"/>
  <c r="A2748" i="5"/>
  <c r="B2748" i="5"/>
  <c r="A2749" i="5"/>
  <c r="B2749" i="5"/>
  <c r="A2750" i="5"/>
  <c r="B2750" i="5"/>
  <c r="A2751" i="5"/>
  <c r="B2751" i="5"/>
  <c r="A2752" i="5"/>
  <c r="B2752" i="5"/>
  <c r="A2753" i="5"/>
  <c r="B2753" i="5"/>
  <c r="A2754" i="5"/>
  <c r="B2754" i="5"/>
  <c r="A2755" i="5"/>
  <c r="B2755" i="5"/>
  <c r="A2756" i="5"/>
  <c r="B2756" i="5"/>
  <c r="A2757" i="5"/>
  <c r="B2757" i="5"/>
  <c r="A2758" i="5"/>
  <c r="B2758" i="5"/>
  <c r="A2759" i="5"/>
  <c r="B2759" i="5"/>
  <c r="A2760" i="5"/>
  <c r="B2760" i="5"/>
  <c r="A2761" i="5"/>
  <c r="B2761" i="5"/>
  <c r="A2762" i="5"/>
  <c r="B2762" i="5"/>
  <c r="A2763" i="5"/>
  <c r="B2763" i="5"/>
  <c r="A2764" i="5"/>
  <c r="B2764" i="5"/>
  <c r="A2765" i="5"/>
  <c r="B2765" i="5"/>
  <c r="A2766" i="5"/>
  <c r="B2766" i="5"/>
  <c r="A2767" i="5"/>
  <c r="B2767" i="5"/>
  <c r="A2768" i="5"/>
  <c r="B2768" i="5"/>
  <c r="A2769" i="5"/>
  <c r="B2769" i="5"/>
  <c r="A2770" i="5"/>
  <c r="B2770" i="5"/>
  <c r="A2771" i="5"/>
  <c r="B2771" i="5"/>
  <c r="A2772" i="5"/>
  <c r="B2772" i="5"/>
  <c r="A2773" i="5"/>
  <c r="B2773" i="5"/>
  <c r="A2774" i="5"/>
  <c r="B2774" i="5"/>
  <c r="A2775" i="5"/>
  <c r="B2775" i="5"/>
  <c r="A2776" i="5"/>
  <c r="B2776" i="5"/>
  <c r="A2777" i="5"/>
  <c r="B2777" i="5"/>
  <c r="A2778" i="5"/>
  <c r="B2778" i="5"/>
  <c r="A2779" i="5"/>
  <c r="B2779" i="5"/>
  <c r="A2780" i="5"/>
  <c r="B2780" i="5"/>
  <c r="A2781" i="5"/>
  <c r="B2781" i="5"/>
  <c r="A2782" i="5"/>
  <c r="B2782" i="5"/>
  <c r="A2783" i="5"/>
  <c r="B2783" i="5"/>
  <c r="A2784" i="5"/>
  <c r="B2784" i="5"/>
  <c r="A2785" i="5"/>
  <c r="B2785" i="5"/>
  <c r="A2786" i="5"/>
  <c r="B2786" i="5"/>
  <c r="A2787" i="5"/>
  <c r="B2787" i="5"/>
  <c r="A2788" i="5"/>
  <c r="B2788" i="5"/>
  <c r="A2789" i="5"/>
  <c r="B2789" i="5"/>
  <c r="A2790" i="5"/>
  <c r="B2790" i="5"/>
  <c r="A2791" i="5"/>
  <c r="B2791" i="5"/>
  <c r="A2792" i="5"/>
  <c r="B2792" i="5"/>
  <c r="A2793" i="5"/>
  <c r="B2793" i="5"/>
  <c r="A2794" i="5"/>
  <c r="B2794" i="5"/>
  <c r="A2795" i="5"/>
  <c r="B2795" i="5"/>
  <c r="A2796" i="5"/>
  <c r="B2796" i="5"/>
  <c r="A2797" i="5"/>
  <c r="B2797" i="5"/>
  <c r="A2798" i="5"/>
  <c r="B2798" i="5"/>
  <c r="A2799" i="5"/>
  <c r="B2799" i="5"/>
  <c r="A2800" i="5"/>
  <c r="B2800" i="5"/>
  <c r="A2801" i="5"/>
  <c r="B2801" i="5"/>
  <c r="A2802" i="5"/>
  <c r="B2802" i="5"/>
  <c r="A2803" i="5"/>
  <c r="B2803" i="5"/>
  <c r="A2804" i="5"/>
  <c r="B2804" i="5"/>
  <c r="A2805" i="5"/>
  <c r="B2805" i="5"/>
  <c r="A2806" i="5"/>
  <c r="B2806" i="5"/>
  <c r="A2807" i="5"/>
  <c r="B2807" i="5"/>
  <c r="A2808" i="5"/>
  <c r="B2808" i="5"/>
  <c r="A2809" i="5"/>
  <c r="B2809" i="5"/>
  <c r="A2810" i="5"/>
  <c r="B2810" i="5"/>
  <c r="A2811" i="5"/>
  <c r="B2811" i="5"/>
  <c r="A2812" i="5"/>
  <c r="B2812" i="5"/>
  <c r="A2813" i="5"/>
  <c r="B2813" i="5"/>
  <c r="A2814" i="5"/>
  <c r="B2814" i="5"/>
  <c r="A2815" i="5"/>
  <c r="B2815" i="5"/>
  <c r="A2816" i="5"/>
  <c r="B2816" i="5"/>
  <c r="A2817" i="5"/>
  <c r="B2817" i="5"/>
  <c r="A2818" i="5"/>
  <c r="B2818" i="5"/>
  <c r="A2819" i="5"/>
  <c r="B2819" i="5"/>
  <c r="A2820" i="5"/>
  <c r="B2820" i="5"/>
  <c r="A2821" i="5"/>
  <c r="B2821" i="5"/>
  <c r="A2822" i="5"/>
  <c r="B2822" i="5"/>
  <c r="A2823" i="5"/>
  <c r="B2823" i="5"/>
  <c r="A2824" i="5"/>
  <c r="B2824" i="5"/>
  <c r="A2825" i="5"/>
  <c r="B2825" i="5"/>
  <c r="A2826" i="5"/>
  <c r="B2826" i="5"/>
  <c r="A2827" i="5"/>
  <c r="B2827" i="5"/>
  <c r="A2828" i="5"/>
  <c r="B2828" i="5"/>
  <c r="A2829" i="5"/>
  <c r="B2829" i="5"/>
  <c r="A2830" i="5"/>
  <c r="B2830" i="5"/>
  <c r="A2831" i="5"/>
  <c r="B2831" i="5"/>
  <c r="A2832" i="5"/>
  <c r="B2832" i="5"/>
  <c r="A2833" i="5"/>
  <c r="B2833" i="5"/>
  <c r="A2834" i="5"/>
  <c r="B2834" i="5"/>
  <c r="A2835" i="5"/>
  <c r="B2835" i="5"/>
  <c r="A2836" i="5"/>
  <c r="B2836" i="5"/>
  <c r="A2837" i="5"/>
  <c r="B2837" i="5"/>
  <c r="A2838" i="5"/>
  <c r="B2838" i="5"/>
  <c r="A2839" i="5"/>
  <c r="B2839" i="5"/>
  <c r="A2840" i="5"/>
  <c r="B2840" i="5"/>
  <c r="A2841" i="5"/>
  <c r="B2841" i="5"/>
  <c r="A2842" i="5"/>
  <c r="B2842" i="5"/>
  <c r="A2843" i="5"/>
  <c r="B2843" i="5"/>
  <c r="A2844" i="5"/>
  <c r="B2844" i="5"/>
  <c r="A2845" i="5"/>
  <c r="B2845" i="5"/>
  <c r="A2846" i="5"/>
  <c r="B2846" i="5"/>
  <c r="A2847" i="5"/>
  <c r="B2847" i="5"/>
  <c r="A2848" i="5"/>
  <c r="B2848" i="5"/>
  <c r="A2849" i="5"/>
  <c r="B2849" i="5"/>
</calcChain>
</file>

<file path=xl/sharedStrings.xml><?xml version="1.0" encoding="utf-8"?>
<sst xmlns="http://schemas.openxmlformats.org/spreadsheetml/2006/main" count="6694" uniqueCount="6288">
  <si>
    <t>Fiscal Year</t>
  </si>
  <si>
    <t>Level</t>
  </si>
  <si>
    <t>Level Desc</t>
  </si>
  <si>
    <t>Nonresident full-fee paying</t>
  </si>
  <si>
    <t>Partial Fee Non-Resident</t>
  </si>
  <si>
    <t>WUE above the cap</t>
  </si>
  <si>
    <t>INEL</t>
  </si>
  <si>
    <t>Medical Programs</t>
  </si>
  <si>
    <t>Institution</t>
  </si>
  <si>
    <t>Dual Credit
at HS locale</t>
  </si>
  <si>
    <t>BSU
ISU
LCSC
UI
CEI
CSI
CWI
NIC</t>
  </si>
  <si>
    <t>CIP (Two Digit)</t>
  </si>
  <si>
    <t>Total Credits</t>
  </si>
  <si>
    <t>per NCES, currently CIP 2010</t>
  </si>
  <si>
    <t>Dev_Math
Dev_Engl
Lower
Upper
Grad(Masters)
Grad(Doctoral)
Fst Prof
Med/Dent
MS
PhD</t>
  </si>
  <si>
    <t>Report</t>
  </si>
  <si>
    <t>State of Idaho defined as Jul 1 through June 30, identified by four digit trailing year</t>
  </si>
  <si>
    <t>Definition</t>
  </si>
  <si>
    <t>Annotation</t>
  </si>
  <si>
    <t>Select institution acronym from list</t>
  </si>
  <si>
    <t>Numbering schema controlled and managed by NCES that allows for accurate classification and tracking of learning outcomes in a standardized manner across disparate educational environments or entities. Currently using 2010 CIP codes</t>
  </si>
  <si>
    <t>Academic Level of the offered course</t>
  </si>
  <si>
    <t>.00 Developmental
.20 Lower Division, Undergrad
.30 Upper Division, Undergrad
.50 Graduate Level, Masters
.60 Graduate Level, Doctoral Classifications</t>
  </si>
  <si>
    <t>.00 Dev_Math
.00 Dev_Engl
.20 Lower
.30 Upper
.50 Grad(Masters)
.60 Grad(Doctoral)
.60 Fst Prof
.60 Med/Dent
.60 MS
.60 PhD</t>
  </si>
  <si>
    <t>Enrolled Credits: Student participation in a credit course. For capture purposes, and unless otherwise specified, participation is inclusive of students who withdraw with penalty as derived from system attributes on term Census (e.g. Idaho public post secondary institutions is Oct. 15 for Fall Term)</t>
  </si>
  <si>
    <t xml:space="preserve">Inclusive of students taking remedial courses if the student is degree-seeking for the purpose of student financial aid determination.
Examples of withdraw with penalty include Fees not refunded, transcripted W or F grade </t>
  </si>
  <si>
    <t>Student participating though a partnership with INL (Idaho National Laboratory)</t>
  </si>
  <si>
    <t>.00
.20
.30
.50
.60</t>
  </si>
  <si>
    <t>Summer through Spring enrollments, labeled by year of spring term</t>
  </si>
  <si>
    <t>Student who does not meet residency requirements per 33-3717B and paying a non -discounted tuition rate</t>
  </si>
  <si>
    <t>Non-Resident student receiving waiver and paying less than the full fee</t>
  </si>
  <si>
    <t>Currently, this field has only been reported by University of Idaho and is not a required breakout</t>
  </si>
  <si>
    <t>Western Undergraduate Exchange Students receiving a discounted rate even though they do not otherwise qualify for a discounted rate</t>
  </si>
  <si>
    <t>Students participating though WAMI, IDEP and non-traditional Pharm-D</t>
  </si>
  <si>
    <t xml:space="preserve">Two year institutions report the totality of student in this category, four year institutions only report credits in excess of the prescribed cap. Currently:
Boise State University:  225
Idaho State University:  225
Lewis-Clark State College:  70
University of Idaho:  280
</t>
  </si>
  <si>
    <t>Sub Classifications under specified Academic Levels</t>
  </si>
  <si>
    <t>Examples: - Critical Care Surgery Residency Program</t>
  </si>
  <si>
    <t>Podiatric Medicine and Surgery - 36 Residency Program.</t>
  </si>
  <si>
    <t>Podiatric Medicine and Surgery - 24 Residency Program.</t>
  </si>
  <si>
    <t>Podiatric Medicine Residency Programs.</t>
  </si>
  <si>
    <t>Medical Residency Programs - Subspecialty Certificates, Other.</t>
  </si>
  <si>
    <t>Vascular Neurology Residency Program.</t>
  </si>
  <si>
    <t>Vascular and Interventional Radiology Residency Program.</t>
  </si>
  <si>
    <t>Undersea and Hyperbaric Medicine Residency Program.</t>
  </si>
  <si>
    <t>Transplant Hepatology Residency Program.</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</si>
  <si>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</si>
  <si>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Therapeutic Radiologic Physics Residency Program.</t>
  </si>
  <si>
    <t>Surgical Critical Care Residency Program.</t>
  </si>
  <si>
    <t>Examples: - Hand Surgery Residency Program</t>
  </si>
  <si>
    <t>Surgery of the Hand Residency Program.</t>
  </si>
  <si>
    <t>Examples: - Pediatric Hemato-Oncology Residency Program</t>
  </si>
  <si>
    <t>Sports Medicine Residency Program.</t>
  </si>
  <si>
    <t>Spinal Cord Injury Medicine Residency Program.</t>
  </si>
  <si>
    <t>Sleep Medicine Residency Program.</t>
  </si>
  <si>
    <t>Rheumatology Residency Program.</t>
  </si>
  <si>
    <t>Reproductive Endocrinology/Infertility Residency Program.</t>
  </si>
  <si>
    <t>Radioisotopic Pathology Residency Program.</t>
  </si>
  <si>
    <t>Pulmonary Disease Residency Program.</t>
  </si>
  <si>
    <t>Psychosomatic Medicine Residency Program.</t>
  </si>
  <si>
    <t>Plastic Surgery Within the Head and Neck Residency Program.</t>
  </si>
  <si>
    <t>Physical Medicine and Rehabilitation/Psychiatry Residency Program.</t>
  </si>
  <si>
    <t>Pediatric Urology Residency Program.</t>
  </si>
  <si>
    <t>Pediatric Transplant Hepatology Residency Program.</t>
  </si>
  <si>
    <t>Pediatric Surgery Residency Program.</t>
  </si>
  <si>
    <t>Pediatric Rheumatology Residency Program.</t>
  </si>
  <si>
    <t>Pediatric Rehabilitation Medicine Residency Program.</t>
  </si>
  <si>
    <t>Pediatric Radiology Residency Program.</t>
  </si>
  <si>
    <t>Pediatric Pulmonology Residency Program.</t>
  </si>
  <si>
    <t>Pediatric Pathology Residency Program.</t>
  </si>
  <si>
    <t>Pediatric Otolaryngology Residency Program.</t>
  </si>
  <si>
    <t>Pediatric Orthopedics Residency Program.</t>
  </si>
  <si>
    <t>Pediatric Nephrology Residency Program.</t>
  </si>
  <si>
    <t>Pediatric Infectious Diseases Residency Program.</t>
  </si>
  <si>
    <t>Pediatric Hematology-Oncology Residency Program.</t>
  </si>
  <si>
    <t>Examples: - Orthopaedic Sports Medicine Residency Program</t>
  </si>
  <si>
    <t>Pediatric Gastroenterology Residency Program.</t>
  </si>
  <si>
    <t>Pediatric Endocrinology Residency Program.</t>
  </si>
  <si>
    <t>Pediatric Emergency Medicine Residency Program.</t>
  </si>
  <si>
    <t>Pediatric Dermatology Residency Program.</t>
  </si>
  <si>
    <t>Pediatric Critical Care Medicine Residency Program.</t>
  </si>
  <si>
    <t>Pediatric Cardiology Residency Program.</t>
  </si>
  <si>
    <t>Pain Medicine Residency Program.</t>
  </si>
  <si>
    <t>Orthopedic Surgery of the Spine Residency Program.</t>
  </si>
  <si>
    <t>Orthopedic Sports Medicine Residency Program.</t>
  </si>
  <si>
    <t>Examples: - Endocrinology and Metabolism Residency Program</t>
  </si>
  <si>
    <t>Nuclear Radiology Residency Program.</t>
  </si>
  <si>
    <t>Neurotology Residency Program.</t>
  </si>
  <si>
    <t>Neuroradiology Residency Program.</t>
  </si>
  <si>
    <t>Neuropathology Residency Program.</t>
  </si>
  <si>
    <t>Neuromuscular Medicine Residency Program.</t>
  </si>
  <si>
    <t>Neurodevelopmental Disabilities Residency Program.</t>
  </si>
  <si>
    <t>Nephrology Residency Program.</t>
  </si>
  <si>
    <t>Neonatal-Perinatal Medicine Residency Program.</t>
  </si>
  <si>
    <t>Musculoskeletal Oncology Residency Program.</t>
  </si>
  <si>
    <t>Molecular Genetic Pathology Residency Program.</t>
  </si>
  <si>
    <t>Medical Toxicology Residency Program.</t>
  </si>
  <si>
    <t>Medical Oncology Residency Program.</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</si>
  <si>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</si>
  <si>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Medical Nuclear Physics Residency Program.</t>
  </si>
  <si>
    <t>Medical Microbiology Residency Program.</t>
  </si>
  <si>
    <t>Medical Biochemical Genetics Residency Program.</t>
  </si>
  <si>
    <t>Maternal and Fetal Medicine Residency Program.</t>
  </si>
  <si>
    <t>Laboratory Medicine Residency Program.</t>
  </si>
  <si>
    <t>Interventional Cardiology Residency Program.</t>
  </si>
  <si>
    <t>Infectious Disease Residency Program.</t>
  </si>
  <si>
    <t>Immunopathology Residency Program.</t>
  </si>
  <si>
    <t>Hospice and Palliative Medicine Residency Program.</t>
  </si>
  <si>
    <t>Hematology Residency Program.</t>
  </si>
  <si>
    <t>Hematological Pathology Residency Program.</t>
  </si>
  <si>
    <t>Gynecologic Oncology Residency Program.</t>
  </si>
  <si>
    <t>Geriatric Psychiatry Residency Program.</t>
  </si>
  <si>
    <t>Geriatric Medicine Residency Program.</t>
  </si>
  <si>
    <t>Gastroenterology Residency Program.</t>
  </si>
  <si>
    <t>Forensic Psychiatry Residency Program.</t>
  </si>
  <si>
    <t>Forensic Pathology Residency Program.</t>
  </si>
  <si>
    <t>Endocrinology, Diabetes and Metabolism Residency Program.</t>
  </si>
  <si>
    <t>Examples: - Critical Care Anesthesiology Residency Program</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</si>
  <si>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</si>
  <si>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Diagnostic Radiologic Physics Residency Program.</t>
  </si>
  <si>
    <t>Developmental-Behavioral Pediatrics Residency Program.</t>
  </si>
  <si>
    <t>Dermatopathology Residency Program.</t>
  </si>
  <si>
    <t>Cytopathology Residency Program.</t>
  </si>
  <si>
    <t>Critical Care Medicine Residency Program.</t>
  </si>
  <si>
    <t>Examples: - Child Psychiatry Residency Program</t>
  </si>
  <si>
    <t>Congenital Cardiac Surgery Residency Program.</t>
  </si>
  <si>
    <t>Clinical Neurophysiology Residency Program.</t>
  </si>
  <si>
    <t>Clinical Cardiac Electrophysiology Residency Program.</t>
  </si>
  <si>
    <t>Child and Adolescent Psychiatry Residency Program.</t>
  </si>
  <si>
    <t>Child Abuse Pediatrics Residency Program.</t>
  </si>
  <si>
    <t>Chemical Pathology Residency Program.</t>
  </si>
  <si>
    <t>Cardiovascular Disease Residency Program.</t>
  </si>
  <si>
    <t>Examples: - Blood Banking Residency Program</t>
  </si>
  <si>
    <t>Blood Banking/Transfusion Medicine Residency Program.</t>
  </si>
  <si>
    <t>Examples: - Public Health Medicine Residency Program, - Preventive Medicine Residency Program</t>
  </si>
  <si>
    <t>Adolescent Medicine Residency Program.</t>
  </si>
  <si>
    <t>Addiction Psychiatry Residency Program.</t>
  </si>
  <si>
    <t>Medical Residency Programs - Subspecialty Certificates.</t>
  </si>
  <si>
    <t>Medical Residency Programs - General Certificates, Other.</t>
  </si>
  <si>
    <t>Vascular Surgery Residency Program.</t>
  </si>
  <si>
    <t>Urology Residency Program.</t>
  </si>
  <si>
    <t>Thoracic Surgery Residency Program.</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</si>
  <si>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</si>
  <si>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Radiologic Physics Residency Program.</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</si>
  <si>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</si>
  <si>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Radiation Oncology Residency Program.</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</si>
  <si>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</si>
  <si>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Public Health and General Preventive Medicine Residency Program.</t>
  </si>
  <si>
    <t>Examples: - Physical and Rehabilitation Medicine Residency Program</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</si>
  <si>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</si>
  <si>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Psychiatry Residency Program.</t>
  </si>
  <si>
    <t>Plastic Surgery Residency Program.</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</si>
  <si>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</si>
  <si>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Physical Medicine and Rehabilitation Residency Program.</t>
  </si>
  <si>
    <t>Examples: - Anatomic Pathology Residency Program, - Clinical Pathology Residency Program, - Anatomic Pathology and Clinical Pathology Residency Program</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</si>
  <si>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</si>
  <si>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Pediatrics Residency Program.</t>
  </si>
  <si>
    <t>Pathology Residency Program.</t>
  </si>
  <si>
    <t>Examples: - Orthopedics Residency Program, - Adult Reconstructive Orthopedics Residency Program, - Orthopaedic Surgery Residency Program</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</si>
  <si>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</si>
  <si>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Otolaryngology Residency Program.</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</si>
  <si>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</si>
  <si>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Orthopedic Surgery Residency Program.</t>
  </si>
  <si>
    <t>Examples: - Neurological Surgery/Neurosurgery Residency Program</t>
  </si>
  <si>
    <t>A residency training program that prepares physicians in the diagnosis, prevention treatment of ophthalmic diseases and disorders, and ocular pathology procedures.  Includes instruction in eye surgery. This CIP code is not valid for IPEDS reporting.</t>
  </si>
  <si>
    <t>Ophthalmology Residency Program.</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</si>
  <si>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</si>
  <si>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Occupational Medicine Residency Program.</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</si>
  <si>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</si>
  <si>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Obstetrics and Gynecology Residency Program.</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</si>
  <si>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</si>
  <si>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Nuclear Medicine Residency Program.</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</si>
  <si>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</si>
  <si>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Neurology Residency Program.</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</si>
  <si>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</si>
  <si>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Neurological Surgery Residency Program.</t>
  </si>
  <si>
    <t>Examples: - Surgery Residency Program</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</si>
  <si>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</si>
  <si>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Internal Medicine Residency Program.</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</si>
  <si>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</si>
  <si>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General Surgery Residency Program.</t>
  </si>
  <si>
    <t>Examples: - Neurology with Special Qualifications in Child Neurology Residency Program, - Pediatric Neurology Residency Program</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</si>
  <si>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</si>
  <si>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Family Medicine Residency Program.</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</si>
  <si>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</si>
  <si>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Emergency Medicine Residency Program.</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</si>
  <si>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</si>
  <si>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Diagnostic Radiology Residency Program.</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</si>
  <si>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</si>
  <si>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Dermatology Residency Program.</t>
  </si>
  <si>
    <t>Colon and Rectal Surgery Residency Program.</t>
  </si>
  <si>
    <t>Clinical Molecular Genetics Residency Program.</t>
  </si>
  <si>
    <t>Clinical Genetics Residency Program.</t>
  </si>
  <si>
    <t>Clinical Cytogenetics Residency Program.</t>
  </si>
  <si>
    <t>Clinical Biochemical Genetics Residency Program.</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</si>
  <si>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</si>
  <si>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Child Neurology Residency Program.</t>
  </si>
  <si>
    <t>Examples: - Periodontics Residency Program</t>
  </si>
  <si>
    <t>Anesthesiology Residency Program.</t>
  </si>
  <si>
    <t>Allergy and Immunology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</si>
  <si>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</si>
  <si>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Aerospace Medicine Residency Program.</t>
  </si>
  <si>
    <t>Medical Residency Programs - General Certificates.</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</si>
  <si>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</si>
  <si>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Clinical Pharmacology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</si>
  <si>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</si>
  <si>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Behaviorist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</si>
  <si>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</si>
  <si>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Poultry Veterinarian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</si>
  <si>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</si>
  <si>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Zoological Medicine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</si>
  <si>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</si>
  <si>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Veterinary Toxicology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</si>
  <si>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</si>
  <si>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Theriogenology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</si>
  <si>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</si>
  <si>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Veterinary Surgery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</si>
  <si>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</si>
  <si>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Radiology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</si>
  <si>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</si>
  <si>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Preventive Medicine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</si>
  <si>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</si>
  <si>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Practice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</si>
  <si>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</si>
  <si>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Pathology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</si>
  <si>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</si>
  <si>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Ophthalmology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</si>
  <si>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</si>
  <si>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Nutrition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</si>
  <si>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</si>
  <si>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Microbiology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</si>
  <si>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</si>
  <si>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Laboratory Animal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</si>
  <si>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</si>
  <si>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Veterinary Internal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</si>
  <si>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</si>
  <si>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Emergency and Critical Care Medicine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</si>
  <si>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</si>
  <si>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Dermatology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</si>
  <si>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</si>
  <si>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Dentistry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</si>
  <si>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</si>
  <si>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Anesthesiology Residency Program.</t>
  </si>
  <si>
    <t>Instructional content for this group of programs is defined in codes 60.0301 - 60.0399. These CIP codes are not valid for IPEDS reporting.</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</si>
  <si>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</si>
  <si>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Oral and Maxillofacial Radiology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</si>
  <si>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</si>
  <si>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Prosthodontics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</si>
  <si>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</si>
  <si>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Periodontology Residency Program.</t>
  </si>
  <si>
    <t>Examples: - Pedodontics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</si>
  <si>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</si>
  <si>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Pediatric Dentistry Residency Program.</t>
  </si>
  <si>
    <t>Examples: - Oral Pathology Residency Program</t>
  </si>
  <si>
    <t>A residency training program that prepares dentists in the principles and techniques involved in the prevention and correction of dental malocclusions and oral cavity anomalies. This CIP code is not valid for IPEDS reporting.</t>
  </si>
  <si>
    <t>Orthodontics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</si>
  <si>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</si>
  <si>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Oral and Maxillofacial Pathology Residency Program.</t>
  </si>
  <si>
    <t>Examples: - Dental/Oral Surgery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</si>
  <si>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</si>
  <si>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Endodontics Residency Program.</t>
  </si>
  <si>
    <t>A residency-training program that prepares dentists in the formulation and delivery of public preventive and curative dental health services. This CIP code is not valid for IPEDS reporting.</t>
  </si>
  <si>
    <t>Dental Public Health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</si>
  <si>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</si>
  <si>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Oral and Maxillofacial Surgery Residency Program.</t>
  </si>
  <si>
    <t>Examples: - Air Force History, - Naval History, - Military History (Armies)</t>
  </si>
  <si>
    <t>Instructional content for this group of programs is defined in codes 60.0101 - 60.0199. These CIP codes are not valid for IPEDS reporting.</t>
  </si>
  <si>
    <t>Any instructional program in history not listed above.</t>
  </si>
  <si>
    <t>History, Other.</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</si>
  <si>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</si>
  <si>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Military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</si>
  <si>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</si>
  <si>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Canadian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</si>
  <si>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</si>
  <si>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Asian History.</t>
  </si>
  <si>
    <t>30.1202 - Cultural Resource Management and Policy Analysis., 25.0103 - Archives/Archival Administration.</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</si>
  <si>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</si>
  <si>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Public/Applied History.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</si>
  <si>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</si>
  <si>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History and Philosophy of Science and Technology.</t>
  </si>
  <si>
    <t>Examples: - Industrial Marketing, - Scientific and Medical Marketing</t>
  </si>
  <si>
    <t>30.1301 - Medieval and Renaissance Studies.</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</si>
  <si>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</si>
  <si>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European History.</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</si>
  <si>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</si>
  <si>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American  History (United States).</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</si>
  <si>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</si>
  <si>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History, General.</t>
  </si>
  <si>
    <t>Instructional content for this group of programs is defined in codes 54.0101 - 54.0199.</t>
  </si>
  <si>
    <t>History.</t>
  </si>
  <si>
    <t>Instructional programs that focus on the study and interpretation of past events, institutions, issues, and cultures.</t>
  </si>
  <si>
    <t>HISTORY.</t>
  </si>
  <si>
    <t>Any certificate program at the high school/secondary instructional level not listed above. This CIP code is not valid for IPEDS reporting.</t>
  </si>
  <si>
    <t>High School/Secondary Certificates, Other.</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</si>
  <si>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</si>
  <si>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Certificate of IEP Completion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</si>
  <si>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</si>
  <si>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High School Certificate of Competence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</si>
  <si>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</si>
  <si>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Equivalence Certificate Program.</t>
  </si>
  <si>
    <t>Instructional content for this group of programs is defined in codes 53.0201 - 53.0299. These CIP codes are not valid for IPEDS reporting.</t>
  </si>
  <si>
    <t>High School/Secondary Certificate Programs.</t>
  </si>
  <si>
    <t>Any high school/secondary diploma program not listed above, such as diplomas awarded to special education students for completion of an individualized education plan (IEP). This CIP code is not valid for IPEDS reporting.</t>
  </si>
  <si>
    <t>High School/Secondary Diploma Programs, Other.</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</si>
  <si>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</si>
  <si>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Adult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</si>
  <si>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</si>
  <si>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</si>
  <si>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</si>
  <si>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</si>
  <si>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</si>
  <si>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College/University Preparatory and Advanced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</si>
  <si>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</si>
  <si>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Regular/General High School/Secondary Diploma Program.</t>
  </si>
  <si>
    <t>Instructional content for this group of programs is defined in codes 53.0101 - 53.0199. These CIP codes are not valid for IPEDS reporting.</t>
  </si>
  <si>
    <t>High School/Secondary Diploma Programs.</t>
  </si>
  <si>
    <t>Instructional programs that define the prescribed requirements for high school/secondary school graduation. These CIP codes are not valid for IPEDS reporting.</t>
  </si>
  <si>
    <t>HIGH SCHOOL/SECONDARY DIPLOMAS AND CERTIFICATES.</t>
  </si>
  <si>
    <t>Any instructional program in business, management, marketing and related support services not listed above.</t>
  </si>
  <si>
    <t>Business, Management, Marketing, and Related Support Services, Other.</t>
  </si>
  <si>
    <t>Instructional content is defined in code 52.9999.</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</si>
  <si>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</si>
  <si>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Telecommunications Management.</t>
  </si>
  <si>
    <t>Instructional content is defined in code 52.2101.</t>
  </si>
  <si>
    <t>46.0412 - Building/Construction Site Management/Manager.</t>
  </si>
  <si>
    <t>Construction Management.</t>
  </si>
  <si>
    <t>Any instructional program in sales, marketing, and distribution operations not listed above.</t>
  </si>
  <si>
    <t>Specialized Merchandising, Sales, and Marketing Operations, Other.</t>
  </si>
  <si>
    <t>Examples: - Property Management</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</si>
  <si>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</si>
  <si>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Hospitality and Recreation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</si>
  <si>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</si>
  <si>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Special Products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</si>
  <si>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</si>
  <si>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Business and Personal/Financial Services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</si>
  <si>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</si>
  <si>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Vehicle and Vehicle Parts and Accessories Marketing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</si>
  <si>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</si>
  <si>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Tourism Promotion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</si>
  <si>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</si>
  <si>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and Travel Services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</si>
  <si>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</si>
  <si>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Apparel and Accessories Marketing Operations.</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</si>
  <si>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</si>
  <si>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Fashion Modeling.</t>
  </si>
  <si>
    <t>19.0905 - Apparel and Textile Marketing Management.</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</si>
  <si>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</si>
  <si>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Fashion Merchandising.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</si>
  <si>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</si>
  <si>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Auctioneering.</t>
  </si>
  <si>
    <t>Instructional content for this group of programs is defined in codes 52.1901 - 52.1999.</t>
  </si>
  <si>
    <t>Specialized Sales, Merchandising and  Marketing Operations.</t>
  </si>
  <si>
    <t>Any instructional program in merchandising, sales, and related marketing operations not listed above.</t>
  </si>
  <si>
    <t>General Merchandising, Sales, and Related Marketing Operations, Other.</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</si>
  <si>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</si>
  <si>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Selling Skills and Sales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</si>
  <si>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</si>
  <si>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Retailing and Retail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</si>
  <si>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</si>
  <si>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Merchandising and Buying Operations.</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</si>
  <si>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</si>
  <si>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Sales, Distribution, and Marketing Operations, General.</t>
  </si>
  <si>
    <t>Instructional content for this group of programs is defined in codes 52.1801 - 52.1899.</t>
  </si>
  <si>
    <t>General Sales, Merchandising and Related Marketing Operations.</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</si>
  <si>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</si>
  <si>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Insurance.</t>
  </si>
  <si>
    <t>Instructional content is defined in code 52.1701.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</si>
  <si>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</si>
  <si>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Taxation.</t>
  </si>
  <si>
    <t>Instructional content is defined in code 52.1601.</t>
  </si>
  <si>
    <t>04.1001 - Real Estate Development.</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</si>
  <si>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</si>
  <si>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Real Estate.</t>
  </si>
  <si>
    <t>Examples: - Business Intelligence, - Competitive Intelligence</t>
  </si>
  <si>
    <t>Instructional content is defined in code 52.1501.</t>
  </si>
  <si>
    <t>51.2011 - Pharmaceutical Marketing and Management.</t>
  </si>
  <si>
    <t>Any instructional program in general marketing and marketing research not listed above.</t>
  </si>
  <si>
    <t>Marketing, Other.</t>
  </si>
  <si>
    <t>45.0605 - International Economics.</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</si>
  <si>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</si>
  <si>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International Marketing.</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</si>
  <si>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</si>
  <si>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Marketing Research.</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</si>
  <si>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</si>
  <si>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Marketing/Marketing Management, General.</t>
  </si>
  <si>
    <t>Instructional content for this group of programs is defined in codes 52.1401 - 52.1499.</t>
  </si>
  <si>
    <t>Marketing.</t>
  </si>
  <si>
    <t>Any instructional program in business quantitative methods and management science not listed above.</t>
  </si>
  <si>
    <t>Management Sciences and Quantitative Methods, Other.</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</si>
  <si>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</si>
  <si>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Actuarial Science.</t>
  </si>
  <si>
    <t>27.0501 - Statistics, General.</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</si>
  <si>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</si>
  <si>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Business Statistics.</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</si>
  <si>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</si>
  <si>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Management Science.</t>
  </si>
  <si>
    <t>Examples: - Information Management, - Chief Information Officer Training</t>
  </si>
  <si>
    <t>Instructional content for this group of programs is defined in codes 52.1301 - 52.1399.</t>
  </si>
  <si>
    <t>Management Sciences and Quantitative Methods.</t>
  </si>
  <si>
    <t>Any  program in business information and data processing services not listed above.</t>
  </si>
  <si>
    <t>Management Information Systems and Services, Other.</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</si>
  <si>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</si>
  <si>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Knowledge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</si>
  <si>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</si>
  <si>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Information Resources Management.</t>
  </si>
  <si>
    <t>Examples: - Global Business, - Global Commerce, - Global Management</t>
  </si>
  <si>
    <t>11.0401 - Information Science/Studies.</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</si>
  <si>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</si>
  <si>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Management Information Systems, General.</t>
  </si>
  <si>
    <t>Instructional content for this group of programs is defined in codes 52.1201 - 52.1299.</t>
  </si>
  <si>
    <t>Management Information Systems and Services.</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</si>
  <si>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</si>
  <si>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International Business/Trade/Commerce.</t>
  </si>
  <si>
    <t>Examples: - Casino Management, - Gaming and Casino Management, - Hospitality and Casino Management</t>
  </si>
  <si>
    <t>Instructional content is defined in code 52.1101.</t>
  </si>
  <si>
    <t>International Business.</t>
  </si>
  <si>
    <t>Any instructional program in human resources management not listed above.</t>
  </si>
  <si>
    <t>Human Resources Management and Services, Other.</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</si>
  <si>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</si>
  <si>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Human Resources Development.</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</si>
  <si>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</si>
  <si>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Labor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</si>
  <si>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</si>
  <si>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Organizational Behavior Studies.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</si>
  <si>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</si>
  <si>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Labor and Industrial Relations.</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</si>
  <si>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</si>
  <si>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Human Resources Management/Personnel Administration, General.</t>
  </si>
  <si>
    <t>Instructional content for this group of programs is defined in codes 52.1001 - 52.1099.</t>
  </si>
  <si>
    <t>Human Resources Management and Services.</t>
  </si>
  <si>
    <t>Any instructional program in hospitality service management not listed above.</t>
  </si>
  <si>
    <t>Hospitality Administration/Management, Other.</t>
  </si>
  <si>
    <t>52.0904 - Hotel/Motel Administration/Management., 52.0905 - Restaurant/Food Services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</si>
  <si>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</si>
  <si>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Hotel, Motel, and Restaurant Management.</t>
  </si>
  <si>
    <t>Casino Management.</t>
  </si>
  <si>
    <t>Examples: - Conference Management, - Conference Planning, - Wedding Planning</t>
  </si>
  <si>
    <t>19.0604 - Facilities Planning and Management.</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</si>
  <si>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</si>
  <si>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Meeting and Event Planning.</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</si>
  <si>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</si>
  <si>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Resort Management.</t>
  </si>
  <si>
    <t>Examples: - Mortgage Broker</t>
  </si>
  <si>
    <t>12.0504 - Restaurant, Culinary, and Catering Management/Manager., 19.0505 - Foodservice Systems Administration/Management.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</si>
  <si>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</si>
  <si>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Restaurant/Food Services 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</si>
  <si>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</si>
  <si>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Hotel/Motel Administration/Management.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</si>
  <si>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</si>
  <si>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Tourism and Travel Services Management.</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</si>
  <si>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</si>
  <si>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Hospitality Administration/Management, General.</t>
  </si>
  <si>
    <t>Instructional content for this group of programs is defined in codes 52.0901 - 52.0999.</t>
  </si>
  <si>
    <t>Hospitality Administration/Management.</t>
  </si>
  <si>
    <t>Any instructional program in financial management and services not listed above.</t>
  </si>
  <si>
    <t>Finance and Financial Management Services, Other.</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</si>
  <si>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</si>
  <si>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Credit Management.</t>
  </si>
  <si>
    <t>Examples: - Controllership</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</si>
  <si>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</si>
  <si>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Public Finance.</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</si>
  <si>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</si>
  <si>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Investments and Securities.</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</si>
  <si>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</si>
  <si>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International Finance.</t>
  </si>
  <si>
    <t>19.0401 - Family Resource Management Studies, General.</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</si>
  <si>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</si>
  <si>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Financial Planning and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</si>
  <si>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</si>
  <si>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Banking and Financial Support Services.</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</si>
  <si>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</si>
  <si>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Finance, General.</t>
  </si>
  <si>
    <t>Instructional content for this group of programs is defined in codes 52.0801 - 52.0899.</t>
  </si>
  <si>
    <t>Finance and Financial Management Services.</t>
  </si>
  <si>
    <t>Any instructional program in enterprise management and entrepreneurship not listed above.</t>
  </si>
  <si>
    <t>Entrepreneurial and Small Business Operations, Other.</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</si>
  <si>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</si>
  <si>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Small Business Administration/Management.</t>
  </si>
  <si>
    <t>A program that prepares individuals to manage and operate franchises.  Includes instruction in legal requirements, set-up costs and capitalization requirements, financing, and applications to specific franchise opportunities.</t>
  </si>
  <si>
    <t>Franchising and Franchise Operations.</t>
  </si>
  <si>
    <t>A program that generally prepares individuals to perform development, marketing and management functions associated with owning and operating a business.</t>
  </si>
  <si>
    <t>Entrepreneurship/Entrepreneurial Studies.</t>
  </si>
  <si>
    <t>Instructional content for this group of programs is defined in codes 52.0701 - 52.0799.</t>
  </si>
  <si>
    <t>Entrepreneurial and Small Business Operations.</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</si>
  <si>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</si>
  <si>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Business/Managerial Economics.</t>
  </si>
  <si>
    <t>Instructional content is defined in code 52.0601.</t>
  </si>
  <si>
    <t>Business/Corporate Communications.</t>
  </si>
  <si>
    <t>Any instructional program in administrative and secretarial services not listed above.</t>
  </si>
  <si>
    <t>Business Operations Support and Secretarial Services, Other.</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</si>
  <si>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</si>
  <si>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Customer Service Support/Call Center/Teleservice Operation.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</si>
  <si>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</si>
  <si>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Traffic, Customs, and Transportation Clerk/Technician.</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</si>
  <si>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</si>
  <si>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Parts, Warehousing, and Inventory Management Operations.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</si>
  <si>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</si>
  <si>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General Office Occupations and Clerical Services.</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</si>
  <si>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</si>
  <si>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Business/Office Automation/Technology/Data Entry.</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</si>
  <si>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</si>
  <si>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Receptionist.</t>
  </si>
  <si>
    <t>51.0716 - Medical Administrative/Executive Assistant and Medical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</si>
  <si>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</si>
  <si>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Executive Assistant/Executive Secretary.</t>
  </si>
  <si>
    <t>22.0301 - Legal Administrative Assistant/Secretary., 51.0716 - Medical Administrative/Executive Assistant and Medical Secretary.</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</si>
  <si>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</si>
  <si>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Administrative Assistant and Secretarial Science, General.</t>
  </si>
  <si>
    <t>Instructional content for this group of programs is defined in codes 52.0401 - 52.0499.</t>
  </si>
  <si>
    <t>Business Operations Support and Assistant Services.</t>
  </si>
  <si>
    <t>Any instructional program in accounting not listed above.</t>
  </si>
  <si>
    <t>Accounting and Related Services, Other.</t>
  </si>
  <si>
    <t>52.0201 - Business Administration and Management, General., 52.0301 - Accounting.</t>
  </si>
  <si>
    <t>An integrated or combined program in accounting and business administration/management that prepares individuals to function as accountants and business managers.</t>
  </si>
  <si>
    <t>Accounting and Business/Management.</t>
  </si>
  <si>
    <t>52.0301 - Accounting., 52.0801 - Finance, General.</t>
  </si>
  <si>
    <t>An integrated or combined program in accounting and finance that prepares individuals to function as accountants and financial managers or analysts.</t>
  </si>
  <si>
    <t>Accounting and Finance.</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</si>
  <si>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</si>
  <si>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Auditing.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</si>
  <si>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</si>
  <si>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Accounting Technology/Technician and Bookkeeping.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</si>
  <si>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</si>
  <si>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t>
  </si>
  <si>
    <t>Instructional content for this group of programs is defined in codes 52.0301 - 52.0399.</t>
  </si>
  <si>
    <t>Accounting and Related Services.</t>
  </si>
  <si>
    <t>51.0701 - Health/Health Care Administration/Management., 51.0702 - Hospital and Health Care Facilities Administration/Management.</t>
  </si>
  <si>
    <t>Any instructional program in business and administration not listed above.</t>
  </si>
  <si>
    <t>Business Administration, Management and Operations, Other.</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</si>
  <si>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</si>
  <si>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Organizational Leadership.</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</si>
  <si>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</si>
  <si>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Retail Management.</t>
  </si>
  <si>
    <t>11.1005 - Information Technology 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</si>
  <si>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</si>
  <si>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Project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</si>
  <si>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</si>
  <si>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Research and Development Management.</t>
  </si>
  <si>
    <t>Transportation/Mobility Management.</t>
  </si>
  <si>
    <t>Examples: - Maintenance Management, - Production Management</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</si>
  <si>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</si>
  <si>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E-Commerce/Electronic Commerce.</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</si>
  <si>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</si>
  <si>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Customer Service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</si>
  <si>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</si>
  <si>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Non-Profit/Public/Organizational Management.</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</si>
  <si>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</si>
  <si>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Operations Management and Supervision.</t>
  </si>
  <si>
    <t>Examples: - Logistics Management, - Materials Management, - Acquisition Logistics, - Supply Management</t>
  </si>
  <si>
    <t>51.0705 - Medical Office Management/Administration.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</si>
  <si>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</si>
  <si>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Office Management and Supervision.</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</si>
  <si>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</si>
  <si>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Logistics, Materials, and Supply Chain Management.</t>
  </si>
  <si>
    <t>Examples: - Purchasing Management, - Contracts Management, - Acquisition/Procurement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</si>
  <si>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</si>
  <si>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Purchasing, Procurement/Acquisitions and Contracts Management.</t>
  </si>
  <si>
    <t>Examples: - General Management, - Business Administration</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</si>
  <si>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</si>
  <si>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Business Administration and Management, General.</t>
  </si>
  <si>
    <t>Examples: - Licensed Practical Nurse (LPN), - Licensed Vocational Nurse (LVN), - Licensed Practical/Vocational Nurse Training (Cert.), - Licensed Practical/Vocational Nurse Training (Dipl), - Licensed Practical/Vocational Nurse Training (AAS)</t>
  </si>
  <si>
    <t>Instructional content for this group of programs is defined in codes 52.0201 - 52.0299.</t>
  </si>
  <si>
    <t>Business Administration, Management and Operations.</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</si>
  <si>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</si>
  <si>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Business/Commerce, General.</t>
  </si>
  <si>
    <t>Instructional content is defined in code 52.0101.</t>
  </si>
  <si>
    <t>Instructional programs that prepare individuals to perform managerial, technical support, and applied research functions related to the operation of commercial and non-profit enterprises and the buying and selling of goods and services.</t>
  </si>
  <si>
    <t>BUSINESS, MANAGEMENT, MARKETING, AND RELATED SUPPORT SERVICES.</t>
  </si>
  <si>
    <t>Any instructional program in the health professions and related clinical sciences not listed above.</t>
  </si>
  <si>
    <t>Health Professions and Related Clinical Sciences, Other.</t>
  </si>
  <si>
    <t>Any instructional program in practical nursing, vocational nursing, and nursing assistants not listed above.</t>
  </si>
  <si>
    <t>Practical Nursing, Vocational Nursing and Nursing Assistants, Other.</t>
  </si>
  <si>
    <t>A program that prepares individuals to perform routine nursing-related services to patients in hospitals or long-term care facilities, under the training and supervision of a registered nurse or licensed practical nurse.</t>
  </si>
  <si>
    <t>Nursing Assistant/Aide and Patient Care Assistant/Aide.</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</si>
  <si>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</si>
  <si>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Licensed Practical/Vocational Nurse Training.</t>
  </si>
  <si>
    <t>Examples: - Cardiology Nurse Practitioner, - Nephrology Nurse Practitioner</t>
  </si>
  <si>
    <t>Instructional content for this group of programs is defined in codes 51.3901 - 51.3999.</t>
  </si>
  <si>
    <t>Practical Nursing, Vocational Nursing and Nursing Assistants.</t>
  </si>
  <si>
    <t>Any instructional program in registered nursing, nursing administration, nursing research, and clinical nursing not listed above.</t>
  </si>
  <si>
    <t>Registered Nursing, Nursing Administration, Nursing Research and Clinical Nursing, Other.</t>
  </si>
  <si>
    <t>Examples: - Women's Health Nurse Practitioner</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</si>
  <si>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</si>
  <si>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Women's Health Nurse/Nursing.</t>
  </si>
  <si>
    <t>Examples: - Gerontological Nurse Practitioner</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</si>
  <si>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</si>
  <si>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Geriatric Nurse/Nursing.</t>
  </si>
  <si>
    <t>Examples: - Nursing Practice (DNP)</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</si>
  <si>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</si>
  <si>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Clinical Nurse Leader.</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</si>
  <si>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</si>
  <si>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Palliative Care Nursing.</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</si>
  <si>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</si>
  <si>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Nursing Practice.</t>
  </si>
  <si>
    <t>Examples: - Emergency Nursing, - Emergency Nurse Practitioner, - Trauma Nursing, - Trauma, Critical Care and Emergency Nursing</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</si>
  <si>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</si>
  <si>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Nursing Education.</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</si>
  <si>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</si>
  <si>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Emergency Room/Trauma Nursing.</t>
  </si>
  <si>
    <t>Examples: - Acute Care Nursing, - Acute Care Nurse Practitioner</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</si>
  <si>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</si>
  <si>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Occupational and Environmental Health Nursing.</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</si>
  <si>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</si>
  <si>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Critical Care Nursing.</t>
  </si>
  <si>
    <t>Examples: - Psychiatric Nurse Practitioner</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</si>
  <si>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</si>
  <si>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Clinical Nurse Specialist.</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</si>
  <si>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</si>
  <si>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Perioperative/Operating Room and Surgical Nurse/Nursing.</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</si>
  <si>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</si>
  <si>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Public Health/Community Nurse/Nursing.</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</si>
  <si>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</si>
  <si>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Psychiatric/Mental Health Nurse/Nursing.</t>
  </si>
  <si>
    <t>Examples: - Pediatric Nurse Practitioner</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</si>
  <si>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</si>
  <si>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Pediatric Nurse/Nursing.</t>
  </si>
  <si>
    <t>Examples: - Nursing Science (PhD), - Nursing Science (MS, MSc, MSN, MN)</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</si>
  <si>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</si>
  <si>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Nursing Science.</t>
  </si>
  <si>
    <t>Examples: - Neonatal Nurse Practitioner</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</si>
  <si>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</si>
  <si>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Nurse Midwife/Nursing Midwifery.</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</si>
  <si>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</si>
  <si>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Maternal/Child Health and Neonatal Nurse/Nursing.</t>
  </si>
  <si>
    <t>Examples: - Family Practice Nurse Practitioner, - Family Nurse Practitioner, - Primary Health Care Nurse Practitioner, - Primary Care Nurse Practitioner</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</si>
  <si>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</si>
  <si>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Family Practice Nurse/Nursing.</t>
  </si>
  <si>
    <t>Examples: - Adult Nurse Practitioner</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</si>
  <si>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</si>
  <si>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Nurse Anesthetist.</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</si>
  <si>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</si>
  <si>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Adult Health Nurse/Nursing.</t>
  </si>
  <si>
    <t>Examples: - Nursing Administration (PhD), - Nursing Administration (MSN, MScN, MS, MSc, MN)</t>
  </si>
  <si>
    <t>Nursing Administration.</t>
  </si>
  <si>
    <t>Examples: - Nursing (ASN), - Nursing (BSN, BScN), - Nursing (MSN, MScN, MN), - Registered Nurse (RN)</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</si>
  <si>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</si>
  <si>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Registered Nursing/Registered Nurse.</t>
  </si>
  <si>
    <t>Examples: - Direct Entry Midwifery, - Licensed Midwife (LM), - Certified Professional Midwife (CPM)</t>
  </si>
  <si>
    <t>Instructional content for this group of programs is defined in codes 51.3801 - 51.3899.</t>
  </si>
  <si>
    <t>Registered Nursing, Nursing Administration, Nursing Research and Clinical Nursing.</t>
  </si>
  <si>
    <t>Any instructional program in alternative, complementary, and somatic health and therapeutic services not listed above (bioenergetics, cranio-sacral therapy, Therapeutic Touch, Qi Gong, and others).</t>
  </si>
  <si>
    <t>Energy and Biologically Based Therapies, Other.</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</si>
  <si>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</si>
  <si>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Reiki.</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</si>
  <si>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</si>
  <si>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Polarity Therapy.</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</si>
  <si>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</si>
  <si>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Herbalism/Herbalist.</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</si>
  <si>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</si>
  <si>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Aromatherapy.</t>
  </si>
  <si>
    <t>Instructional content for this group of programs is defined in codes 51.3701 - 51.3799.</t>
  </si>
  <si>
    <t>Energy and Biologically Based Therapies.</t>
  </si>
  <si>
    <t>Any instructional program in movement and mind-body therapies not listed above.</t>
  </si>
  <si>
    <t>Movement and Mind-Body Therapies and Education, Other.</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</si>
  <si>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</si>
  <si>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Hypnotherapy/Hypnotherapist.</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</si>
  <si>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</si>
  <si>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Yoga Teacher Training/Yoga Therapy.</t>
  </si>
  <si>
    <t>51.2302 - Dance Therapy/Therapist.</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</si>
  <si>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</si>
  <si>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Movement Therapy and Movement Education.</t>
  </si>
  <si>
    <t>Instructional content for this group of programs is defined in codes 51.3601 - 51.3699.</t>
  </si>
  <si>
    <t>Movement and Mind-Body Therapies and Education.</t>
  </si>
  <si>
    <t>Any instructional program in somatic bodywork and related therapeutic services not listed above.</t>
  </si>
  <si>
    <t>Somatic Bodywork and Related Therapeutic Services, Other.</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</si>
  <si>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</si>
  <si>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</si>
  <si>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</si>
  <si>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Asian Bodywork Therapy.</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</si>
  <si>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</si>
  <si>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Massage Therapy/Therapeutic Massage.</t>
  </si>
  <si>
    <t>Instructional content for this group of programs is defined in codes 51.3501 - 51.3599.</t>
  </si>
  <si>
    <t>Somatic Bodywork and Related Therapeutic Services.</t>
  </si>
  <si>
    <t>Any instructional program in alternative and complementary medical support services not listed above.</t>
  </si>
  <si>
    <t>Alternative and Complementary Medical Support Services, Other.</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</si>
  <si>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</si>
  <si>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Direct Entry Midwifery.</t>
  </si>
  <si>
    <t>Examples: - Naturopathic Medicine/Naturopathy (ND)</t>
  </si>
  <si>
    <t>Instructional content for this group of programs is defined in codes 51.3401 - 51.3499.</t>
  </si>
  <si>
    <t>Alternative and Complementary Medical Support Services.</t>
  </si>
  <si>
    <t>Any instructional program in alternative and complementary medicine and medical systems not listed above.</t>
  </si>
  <si>
    <t>Alternative and Complementary Medicine and Medical Systems, Other.</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</si>
  <si>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</si>
  <si>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Ayurvedic Medicine/Ayurveda.</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</si>
  <si>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</si>
  <si>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Homeopathic Medicine/Homeopathy.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</si>
  <si>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</si>
  <si>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Naturopathic Medicine/Naturopathy.</t>
  </si>
  <si>
    <t>Examples: - Acupuncture, - Acupuncture and Oriental Medicine, - Oriental Medicine</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</si>
  <si>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</si>
  <si>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Traditional Chinese Medicine and Chinese Herbology.</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</si>
  <si>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</si>
  <si>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Acupuncture and Oriental Medicine.</t>
  </si>
  <si>
    <t>Examples: - Dietetic Technician (DTR), - Registered Dietetic Technician (DTR)</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</si>
  <si>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</si>
  <si>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Alternative and Complementary Medicine and Medical Systems, General.</t>
  </si>
  <si>
    <t>Instructional content for this group of programs is defined in codes 51.3300 - 51.3399.</t>
  </si>
  <si>
    <t>Alternative and Complementary Medicine and Medical Systems.</t>
  </si>
  <si>
    <t>38.0104 - Applied and Professional Ethics.</t>
  </si>
  <si>
    <t>Bioethics/Medical Ethics.</t>
  </si>
  <si>
    <t>Any instructional program in dietetics and clinical nutrition services not listed above.</t>
  </si>
  <si>
    <t>Dietetics and Clinical Nutrition Services, Other.</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</si>
  <si>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</si>
  <si>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Dietitian Assistant.</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</si>
  <si>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</si>
  <si>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Dietetic Technician.</t>
  </si>
  <si>
    <t>Examples: - Dietetics/Dietitian (RD), - Registered Dietitian (RD)</t>
  </si>
  <si>
    <t>19.0504 - Human Nutrition., 30.1901 - Nutrition Sciences.</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</si>
  <si>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</si>
  <si>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Clinical Nutrition/Nutritionist.</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</si>
  <si>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</si>
  <si>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Dietetics/Dietitian.</t>
  </si>
  <si>
    <t>Instructional content for this group of programs is defined in codes 51.3101 - 51.3199.</t>
  </si>
  <si>
    <t>Dietetics and Clinical Nutrition Services.</t>
  </si>
  <si>
    <t>Any instructional program in medical illustration and informatics not listed above.</t>
  </si>
  <si>
    <t>Medical Illustration and Informatics, Other.</t>
  </si>
  <si>
    <t>26.1103 - Bioinformatics., 11.0104 -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</si>
  <si>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</si>
  <si>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Medical Informatics.</t>
  </si>
  <si>
    <t>Examples: - Veterinary Biomedical and Clinical Sciences, Other (Cert.), - Veterinary Biomedical and Clinical Sciences, Other (MS), - Veterinary Biomedical and Clinical Sciences, Other (PhD)</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</si>
  <si>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</si>
  <si>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Illustration/Medical Illustrator.</t>
  </si>
  <si>
    <t>Instructional content for this group of programs is defined in codes 51.2703 - 51.2799.</t>
  </si>
  <si>
    <t>Medical Illustration and Informatics.</t>
  </si>
  <si>
    <t>Any other instructional program that prepares individuals to provide routine patient care and assistance.</t>
  </si>
  <si>
    <t>Health Aides/Attendants/Orderlies, Other.</t>
  </si>
  <si>
    <t>Rehabilitation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</si>
  <si>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</si>
  <si>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Medication Aide.</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</si>
  <si>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</si>
  <si>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Home Health Aide/Home Attendant.</t>
  </si>
  <si>
    <t>A program that prepares individuals to provide routine care and assistance to patients under the direct supervision of other health care professionals, and/or to perform routine maintenance and general assistance in health care facilities and laboratories.</t>
  </si>
  <si>
    <t>Health Aide.</t>
  </si>
  <si>
    <t>Instructional content for this group of programs is defined in codes 51.2601 - 51.2699.</t>
  </si>
  <si>
    <t>Health Aides/Attendants/Orderlies.</t>
  </si>
  <si>
    <t>Any instructional program in veterinary biomedical and clinical sciences not listed above.</t>
  </si>
  <si>
    <t>Veterinary Biomedical and Clinical Sciences, Other.</t>
  </si>
  <si>
    <t>Examples: - Veterinary Infectious Diseases (Cert.), - Veterinary Infectious Diseases (MS), - Veterinary Infectious Diseases (PhD)</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</si>
  <si>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</si>
  <si>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Veterinary Infectious Diseases.</t>
  </si>
  <si>
    <t>Examples: - Veterinary Preventive Medicine, Epidemiology, and Public Health (Cert.), - Veterinary Preventive Medicine, Epidemiology, and Public Health (MS), - Veterinary Preventive Medicine, Epidemiology, and Public Health (PhD)</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</si>
  <si>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</si>
  <si>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Veterinary Preventive Medicine, Epidemiology, and Public Health.</t>
  </si>
  <si>
    <t>Examples: - Comparative and Laboratory Animal Medicine (Cert.), - Comparative and Laboratory Animal Medicine (MS), - Comparative and Laboratory Animal Medicine (PhD)</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</si>
  <si>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</si>
  <si>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Comparative and Laboratory Animal Medicine.</t>
  </si>
  <si>
    <t>Examples: - Small/Companion Animal Surgery and Medicine (Cert.), - Small/Companion Animal Surgery and Medicine (MS), - Small/Companion Animal Surgery and Medicine (PhD)</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</si>
  <si>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</si>
  <si>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Small/Companion Animal Surgery and Medicine.</t>
  </si>
  <si>
    <t>Examples: - Large Animal/Food Animal and Equine Surgery and Medicine (Cert.), - Large Animal/Food Animal and Equine Surgery and Medicine (MS), - Large Animal/Food Animal and Equine Surgery and Medicine (PhD)</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</si>
  <si>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</si>
  <si>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Large Animal/Food Animal and Equine Surgery and Medicine.</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</si>
  <si>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</si>
  <si>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Veterinary Toxicology and Pharmacology.</t>
  </si>
  <si>
    <t>Examples: - Veterinary Pathology and Pathobiology (Cert.), - Veterinary Pathology and Pathobiology (MS), - Veterinary Pathology and Pathobiology (PhD)</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</si>
  <si>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</si>
  <si>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Veterinary Pathology and Pathobiology.</t>
  </si>
  <si>
    <t>Examples: - Veterinary Microbiology and Immunobiology (Cert.), - Veterinary Microbiology and Immunobiology (MS), - Veterinary Microbiology and Immunobiology (PhD)</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</si>
  <si>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</si>
  <si>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Veterinary Microbiology and Immunobiology.</t>
  </si>
  <si>
    <t>Examples: - Veterinary Physiology (Cert.), - Veterinary Physiology (MS), - Veterinary Physiology (PhD)</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</si>
  <si>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</si>
  <si>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Veterinary Physiology.</t>
  </si>
  <si>
    <t>Examples: - Veterinary Anatomy (Cert.), - Veterinary Anatomy (MS), - Veterinary Anatomy (PhD)</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</si>
  <si>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</si>
  <si>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Veterinary Anatomy.</t>
  </si>
  <si>
    <t>Examples: - Veterinary Sciences/Veterinary Clinical Sciences, General (Cert.), - Veterinary Sciences/Veterinary Clinical Sciences, General (MS), - Veterinary Sciences/Veterinary Clinical Sciences, General (PhD)</t>
  </si>
  <si>
    <t>An integrated program of study in one or more of the veterinary medical or clinical sciences or a program undifferentiated as to title.</t>
  </si>
  <si>
    <t>Veterinary Sciences/Veterinary Clinical Sciences, General.</t>
  </si>
  <si>
    <t>Examples: - Veterinary Medicine (DVM)</t>
  </si>
  <si>
    <t>Veterinary Biomedical and Clinical Sciences.</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</si>
  <si>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</si>
  <si>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Veterinary Medicine.</t>
  </si>
  <si>
    <t>Examples: - Equine-Assisted Therapy</t>
  </si>
  <si>
    <t>Any instructional program in rehabilitation and therapeutic professions not listed above.</t>
  </si>
  <si>
    <t>Rehabilitation and Therapeutic Professions, Other.</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</si>
  <si>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</si>
  <si>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Rehabilitation Science.</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</si>
  <si>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</si>
  <si>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Animal-Assisted Therapy.</t>
  </si>
  <si>
    <t>Examples: - Rehabilitation Counseling, - Rehabilitation Services</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</si>
  <si>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</si>
  <si>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Assistive/Augmentative Technology and Rehabilitation Engineering.</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</si>
  <si>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</si>
  <si>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Kinesiotherapy/Kinesiotherapist.</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</si>
  <si>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</si>
  <si>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Vocational Rehabilitation Counseling/Counselor.</t>
  </si>
  <si>
    <t>Examples: - Behavioral Health, - Biobehavioral Health, - Health and Social Behavior, - Health Behavior</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</si>
  <si>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</si>
  <si>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Therapeutic Recreation/Recreational Therapy.</t>
  </si>
  <si>
    <t>Physical Therapy/Therapist.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</si>
  <si>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</si>
  <si>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Orthotist/Prosthetist.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</si>
  <si>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</si>
  <si>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Occupational Therapy/Therapist.</t>
  </si>
  <si>
    <t>Music Therapy/Therapist.</t>
  </si>
  <si>
    <t>51.3601 - Movement Therapy and Movement Education.</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</si>
  <si>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</si>
  <si>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Dance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</si>
  <si>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</si>
  <si>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Art Therapy/Therapist.</t>
  </si>
  <si>
    <t>Rehabilitation and Therapeutic Professions.</t>
  </si>
  <si>
    <t>51.0504 - Dental Public Health and Education., 26.1309 - Epidemiology., 44.0503 - Health Policy Analysis.</t>
  </si>
  <si>
    <t>Any instructional program in public health not listed above.</t>
  </si>
  <si>
    <t>Public Health, Other.</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</si>
  <si>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</si>
  <si>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Behavioral Aspects of Health.</t>
  </si>
  <si>
    <t>Examples: - Global Health</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</si>
  <si>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</si>
  <si>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Health Services Administration.</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</si>
  <si>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</si>
  <si>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International Public Health/International Health.</t>
  </si>
  <si>
    <t>Examples: - Industrial Hygiene</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</si>
  <si>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</si>
  <si>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Maternal and Child Health.</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</si>
  <si>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</si>
  <si>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Community Health and Preventive Medicine.</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</si>
  <si>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</si>
  <si>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Public Health Education and Promotion.</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</si>
  <si>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</si>
  <si>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Occupational Health and Industrial Hygiene.</t>
  </si>
  <si>
    <t>Examples: - Biomedical Physics</t>
  </si>
  <si>
    <t>26.0203 - Biophysics.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</si>
  <si>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</si>
  <si>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Health/Medical  Physics.</t>
  </si>
  <si>
    <t>Examples: - Public Health, General (MPH), - Public Health, General (DPH)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</si>
  <si>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</si>
  <si>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Environmental Health.</t>
  </si>
  <si>
    <t>26.1309 - Epidemiology., 44.0503 - Health Policy Analysis.</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</si>
  <si>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</si>
  <si>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Public Health, General.</t>
  </si>
  <si>
    <t>Examples: - Podiatric Medicine/Podiatry (DPM)</t>
  </si>
  <si>
    <t>Instructional content for this group of programs is defined in codes 51.2201 - 51.2299.</t>
  </si>
  <si>
    <t>Public Health.</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</si>
  <si>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</si>
  <si>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Podiatric Medicine/Podiatry.</t>
  </si>
  <si>
    <t>Examples: - Pharmaceutical Marketing</t>
  </si>
  <si>
    <t>Any instructional program in pharmacy, pharmaceutical sciences, and administration not listed above.</t>
  </si>
  <si>
    <t>Pharmacy, Pharmaceutical Sciences, and Administration, Other.</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</si>
  <si>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</si>
  <si>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Pharmaceutical Marketing and Management.</t>
  </si>
  <si>
    <t>Examples: - Industrial and Physical Pharmacy and Cosmetic Sciences (MS), - Industrial and Physical Pharmacy and Cosmetic Sciences (PhD)</t>
  </si>
  <si>
    <t>26.1001 - Pharmacology.</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</si>
  <si>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</si>
  <si>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</si>
  <si>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</si>
  <si>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Industrial and Physical Pharmacy and Cosmetic Sciences.</t>
  </si>
  <si>
    <t>Examples: - Clinical, Hospital, and Managed Care Pharmacy (MS), - Clinical, Hospital, and Managed Care Pharmacy (PhD)</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</si>
  <si>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</si>
  <si>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Clinical, Hospital, and Managed Care Pharmacy.</t>
  </si>
  <si>
    <t>Examples: - Pharmacoeconomics/Pharmaceutical Economics (MS), - Pharmacoeconomics/Pharmaceutical Economics (PhD)</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</si>
  <si>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</si>
  <si>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Pharmacoeconomics/Pharmaceutical Economics.</t>
  </si>
  <si>
    <t>Examples: - Clinical and Industrial Drug Development (MS), - Clinical and Industrial Drug Development (PhD)</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</si>
  <si>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</si>
  <si>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Clinical and Industrial Drug Development.</t>
  </si>
  <si>
    <t>Examples: - Natural Products Chemistry and Pharmacognosy (MS), - Natural Products Chemistry and Pharmacognosy (PhD)</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</si>
  <si>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</si>
  <si>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Natural Products Chemistry and Pharmacognosy.</t>
  </si>
  <si>
    <t>Examples: - Medicinal and Pharmaceutical Chemistry (MS), - Medicinal and Pharmaceutical Chemistry (PhD)</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</si>
  <si>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</si>
  <si>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Medicinal and Pharmaceutical Chemistry.</t>
  </si>
  <si>
    <t>Examples: - Pharmaceutics and Drug Design (MS), - Pharmaceutics and Drug Design (PhD)</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</si>
  <si>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</si>
  <si>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Pharmaceutics and Drug Design.</t>
  </si>
  <si>
    <t>Examples: - Pharmacy Administration, - Drug Regulatory Affairs, - Drug Regulatory and Quality Compliance, - Pharmacy Quality Assurance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</si>
  <si>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</si>
  <si>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Pharmacy Administration and Pharmacy Policy and Regulatory Affairs.</t>
  </si>
  <si>
    <t>Examples: - Pharmacy (BS, BPharm - Canada), - Pharmacy (PharmD - USA and Canada)</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</si>
  <si>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</si>
  <si>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Pharmacy.</t>
  </si>
  <si>
    <t>Instructional content for this group of programs is defined in codes 51.2001 - 51.2099.</t>
  </si>
  <si>
    <t>Pharmacy, Pharmaceutical Sciences, and Administration.</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</si>
  <si>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</si>
  <si>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Osteopathic Medicine/Osteopathy.</t>
  </si>
  <si>
    <t>Examples: - Optometry (OD)</t>
  </si>
  <si>
    <t>Any instructional program in ophthalmic and optometric support services and allied professions not listed above.</t>
  </si>
  <si>
    <t>Ophthalmic and Optometric Support Services and Allied Professions, Other.</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</si>
  <si>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</si>
  <si>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Orthoptics/Orthoptist.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</si>
  <si>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</si>
  <si>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Ophthalmic Technician/Technologist.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</si>
  <si>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</si>
  <si>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Optometric Technician/Assistant.</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</si>
  <si>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</si>
  <si>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Opticianry/Ophthalmic Dispensing Optician.</t>
  </si>
  <si>
    <t>Instructional content for this group of programs is defined in codes 51.1801 - 51.1899.</t>
  </si>
  <si>
    <t>Ophthalmic and Optometric Support Services and Allied Professions.</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</si>
  <si>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</si>
  <si>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Optometry.</t>
  </si>
  <si>
    <t>Examples: - Community Health Education</t>
  </si>
  <si>
    <t>Instructional content is defined in code 51.1701.</t>
  </si>
  <si>
    <t>Any instructional program in mental and social health services and allied professions not listed above.</t>
  </si>
  <si>
    <t>Mental and Social Health Services and Allied Professions, Other.</t>
  </si>
  <si>
    <t>51.0914 - Gene/Genetic Therapy., 26.0806 - Human/Medical Genetics.</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</si>
  <si>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</si>
  <si>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Genetic Counseling/Counselor.</t>
  </si>
  <si>
    <t>42.2803 - Counseling Psychology.</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</si>
  <si>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</si>
  <si>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Mental Health Counseling/Counselor.</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</si>
  <si>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</si>
  <si>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Psychoanalysis and Psychotherapy.</t>
  </si>
  <si>
    <t>39.0701 - Pastoral Studies/Counseling.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</si>
  <si>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</si>
  <si>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Clinical Pastoral Counseling/Patient Counseling.</t>
  </si>
  <si>
    <t>42.2811 - Family Psychology., 19.0704 - Family Systems.</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</si>
  <si>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</si>
  <si>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Marriage and Family Therapy/Counseling.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</si>
  <si>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</si>
  <si>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Community Health Services/Liaison/Counseling.</t>
  </si>
  <si>
    <t>Examples: - Medical Scientist (MS), - Medical Scientist (PhD)</t>
  </si>
  <si>
    <t>44.0701 -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</si>
  <si>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</si>
  <si>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Clinical/Medical Social Work.</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</si>
  <si>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</si>
  <si>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Psychiatric/Mental Health Services Technician.</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</si>
  <si>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</si>
  <si>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Substance Abuse/Addiction Counseling.</t>
  </si>
  <si>
    <t>Instructional content for this group of programs is defined in codes 51.1501 - 51.1599.</t>
  </si>
  <si>
    <t>Mental and Social Health Services and Allied Professions.</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</si>
  <si>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</si>
  <si>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Medical Clinical Sciences/Graduate Medical Studies.</t>
  </si>
  <si>
    <t>Medicine.</t>
  </si>
  <si>
    <t>Examples: - Pharmaceutical Technician</t>
  </si>
  <si>
    <t>Any instructional program in health and medical professional preparation not listed above.</t>
  </si>
  <si>
    <t>Health/Medical Preparatory Programs, Other.</t>
  </si>
  <si>
    <t>A program that prepares individuals for admission to a professional program in physical therapy.</t>
  </si>
  <si>
    <t>Pre-Physical Therapy Studies.</t>
  </si>
  <si>
    <t>A program that prepares individuals for admission to a professional program in optometry.</t>
  </si>
  <si>
    <t>Pre-Optometry Studies.</t>
  </si>
  <si>
    <t>A program that prepares individuals for admission to a professional program in occupational therapy.</t>
  </si>
  <si>
    <t>Pre-Occupational Therapy Studies.</t>
  </si>
  <si>
    <t>A program that prepares individuals for admission to a professional program in chiropractic medicine.</t>
  </si>
  <si>
    <t>Pre-Chiropractic Studies.</t>
  </si>
  <si>
    <t>A program that prepares individuals for admission to a professional program in Nursing.</t>
  </si>
  <si>
    <t>Pre-Nursing Studies.</t>
  </si>
  <si>
    <t>A program that prepares individuals for admission to a professional program in veterinary medicine.</t>
  </si>
  <si>
    <t>Pre-Veterinary Studies.</t>
  </si>
  <si>
    <t>A program that prepares individuals for admission to a professional program in pharmacy.</t>
  </si>
  <si>
    <t>Pre-Pharmacy Studies.</t>
  </si>
  <si>
    <t>A program that prepares individuals for admission to a professional program in medicine, osteopathic medicine, or podiatric medicine.</t>
  </si>
  <si>
    <t>Pre-Medicine/Pre-Medical Studies.</t>
  </si>
  <si>
    <t>A program that prepares individuals for admission to a professional program in dentistry.</t>
  </si>
  <si>
    <t>Pre-Dentistry Studies.</t>
  </si>
  <si>
    <t>Instructional content for this group of programs is defined in codes 51.1101 - 51.1199.</t>
  </si>
  <si>
    <t>Health/Medical Preparatory Programs.</t>
  </si>
  <si>
    <t>Any instructional program in clinical/medical laboratory science and allied professions not listed above.</t>
  </si>
  <si>
    <t>Clinical/Medical Laboratory Science and Allied Professions, Other.</t>
  </si>
  <si>
    <t>Examples: - Mammography, - Breast Imaging and Mammography</t>
  </si>
  <si>
    <t>51.0909 - Surgical Technology/Technologist.</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</si>
  <si>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</si>
  <si>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Sterile Processing Technology/Technician.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</si>
  <si>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</si>
  <si>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Renal/Dialysis Technologist/Technician.</t>
  </si>
  <si>
    <t>26.0806 - Human/Medical Genetics.</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</si>
  <si>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</si>
  <si>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Cytogenetics/Genetics/Clinical Genetics Technology/Technologist.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</si>
  <si>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</si>
  <si>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Phlebotomy Technician/Phlebotomist.</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</si>
  <si>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</si>
  <si>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Histologic Technician.</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</si>
  <si>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</si>
  <si>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Technology/Histotechnologist.</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</si>
  <si>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</si>
  <si>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Ophthalmic Laboratory Technology/Technician.</t>
  </si>
  <si>
    <t>51.0719 - Clinical Research Coordinator.</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</si>
  <si>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</si>
  <si>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Clinical Laboratory Science/Medical Technology/Technologist.</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</si>
  <si>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</si>
  <si>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Clinical/Medical Laboratory 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</si>
  <si>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</si>
  <si>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Hematology Technology/Technician.</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</si>
  <si>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</si>
  <si>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Cytotechnology/Cytotechnologist.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</si>
  <si>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</si>
  <si>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Blood Bank Technology Specialist.</t>
  </si>
  <si>
    <t>Instructional content for this group of programs is defined in codes 51.1001 - 51.1099.</t>
  </si>
  <si>
    <t>Clinical/Medical Laboratory Science/Research and Allied Professions.</t>
  </si>
  <si>
    <t>Any instructional program in allied health diagnostic, intervention, and treatment professions not listed above.</t>
  </si>
  <si>
    <t>Allied Health Diagnostic, Intervention, and Treatment Professions, Other.</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</si>
  <si>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</si>
  <si>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Magnetic Resonance Imaging (MRI) Technology/Technician.</t>
  </si>
  <si>
    <t>A program that prepares registered radiographers to become registered mammographers. Includes instruction in anatomy and physiology, mammography instrumentation, mammography positioning, principles and procedures of mammography, and quality assurance.</t>
  </si>
  <si>
    <t>Examples: - Hearing Aid Technician</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</si>
  <si>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</si>
  <si>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Hearing Instrument Specialist.</t>
  </si>
  <si>
    <t>Examples: - Polysomnography, - Polysomnography/Sleep Technology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</si>
  <si>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</si>
  <si>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Polysomnography.</t>
  </si>
  <si>
    <t>Examples: - Vascular Sonography</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</si>
  <si>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</si>
  <si>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Radiation Protection/Health Physics Technician.</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</si>
  <si>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</si>
  <si>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Cardiopulmonary Technology/Technologist.</t>
  </si>
  <si>
    <t>51.1509 - Genetic Counseling/Counselor., 26.0806 - Human/Medical Genetics.</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</si>
  <si>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</si>
  <si>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Gene/Genetic Therapy.</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</si>
  <si>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</si>
  <si>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Athletic Training/Trainer.</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</si>
  <si>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</si>
  <si>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</si>
  <si>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Radiologic Technology/Science - Radiographer.</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</si>
  <si>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</si>
  <si>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Diagnostic Medical Sonography/Sonographer and Ultrasound Technician.</t>
  </si>
  <si>
    <t>Examples: - Lactation Education, - Lactation Counselor, - Lactation Management</t>
  </si>
  <si>
    <t>51.1012 - Sterile Processing Technology/Technician.</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</si>
  <si>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</si>
  <si>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Surgical Technology/Technologist.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</si>
  <si>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</si>
  <si>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Respiratory Care Therapy/Therapist.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</si>
  <si>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</si>
  <si>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Medical Radiologic Technology/Science - Radiation Therapist.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</si>
  <si>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</si>
  <si>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Perfusion Technology/Perfusionist.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</si>
  <si>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</si>
  <si>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Nuclear Medical Technology/Technologist.</t>
  </si>
  <si>
    <t>51.0810 - Emergency Care Attendant (EMT Ambulance).</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</si>
  <si>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</si>
  <si>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Emergency Medical Technology/Technician (EMT Paramedic).</t>
  </si>
  <si>
    <t>Electroneurodiagnostic/Electroencephalographic Technology/Technologist.</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</si>
  <si>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</si>
  <si>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Electrocardiograph Technology/Technician.</t>
  </si>
  <si>
    <t>Cardiovascular Technology/Technologist.</t>
  </si>
  <si>
    <t>Instructional content for this group of programs is defined in codes 51.0901 - 51.0999.</t>
  </si>
  <si>
    <t>Allied Health Diagnostic, Intervention, and Treatment Professions.</t>
  </si>
  <si>
    <t>Any instructional program in allied health and medical assisting services not listed above.</t>
  </si>
  <si>
    <t>Allied Health and Medical Assisting Services, Other.</t>
  </si>
  <si>
    <t>13.1012 - Education/Teaching of Individuals with Speech or Language Impairments., 51.0203 - Speech-Language Pathology/Pathologist., 51.0204 - Audiology/Audiologist and Speech-Language Pathology/Pathologist.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</si>
  <si>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</si>
  <si>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Speech-Language Pathology Assistant.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</si>
  <si>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</si>
  <si>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Lactation Consultant.</t>
  </si>
  <si>
    <t>Examples: - Clinical Research Trial Coordination, - Clinical Trials Research, - Clinical Trials Management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</si>
  <si>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</si>
  <si>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Radiologist Assistant.</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</si>
  <si>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</si>
  <si>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</si>
  <si>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Respiratory Therapy Technician/Assistant.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</si>
  <si>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</si>
  <si>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Pathology/Pathologist Assistant.</t>
  </si>
  <si>
    <t>51.0904 - Emergency Medical Technology/Technician (EMT Paramedic).</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</si>
  <si>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</si>
  <si>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Emergency Care Attendant (EMT Ambulance).</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</si>
  <si>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</si>
  <si>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Anesthesiologist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</si>
  <si>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</si>
  <si>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Veterinary/Animal Health Technology/Technician and Veterinary 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</si>
  <si>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</si>
  <si>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Pharmacy Technician/Assistant.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</si>
  <si>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</si>
  <si>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Occupational Therapist Assistant.</t>
  </si>
  <si>
    <t>51.1004 - Clinical/Medical Laboratory Technician.</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</si>
  <si>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</si>
  <si>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Clinical/Medical Laboratory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</si>
  <si>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</si>
  <si>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Medical/Clinical Assistant.</t>
  </si>
  <si>
    <t>Instructional content for this group of programs is defined in codes 51.0801 - 51.0899.</t>
  </si>
  <si>
    <t>Allied Health and Medical Assisting Services.</t>
  </si>
  <si>
    <t>Any instructional program in health and medical administrative services not listed above.</t>
  </si>
  <si>
    <t>Health and Medical Administrative Services, Other.</t>
  </si>
  <si>
    <t>51.1005 - Clinical Laboratory Science/Medical Technology/Technologist.</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</si>
  <si>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</si>
  <si>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Clinical Research Coordinator.</t>
  </si>
  <si>
    <t>Examples: - Aging Services 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</si>
  <si>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</si>
  <si>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Long Term Care Administration/Management.</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</si>
  <si>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</si>
  <si>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Medical Staff Services Technology/Technician.</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</si>
  <si>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</si>
  <si>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Medical Administrative/Executive Assistant and Medical Secretary.</t>
  </si>
  <si>
    <t>Examples: - Veterinary Receptionist</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</si>
  <si>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</si>
  <si>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Health/Medical Claims Examiner.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</si>
  <si>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</si>
  <si>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Medical Insurance Specialist/Medical Biller.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</si>
  <si>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</si>
  <si>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Coding Specialist/Coder.</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</si>
  <si>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</si>
  <si>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Medical Reception/Receptionist.</t>
  </si>
  <si>
    <t>Examples: - Prosthodontics/Prosthodontology (Cert.), - Prosthodontics/Prosthodontology (MS), - Prosthodontics/Prosthodontology (PhD)</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</si>
  <si>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</si>
  <si>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Medical/Health Management and Clinical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</si>
  <si>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</si>
  <si>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 Office Assistant/Specialist.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</si>
  <si>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</si>
  <si>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Computer Specialist/Assistant.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</si>
  <si>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</si>
  <si>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Medical Transcription/Transcriptionist.</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</si>
  <si>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</si>
  <si>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Health Information/Medical Records Technology/Technician.</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</si>
  <si>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</si>
  <si>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Administration/Administrator.</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</si>
  <si>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</si>
  <si>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Medical Office Management/Administration.</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</si>
  <si>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</si>
  <si>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Health Unit Manager/Ward Supervisor.</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</si>
  <si>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</si>
  <si>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Coordinator/Ward Clerk.</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</si>
  <si>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</si>
  <si>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Hospital and Health Care Facilities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</si>
  <si>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</si>
  <si>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Health/Health Care Administration/Management.</t>
  </si>
  <si>
    <t>Instructional content for this group of programs is defined in codes 51.0701 - 51.0799.</t>
  </si>
  <si>
    <t>Health and Medical Administrative Services.</t>
  </si>
  <si>
    <t>Any instructional program in dental services and allied professions not listed above.</t>
  </si>
  <si>
    <t>Dental Services and Allied Professions, Other.</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</si>
  <si>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</si>
  <si>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Laboratory Technology/Technician.</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</si>
  <si>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</si>
  <si>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Hygiene/Hygienist.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</si>
  <si>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</si>
  <si>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Assisting/Assistant.</t>
  </si>
  <si>
    <t>Instructional content for this group of programs is defined in codes 51.0601 - 51.0699.</t>
  </si>
  <si>
    <t>Dental Support Services and Allied Professions.</t>
  </si>
  <si>
    <t>Any instructional program in advanced/graduate dentistry and oral sciences not listed above.</t>
  </si>
  <si>
    <t>Advanced/Graduate Dentistry and Oral Sciences, Other.</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</si>
  <si>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tempromandibular joint dysfunction.</t>
  </si>
  <si>
    <t>Prosthodontics/Prosthodontology.</t>
  </si>
  <si>
    <t>Examples: - Periodontics/Periodontology (Cert.), - Periodontics/Periodontology (MS), - Periodontics/Periodontology (PhD)</t>
  </si>
  <si>
    <t>A program that focuses on the advanced study of the etiology and treatment of diseases of the gingivae (gum tissue) and supporting bone, nerve, and vascular structures.  Includes instruction in periodontium pathology, diagnostic procedures and equipment, occulsion, nutritional aspects of periodontology, surgical treatments, and patient care and management.</t>
  </si>
  <si>
    <t>Periodontics/Periodontology.</t>
  </si>
  <si>
    <t>Examples: - Pediatric Dentistry/Pedodontics (Cert.), - Pediatric Dentistry/Pedodontics (MS), - Pediatric Dentistry/Pedodontics (PhD)</t>
  </si>
  <si>
    <t>Pediatric Dentistry/Pedodontics.</t>
  </si>
  <si>
    <t>Examples: - Orthodontics/Orthodontology (Cert.), - Orthodontics/Orthodontology (MS), - Orthodontics/Orthodontology (PhD), - Orthodontics and Dentofacial Orthopedics</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</si>
  <si>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</si>
  <si>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Orthodontics/Orthodontology.</t>
  </si>
  <si>
    <t>Examples: - Oral/Maxillofacial Surgery (Cert.), - Oral/Maxillofacial Surgery (MS), - Oral/Maxillofacial Surgery (PhD)</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</si>
  <si>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</si>
  <si>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Oral/Maxillofacial Surgery.</t>
  </si>
  <si>
    <t>Examples: - Endodontics/Endodontology (Cert.), - Endodontics/Endodontology (MS), - Endodontics/Endodontology (PhD)</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</si>
  <si>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</si>
  <si>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Endodontics/Endodontology.</t>
  </si>
  <si>
    <t>Examples: - Dental Materials (MS), - Dental Materials (PhD)</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</si>
  <si>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</si>
  <si>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Dental Materials.</t>
  </si>
  <si>
    <t>Examples: - Dental Public Health and Education (Cert.), - Dental Public Health and Education (MS, MPH), - Dental Public Health and Education (PhD, DPH)</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</si>
  <si>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</si>
  <si>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Dental Public Health and Education.</t>
  </si>
  <si>
    <t>Examples: - Oral Biology and Oral and Maxillofacial Pathology (MS), - Oral Biology and Oral and Maxillofacial Pathology (PhD), - Oral and Craniofacial Biology, - Craniofacial Biology, - Oral Biology and Oral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</si>
  <si>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</si>
  <si>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Oral Biology and Oral and Maxillofacial Pathology.</t>
  </si>
  <si>
    <t>Examples: - Advanced General Dentistry (Cert.), - Advanced General Dentistry (MS), - Advanced General Dentistry (PhD)</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</si>
  <si>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</si>
  <si>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Advanced General Dentistry.</t>
  </si>
  <si>
    <t>Examples: - Dental Clinical Sciences, General (MS), - Dental Clinical Sciences, General (PhD)</t>
  </si>
  <si>
    <t>An integrated or undifferentiated program that generally prepares dentists in one or more of the oral sciences and advanced/graduate dentistry specialties.</t>
  </si>
  <si>
    <t>Dental Clinical Sciences, General.</t>
  </si>
  <si>
    <t>Examples: - Dentistry (DDS, DMD)</t>
  </si>
  <si>
    <t>Instructional content for this group of programs is defined in codes 51.0501 - 51.0599.</t>
  </si>
  <si>
    <t>Advanced/Graduate Dentistry and Oral Sciences.</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</si>
  <si>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</si>
  <si>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Dentistry.</t>
  </si>
  <si>
    <t>Examples: - Child Speech-Language Disorders, - Pre-Speech Language Pathology and Audiology</t>
  </si>
  <si>
    <t>Instructional content is defined in code 51.0401.</t>
  </si>
  <si>
    <t>Any  instructional program in communications disorders sciences and services not listed above.</t>
  </si>
  <si>
    <t>Communication Disorders Sciences and Services, Other.</t>
  </si>
  <si>
    <t>Examples: - Audiology and Speech Pathology, - Audiology and Speech-Language Pathology</t>
  </si>
  <si>
    <t>51.0816 - Speech-Language Pathology Assistant.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</si>
  <si>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</si>
  <si>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Audiology/Audiologist and Speech-Language Pathology/Pathologist.</t>
  </si>
  <si>
    <t>Examples: - Speech Pathology, - Speech-Language Pathology</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</si>
  <si>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</si>
  <si>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Speech-Language Pathology/Pathologist.</t>
  </si>
  <si>
    <t>Examples: - Audiology and Hearing Sciences</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</si>
  <si>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</si>
  <si>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Audiology/Audiologist.</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</si>
  <si>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</si>
  <si>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Communication Sciences and Disorders, General.</t>
  </si>
  <si>
    <t>Examples: - Chiropractic (DC)</t>
  </si>
  <si>
    <t>Instructional content for this group of programs is defined in codes 51.0201 - 51.0299.</t>
  </si>
  <si>
    <t>Communication Disorders Sciences and Services.</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</si>
  <si>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</si>
  <si>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Chiropractic.</t>
  </si>
  <si>
    <t>Instructional content is defined in code 51.0101.</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</si>
  <si>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</si>
  <si>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Health and Wellness, General.</t>
  </si>
  <si>
    <t>Examples: - Music Merchandising</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</si>
  <si>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</si>
  <si>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Services/Allied Health/Health Sciences, General.</t>
  </si>
  <si>
    <t>Instructional content for this group of programs is defined in codes 51.0000 - 51.0001.</t>
  </si>
  <si>
    <t>Instructional programs that prepare individuals to practice as licensed professionals and assistants in the health care professions and related clinical sciences and administrative and support services.</t>
  </si>
  <si>
    <t>HEALTH PROFESSIONS AND RELATED PROGRAMS.</t>
  </si>
  <si>
    <t>Any instructional program in visual and performing arts not listed above.</t>
  </si>
  <si>
    <t>Visual and Performing Arts, Other.</t>
  </si>
  <si>
    <t>Instructional content is defined in code 50.9999.</t>
  </si>
  <si>
    <t>Any instructional program in arts, entertainment, and media management not listed above.</t>
  </si>
  <si>
    <t>Arts, Entertainment, and Media Management, Other.</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</si>
  <si>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</si>
  <si>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Theatre/Theatre Arts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</si>
  <si>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</si>
  <si>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Music Management.</t>
  </si>
  <si>
    <t>Examples: - Visual Arts Management</t>
  </si>
  <si>
    <t>30.1401 - Museology/Museum Studies.</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</si>
  <si>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</si>
  <si>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Fine and Studio Arts Management.</t>
  </si>
  <si>
    <t>Examples: - Entertainment Business, - Performing Arts Administration</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</si>
  <si>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</si>
  <si>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Examples: - Bass Drum, - Snare Drum, - Timpani, - Vibraphone</t>
  </si>
  <si>
    <t>Instructional content for this group of programs is defined in codes 50.1001 - 50.1099.</t>
  </si>
  <si>
    <t>Any instructional program in music not listed above.</t>
  </si>
  <si>
    <t>Music, Other.</t>
  </si>
  <si>
    <t>A program that prepares individuals to master percussion instruments and performing art for a variety of musical settings, including orchestral, solo, chamber, commercial, or nontraditional. Includes instruction in playing and personal style development.</t>
  </si>
  <si>
    <t>Percussion Instruments.</t>
  </si>
  <si>
    <t>Examples: - Flute, - Oboe, - Clarinet, - Bassoon, - Saxophone</t>
  </si>
  <si>
    <t>A program that prepares individuals to master a woodwind instrument and performing art as solo, ensemble, and/or accompanist  performers. Includes instruction in playing and personal style development.</t>
  </si>
  <si>
    <t>Woodwind Instruments.</t>
  </si>
  <si>
    <t>Examples: - Trumpet, - Horn, - Trombone, - Euphonium/Baritone, - Tuba</t>
  </si>
  <si>
    <t>A program that prepares individuals to master a brass instrument and performing art as solo, ensemble, and/or accompanist performers. Includes instruction in playing and personal style development.</t>
  </si>
  <si>
    <t>Brass Instruments.</t>
  </si>
  <si>
    <t>Examples: - Violin, - Viola, - Double Bass, - Guitar, - Banjo, - Harp</t>
  </si>
  <si>
    <t>10.0203 - Recording Arts Technology/Technician.</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</si>
  <si>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</si>
  <si>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Music Technology.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</si>
  <si>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</si>
  <si>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Pedagogy.</t>
  </si>
  <si>
    <t>A program that prepares individual to master a stringed instrument and performing arts as solo, ensemble and/or accompanist performers.  Includes instruction in playing and personal style development.</t>
  </si>
  <si>
    <t>Stringed Instruments.</t>
  </si>
  <si>
    <t>Examples: - Piano, - Organ, - Harpsichord</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</si>
  <si>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</si>
  <si>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Jazz/Jazz Studies.</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</si>
  <si>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</si>
  <si>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Voice and Opera.</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</si>
  <si>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</si>
  <si>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Keyboard Instruments.</t>
  </si>
  <si>
    <t>Examples: - Glass Making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</si>
  <si>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</si>
  <si>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Conducting.</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</si>
  <si>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</si>
  <si>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Musicology and Ethnomusicology.</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</si>
  <si>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</si>
  <si>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 Theory and Composition.</t>
  </si>
  <si>
    <t>A program that generally prepares individuals to master musical instruments and performing art as solo and/or ensemble performers.  Includes instruction on one or more specific instruments from various instrumental groupings.</t>
  </si>
  <si>
    <t>Music Performance, General.</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</si>
  <si>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</si>
  <si>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History, Literature, and Theory.</t>
  </si>
  <si>
    <t>A general program that focuses on the introductory study and appreciation of music and the performing arts.  Includes instruction in music, dance, and other performing arts media.</t>
  </si>
  <si>
    <t>Music, General.</t>
  </si>
  <si>
    <t>Instructional content for this group of programs is defined in codes 50.0901 - 50.0999.</t>
  </si>
  <si>
    <t>Music.</t>
  </si>
  <si>
    <t>Any instructional program in fine arts and art studies not listed above.</t>
  </si>
  <si>
    <t>Fine Arts and Art Studies, Other.</t>
  </si>
  <si>
    <t>Examples: - Painting (Fine Art)</t>
  </si>
  <si>
    <t>19.0902 - Apparel and Textile Manufacture.</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</si>
  <si>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</si>
  <si>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Fiber, Textile and Weaving Arts.</t>
  </si>
  <si>
    <t>14.0601 - Ceramic Sciences and Engineering.</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</si>
  <si>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</si>
  <si>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Ceramic Arts and Ceramics.</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</si>
  <si>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</si>
  <si>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Printmaking.</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</si>
  <si>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</si>
  <si>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Sculpture.</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</si>
  <si>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</si>
  <si>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Painting.</t>
  </si>
  <si>
    <t>Examples: - Cinema Production</t>
  </si>
  <si>
    <t>A program that prepares individuals creatively and technically to express emotions, ideas, or inner visions in either two or three dimensions, through simultaneous use of a variety of materials and media.</t>
  </si>
  <si>
    <t>Intermedia/Multimedia.</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</si>
  <si>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</si>
  <si>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Drawing.</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</si>
  <si>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</si>
  <si>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Art History, Criticism and Conservation.</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</si>
  <si>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</si>
  <si>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Fine/Studio Arts, General.</t>
  </si>
  <si>
    <t>A general program that focuses on the introductory study and appreciation of the visual arts.  Includes instruction in art, photography, and other visual communications media.</t>
  </si>
  <si>
    <t>Art/Art Studies, General.</t>
  </si>
  <si>
    <t>Instructional content for this group of programs is defined in codes 50.0701 - 50.0799.</t>
  </si>
  <si>
    <t>Fine and Studio Arts.</t>
  </si>
  <si>
    <t>Any instructional program in film/video and photographic arts not listed above.</t>
  </si>
  <si>
    <t>Film/Video and Photographic Arts, Other.</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</si>
  <si>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</si>
  <si>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Documentary Production.</t>
  </si>
  <si>
    <t>09.0404 - Photojournalism.</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</si>
  <si>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</si>
  <si>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Photography.</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</si>
  <si>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</si>
  <si>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Cinematography and Film/Video Production.</t>
  </si>
  <si>
    <t>Examples: - Dramatic Writing, - Writing for Screen and Television</t>
  </si>
  <si>
    <t>Instructional content for this group of programs is defined in codes 50.0601 - 50.0699.</t>
  </si>
  <si>
    <t>Film/Video and Photographic Arts.</t>
  </si>
  <si>
    <t>Any instructional program in dramatic/theatre arts and stagecraft not listed above.</t>
  </si>
  <si>
    <t>Dramatic/Theatre Arts and Stagecraft, Other.</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</si>
  <si>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</si>
  <si>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Costume Design.</t>
  </si>
  <si>
    <t>A program that focuses on the principles and techniques for integrating theatre, music, and dance into a unified production. Includes instruction in acting, dance, voice, technical theater, musical genres, piano, and history of musical theater.</t>
  </si>
  <si>
    <t>Musical Theatre.</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</si>
  <si>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</si>
  <si>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Directing and Theatrical Production.</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</si>
  <si>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</si>
  <si>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Acting.</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</si>
  <si>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</si>
  <si>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Theatre Literature, History and Criticism.</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</si>
  <si>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</si>
  <si>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Playwriting and Screenwriting.</t>
  </si>
  <si>
    <t>Examples: - Scene Painting</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</si>
  <si>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</si>
  <si>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Technical Theatre/Theatre Design and Technology.</t>
  </si>
  <si>
    <t>Examples: - Game Design, - Game Development</t>
  </si>
  <si>
    <t>A program that focuses on the general study of dramatic works and their performance.  Includes instruction in major works of dramatic literature, dramatic styles and types, and the principles of organizing and producing full live or filmed productions.</t>
  </si>
  <si>
    <t>Drama and Dramatics/Theatre Arts, General.</t>
  </si>
  <si>
    <t>Instructional content for this group of programs is defined in codes 50.0501 - 50.0599.</t>
  </si>
  <si>
    <t>Drama/Theatre Arts and Stagecraft.</t>
  </si>
  <si>
    <t>Any instructional program in design and applied arts not listed above.</t>
  </si>
  <si>
    <t>Design and Applied Arts, Other.</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</si>
  <si>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</si>
  <si>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Game and Interactive Media Design.</t>
  </si>
  <si>
    <t>Examples: - Sign Painting, - Commercial Art Painting</t>
  </si>
  <si>
    <t>51.2703 - Medical Illustration/Medical Illustrator.</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</si>
  <si>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</si>
  <si>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Illustration.</t>
  </si>
  <si>
    <t>10.0301 - Graphic Communications, General.</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</si>
  <si>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</si>
  <si>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Graphic Design.</t>
  </si>
  <si>
    <t>04.0501 - Interior Architecture., 19.0601 - Housing and Human Environments, General.</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</si>
  <si>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</si>
  <si>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Interior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</si>
  <si>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</si>
  <si>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Fashion/Apparel Design.</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</si>
  <si>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</si>
  <si>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Commercial Photography.</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</si>
  <si>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</si>
  <si>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Industrial and Product Design.</t>
  </si>
  <si>
    <t>09.0903 - Advertising.</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</si>
  <si>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</si>
  <si>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Commercial and Advertising Art.</t>
  </si>
  <si>
    <t>Examples: - Dance Movement Studies</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</si>
  <si>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</si>
  <si>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Design and Visual Communications, General.</t>
  </si>
  <si>
    <t>Instructional content for this group of programs is defined in codes 50.0401 - 50.0499.</t>
  </si>
  <si>
    <t>Design and Applied Arts.</t>
  </si>
  <si>
    <t>Any instructional program in dance not listed above.</t>
  </si>
  <si>
    <t>Dance, Other.</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</si>
  <si>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</si>
  <si>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Ballet.</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</si>
  <si>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</si>
  <si>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Dance, General.</t>
  </si>
  <si>
    <t>Examples: - Digital Art</t>
  </si>
  <si>
    <t>Instructional content for this group of programs is defined in codes 50.0301 - 50.0399.</t>
  </si>
  <si>
    <t>Dance.</t>
  </si>
  <si>
    <t>A program that focuses on the aesthetics, techniques, and creative processes for designing and fashioning objects in one or more of the handcraft or folk art traditions, and that prepares individuals to create in any of these media.</t>
  </si>
  <si>
    <t>Crafts/Craft Design, Folk Art and Artisanry.</t>
  </si>
  <si>
    <t>Instructional content is defined in code 50.0201.</t>
  </si>
  <si>
    <t>09.0702 - Digital Communication and Media/Multimedia.</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</si>
  <si>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</si>
  <si>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Digital Arts.</t>
  </si>
  <si>
    <t>Examples: - Railway Operations, - Railroad Conductor, - Locomotive Engineer, - Brakeman/Brakewoman, - Railway Dispatcher, - Yardmaster, - Railroad Maintenance of Way Welding</t>
  </si>
  <si>
    <t>A general, undifferentiated program that focuses on the visual and performing arts and that may prepare individuals in any of the visual artistic media or performing disciplines.</t>
  </si>
  <si>
    <t>Visual and Performing Arts, General.</t>
  </si>
  <si>
    <t>Instructional content for this group of programs is defined in codes 50.0101 - 50.0102.</t>
  </si>
  <si>
    <t>Instructional programs that focus on the creation and interpretation of works and performances that use auditory, kinesthetic, and visual phenomena to express ideas and emotions in various forms, subject to aesthetic criteria.</t>
  </si>
  <si>
    <t>VISUAL AND PERFORMING ARTS.</t>
  </si>
  <si>
    <t>Any instructional program in transportation and materials moving not listed above.</t>
  </si>
  <si>
    <t>Transportation and Materials Moving, Other.</t>
  </si>
  <si>
    <t>Instructional content is defined in code 49.9999.</t>
  </si>
  <si>
    <t>Any instructional program in water transportation not listed above.</t>
  </si>
  <si>
    <t>Marine Transportation, Other.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</si>
  <si>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</si>
  <si>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Science/Merchant Marine Officer.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</si>
  <si>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</si>
  <si>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Diver, Professional and Instructor.</t>
  </si>
  <si>
    <t>03.0301 - Fishing and Fisheries Sciences and Management.</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</si>
  <si>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</si>
  <si>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Commercial Fishing.</t>
  </si>
  <si>
    <t>Instructional content for this group of programs is defined in codes 49.0303 - 49.0399.</t>
  </si>
  <si>
    <t>Marine Transportation.</t>
  </si>
  <si>
    <t>Any instructional program in vehicle and equipment operation not listed above.</t>
  </si>
  <si>
    <t>Ground Transportation, Other.</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</si>
  <si>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</si>
  <si>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Railroad and Railway Transportation.</t>
  </si>
  <si>
    <t>Examples: - Crane and Hoist Operator, - Crane and Hoisting Equipment Operator, - Crane Operator, - Mobile Crane Operator</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</si>
  <si>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</si>
  <si>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Flagging and Traffic Control.</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</si>
  <si>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</si>
  <si>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Examples: - Diamond Cutting, - Diamond Polishing, - Diamond Cutting and Polishing</t>
  </si>
  <si>
    <t>A program that prepares individuals to apply technical knowledge and skills to drive trucks and buses, delivery vehicles, for-hire vehicles and other commercial vehicles, or to instruct commerical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</si>
  <si>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Truck and Bus Driver/Commercial Vehicle Operator and Instructor.</t>
  </si>
  <si>
    <t>01.0204 - Agricultural Power Machinery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</si>
  <si>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backfiling, clearing and excavating.</t>
  </si>
  <si>
    <t>Construction/Heavy Equipment/Earthmoving Equipment Operation.</t>
  </si>
  <si>
    <t>Instructional content for this group of programs is defined in codes 49.0202 - 49.0299.</t>
  </si>
  <si>
    <t>Ground Transportation.</t>
  </si>
  <si>
    <t>Any instructional program in aviation and air transportation services not listed above.</t>
  </si>
  <si>
    <t>Air Transportation, Other.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</si>
  <si>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</si>
  <si>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Flight Instructor.</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</si>
  <si>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</si>
  <si>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Airline Flight Attendant.</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</si>
  <si>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</si>
  <si>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 Traffic Controller.</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</si>
  <si>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</si>
  <si>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Aviation/Airway Management and Operations.</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</si>
  <si>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</si>
  <si>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Airline/Commercial/Professional Pilot and Flight Crew.</t>
  </si>
  <si>
    <t>A program that focuses on the general study of aviation and the aviation industry, including in-flight and ground support operations.  Includes instruction in the technical, business, and general aspects of air transportation systems.</t>
  </si>
  <si>
    <t>Aeronautics/Aviation/Aerospace Science and Technology, General.</t>
  </si>
  <si>
    <t>Instructional content for this group of programs is defined in codes 49.0101 - 49.0199.</t>
  </si>
  <si>
    <t>Air Transportation.</t>
  </si>
  <si>
    <t>Instructional programs that prepare individuals to apply technical knowledge and skills to perform tasks and services that facilitate the movement of people or materials.</t>
  </si>
  <si>
    <t>TRANSPORTATION AND MATERIALS MOVING.</t>
  </si>
  <si>
    <t>Any instructional program in precision production not listed above.</t>
  </si>
  <si>
    <t>Precision Production, Other.</t>
  </si>
  <si>
    <t>Examples: - Construction Boilermaker</t>
  </si>
  <si>
    <t>Instructional content is defined in code 48.9999.</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</si>
  <si>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</si>
  <si>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Boilermaking/Boilermaker.</t>
  </si>
  <si>
    <t>Examples: - Cabinetmaker, - Joiner</t>
  </si>
  <si>
    <t>Instructional content is defined in code 48.0801.</t>
  </si>
  <si>
    <t>Any instructional program in woodworking not listed above.</t>
  </si>
  <si>
    <t>Woodworking, Other.</t>
  </si>
  <si>
    <t>A program that prepares individuals to apply technical knowledge and skills to set up, operate and repair industrial woodworking machinery, and to use such machinery to design and fabricate wooden components and complete articles.</t>
  </si>
  <si>
    <t>Cabinetmaking and Millwork.</t>
  </si>
  <si>
    <t>Examples: - Metal Fabricator, - Steel Fabricator, - Steel Fabricator (Fitter), - Structural Steel and Plate Fitter</t>
  </si>
  <si>
    <t>A program that prepares individuals to apply technical knowledge and skills to prepare and execute furniture design projects, assemble and finish furniture articles or subassemblies, repair furniture, and use a variety of hand and power tools.</t>
  </si>
  <si>
    <t>Furniture Design and Manufacturing.</t>
  </si>
  <si>
    <t>46.0201 - Carpentry/Carpenter.</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</si>
  <si>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</si>
  <si>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Woodworking, General.</t>
  </si>
  <si>
    <t>Instructional content for this group of programs is defined in codes 48.0701 - 48.0799.</t>
  </si>
  <si>
    <t>Woodworking.</t>
  </si>
  <si>
    <t>Any instructional program in precision metal work not listed above.</t>
  </si>
  <si>
    <t>Precision Metal Working, Other.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</si>
  <si>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</si>
  <si>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Metal Fabricator.</t>
  </si>
  <si>
    <t>Examples: - Ironworker (Generalist), - Ironworker (Reinforcing), - Ironworker (Structural/Ornamental), - Ironworker Reinforcing Rebar, - Ironworker Rodworker</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</si>
  <si>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</si>
  <si>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Computer Numerically Controlled (CNC) Machinist Technology/CNC Machinist.</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</si>
  <si>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</si>
  <si>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Ironworking/Ironworker.</t>
  </si>
  <si>
    <t>Examples: - Arc Welding, - Flux-Core Arc Welding, - Gas Metal Arc Welding, - Gas Tungsten Arc Welding, - Shielded Metal Arc Welding, - Structural Steel Welding, - Tungsten Inert Gas (TIG) Welding, - Pipe Welding, - Wire Welding, - Industrial Welder, - Welder, - Metal Inert Gas (MIG) Welding</t>
  </si>
  <si>
    <t>15.0614 - Welding Engineering Technology/Technician.</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</si>
  <si>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</si>
  <si>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Welding Technology/Welder.</t>
  </si>
  <si>
    <t>Examples: - Tool and Die Maker</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</si>
  <si>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</si>
  <si>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Tool and Die Technology/Technician.</t>
  </si>
  <si>
    <t>Examples: - Sheet Metal Worker</t>
  </si>
  <si>
    <t>A program that prepares individuals to apply technical knowledge and skills to form, shape, bend and fold extruded metals, including the creation of new products, using hand tools and machines such as cornice brakes, forming rolls, and squaring shears.</t>
  </si>
  <si>
    <t>Sheet Metal Technology/Sheetworking.</t>
  </si>
  <si>
    <t>Examples: - General Machinist, - Machinist</t>
  </si>
  <si>
    <t>A program that prepares individuals to apply technical knowledge and skills to fabricate and modify metal parts in support of other manufacturing, repair or design activities, or as an independent business.</t>
  </si>
  <si>
    <t>Machine Shop Technology/Assistant.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</si>
  <si>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</si>
  <si>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Machine Tool Technology/Machinist.</t>
  </si>
  <si>
    <t>Examples: - Recreation Vehicle (RV) Mechanic, - Recreation Vehicle (RV) Service Technician, - Recreation Vehicle (RV) Technician</t>
  </si>
  <si>
    <t>Instructional content for this group of programs is defined in codes 48.0501 - 48.0599.</t>
  </si>
  <si>
    <t>Precision Metal Working.</t>
  </si>
  <si>
    <t>Any instructional program in leatherworking and upholstering not listed above.</t>
  </si>
  <si>
    <t>Leatherworking and Upholstery, Other.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</si>
  <si>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</si>
  <si>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Shoe, Boot and Leather Repair.</t>
  </si>
  <si>
    <t>A program that prepares individuals to apply technical knowledge and skills to install springs, filling, padding, covering and finishing on items such as furniture, automobile seats, caskets, mattresses, and bedsprings.</t>
  </si>
  <si>
    <t>Upholstery/Upholsterer.</t>
  </si>
  <si>
    <t>Instructional content for this group of programs is defined in codes 48.0303 - 48.0399.</t>
  </si>
  <si>
    <t>Leatherworking and Upholstery.</t>
  </si>
  <si>
    <t>A program that generally prepares individuals to apply technical knowledge and skills in creating products using precision crafting and technical illustration.</t>
  </si>
  <si>
    <t>Precision Production Trades, General.</t>
  </si>
  <si>
    <t>Instructional content is defined in code 48.0000.</t>
  </si>
  <si>
    <t>Instructional programs that prepare individuals to apply technical knowledge and skills to create products using techniques of precision craftsmanship or technical illustration.</t>
  </si>
  <si>
    <t>PRECISION PRODUCTION.</t>
  </si>
  <si>
    <t>Mechanic and Repair Technologies/Technicians, Other.</t>
  </si>
  <si>
    <t>Instructional content is defined in code 47.9999.</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</si>
  <si>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</si>
  <si>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Recreation Vehicle (RV) Service Technician.</t>
  </si>
  <si>
    <t>Examples: - High Performance Powertrain Technician/Mechanic, - Automotive High Performance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</si>
  <si>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</si>
  <si>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High Performance and Custom Engine Technician/Mechanic.</t>
  </si>
  <si>
    <t>Examples: - Commercial Trailer Mechanic, - Transport Trailer Technician, - Truck and Coach Technician, - Truck and Transport Mechanic, - Truck-Trailer Service Technician, - Commercial Transport Vehicle Mechanic</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</si>
  <si>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</si>
  <si>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Marine Maintenance/Fitter and Ship Repair Technology/Technician.</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</si>
  <si>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</si>
  <si>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Engine Machinist.</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</si>
  <si>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</si>
  <si>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Alternative Fuel Vehicle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</si>
  <si>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</si>
  <si>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Medium/Heavy Vehicle and Truck Technology/Technician.</t>
  </si>
  <si>
    <t>Examples: - Motorcycle Mechanic</t>
  </si>
  <si>
    <t>A program that prepares individuals to apply technical knowledge and skills to test, repair, service, and maintain vehicle emission systems in accordance with relevant laws and regulations.</t>
  </si>
  <si>
    <t>Vehicle Emissions Inspection and Maintenance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</si>
  <si>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</si>
  <si>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Motorcycle Maintenance and Repair Technology/Technician.</t>
  </si>
  <si>
    <t>Examples: - Automotive Service Technician, - Motor Vehicle Mechanic</t>
  </si>
  <si>
    <t>A program that prepares individuals to apply technical knowledge and skills to repair, service, and maintain bicycles and other human-powered vehicles.  Includes instruction in lubrication, adjustments of moving parts, and wheel building.</t>
  </si>
  <si>
    <t>Bicycle Mechanics and Repair Technology/Technician.</t>
  </si>
  <si>
    <t>15.0801 - Aeronautical/Aerospace Engineering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</si>
  <si>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</si>
  <si>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Avionics Maintenance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</si>
  <si>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</si>
  <si>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Aircraft Powerplant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</si>
  <si>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</si>
  <si>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Airframe Mechanics and Aircraft Maintenance Technology/Technician.</t>
  </si>
  <si>
    <t>A program that prepares individuals to apply technical knowledge and skills to repair, service, and maintain small internal-combustion engines used on portable power equipment such as lawnmowers, chain saws, rotary tillers, and snowmobiles.</t>
  </si>
  <si>
    <t>Small Engine Mechanics and Repair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</si>
  <si>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</si>
  <si>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Diesel Mechanics Technology/Technician.</t>
  </si>
  <si>
    <t>15.0803 - Automotive Engineering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</si>
  <si>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</si>
  <si>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Automobile/Automotive Mechanics Technology/Technician.</t>
  </si>
  <si>
    <t>Examples: - Auto Body Refinisher, - Auto Body Technician, - Automotive Collision Repair Technician, - Automotive Painter, - Automotive Refinishing Technician, - Motor Vehicle Body Painter, - Motor Vehicle Body Refinisher, - Motor Vehicle Body Refinisher Sub-Trade, - Painting (autobody)</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</si>
  <si>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</si>
  <si>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Autobody/Collision and Repair Technology/Technician.</t>
  </si>
  <si>
    <t>Examples: - Sports Equipment Fabrication and Repair Technician</t>
  </si>
  <si>
    <t>A program that generally prepares individuals to apply technical knowledge and skills in the adjustment, maintenance, part replacement, and repair of vehicles and mobile equipment.</t>
  </si>
  <si>
    <t>Instructional content for this group of programs is defined in codes 47.0600 - 47.0699.</t>
  </si>
  <si>
    <t>Examples: - Automotive Partsperson, - Parts Technician, - Partsperson</t>
  </si>
  <si>
    <t>A program that prepares individuals to apply technical knowledge and skills to maintain inventory control, care for inventory, and make minor repairs to warehouse equipment.</t>
  </si>
  <si>
    <t>Parts and Warehousing Operations and Maintenance Technology/Technician.</t>
  </si>
  <si>
    <t>Examples: - Industrial Plant Technician, - Industrial Equipment Technology, - Industrial Mechanic, - Millwright</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</si>
  <si>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</si>
  <si>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Watchmaking and Jewelrymaking.</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</si>
  <si>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</si>
  <si>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Musical Instrument Fabrication and Repair.</t>
  </si>
  <si>
    <t>A program that prepares individuals to apply technical knowledge and skills to make, repair, maintain, modify, and open locks; to make keys; to enter and change lock and safe combinations; and install and repair safes.</t>
  </si>
  <si>
    <t>Locksmithing and Safe Repair.</t>
  </si>
  <si>
    <t>A program that prepares individuals to apply technical knowledge and skills to make, repair, maintain, and modify firearms according to blueprints or customer specifications, using specialized hand tools and machines.</t>
  </si>
  <si>
    <t>Gunsmithing/Gunsmith.</t>
  </si>
  <si>
    <t>Instructional content for this group of programs is defined in codes 47.0402 - 47.0499.</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</si>
  <si>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</si>
  <si>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Examples: - Heavy Duty Equipment Mechanic, - Heavy Duty Equipment Technician, - Heavy Duty Equipment Technician (Off Road), - Heavy Equipment Service 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</si>
  <si>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</si>
  <si>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Heavy Equipment Maintenance Technology/Technician.</t>
  </si>
  <si>
    <t>Examples: - Heating and Air Conditioning Maintenance Technology/Technician (HAC), - Heating, Air Conditioning, and Refrigeration Maintenance Technology/Technician (HACR), - Heating, Ventilation, and Air Conditioning Maintenance Technology/Technician (HVAC), - Heating, Air Conditioning, Ventilation, and Refrigeration Maintenance Technology/Technician (HVACR), - Oil Burner Mechanic, - Refrigeration Mechanic, - Refrigeration and Air Conditioning Mechanic, - Refrigeration and Air Conditioning Systems Mechanic</t>
  </si>
  <si>
    <t>Instructional content for this group of programs is defined in codes 47.0302 - 47.0399.</t>
  </si>
  <si>
    <t>15.0501 - Heating, Ventilation, Air Conditioning and Refrigeration Engineering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</si>
  <si>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</si>
  <si>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Heating, Air Conditioning, Ventilation and Refrigeration Maintenance Technology/Technician.</t>
  </si>
  <si>
    <t>Examples: - Appliance Service Technician</t>
  </si>
  <si>
    <t>Instructional content is defined in code 47.0201.</t>
  </si>
  <si>
    <t>Heating, Air Conditioning, Ventilation and Refrigeration Maintenance Technology/Technician (HAC, HACR, HVAC, HVACR).</t>
  </si>
  <si>
    <t>A program that prepares individuals to apply technical knowledge and skills to install and repair household, business, and industrial security alarms, sensors, video and sound recording devices, identification systems, protective barriers, and related technologies.</t>
  </si>
  <si>
    <t>Security System Installation, Repair, and Inspection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</si>
  <si>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</si>
  <si>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Appliance Installation and Repair Technology/Technician.</t>
  </si>
  <si>
    <t>Examples: - Electric Motor System Technician, - Electric Motor Winder, - Electrical Rewind Mechanic, - Winder Electrician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</si>
  <si>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</si>
  <si>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Industrial Electronics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</si>
  <si>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</si>
  <si>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Computer Installation and Repair Technology/Technician.</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</si>
  <si>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</si>
  <si>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</si>
  <si>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Business Machine Repair.</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</si>
  <si>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</si>
  <si>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Examples: - Elevator Constructor, - Manlift Technician</t>
  </si>
  <si>
    <t>Instructional content for this group of programs is defined in codes 47.0101 - 47.0199.</t>
  </si>
  <si>
    <t>A program that generally prepares individuals to apply technical knowledge and skills in the adjustment, maintenance, part replacement, and repair of tools, equipment, and machines.</t>
  </si>
  <si>
    <t>Mechanics and Repairers, General.</t>
  </si>
  <si>
    <t>Instructional content is defined in code 47.0000.</t>
  </si>
  <si>
    <t>Instructional programs that prepare individuals to apply technical knowledge and skills in the adjustment, maintenance, part replacement, and repair of tools, equipment, and machines.</t>
  </si>
  <si>
    <t>MECHANIC AND REPAIR TECHNOLOGIES/TECHNICIANS.</t>
  </si>
  <si>
    <t>Any instructional program in construction trades not listed above.</t>
  </si>
  <si>
    <t>Construction Trades, Other.</t>
  </si>
  <si>
    <t>Examples: - Rig Technician, - Derrickhand, - Motorhand</t>
  </si>
  <si>
    <t>Instructional content is defined in code 46.9999.</t>
  </si>
  <si>
    <t>Any instructional program in plumbing and related water supply services not listed above.</t>
  </si>
  <si>
    <t>Plumbing and Related Water Supply Services, Other.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</si>
  <si>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</si>
  <si>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Blasting/Blaster.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</si>
  <si>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</si>
  <si>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Well Drilling/Driller.</t>
  </si>
  <si>
    <t>Examples: - Pipefitter - Plumber Specialty</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</si>
  <si>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</si>
  <si>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Plumbing Technology/Plumber.</t>
  </si>
  <si>
    <t>Examples: - Sprinkler and Fire Protection Installer, - Sprinkler System Installer, - Steamfitter/Pipefitter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</si>
  <si>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</si>
  <si>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Pipefitting/Pipefitter and Sprinkler Fitter.</t>
  </si>
  <si>
    <t>Examples: - Construction Technology</t>
  </si>
  <si>
    <t>Instructional content for this group of programs is defined in codes 46.0502 - 46.0599.</t>
  </si>
  <si>
    <t>Plumbing and Related Water Supply Services.</t>
  </si>
  <si>
    <t>Any instructional program in building/construction finishing, management, and inspection not listed above.</t>
  </si>
  <si>
    <t>Building/Construction Finishing, Management, and Inspection, Other.</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</si>
  <si>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</si>
  <si>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Examples: - Heat and Frost Insulator, - Asbestos Worker/Insulator, - Thermal Insulation Installer, - Boiler and Pipe Insulator, - Firestopping Insulator, - Sound 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</si>
  <si>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</si>
  <si>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Insulator.</t>
  </si>
  <si>
    <t>Examples: - Carpet, Flooring, and Tile Technician, - Floorcovering Installer, - Carpet, Linoleum, and Soft Tile Layer, - Carpet/Flooring and Hardwood Technician, - Tiling and Flooring Technician, - Tilesetter, - Terrazzo, Tile and Marble Setter</t>
  </si>
  <si>
    <t>A program that prepares individuals to plan, prepare, install, and repair carpet; linoleum; vinyl; ceramic, marble, quarry, mosaic, and terazzo tiles; and wood materials on floors, walls, and stairs. Includes instruction in measuring, cutting, and installing materials; use of hand and power-operated equipment; estimation of material and labor costs; and safety training.</t>
  </si>
  <si>
    <t>Carpet, Floor, and Tile Worker.</t>
  </si>
  <si>
    <t>Examples: - Painting (Commercial), - Painter and Decorator, - Painter and Decorator - Commercial and Residential</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</si>
  <si>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</si>
  <si>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Building/Construction Site Management/Manager.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</si>
  <si>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</si>
  <si>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Metal Building Assembly/Assembler.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</si>
  <si>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</si>
  <si>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Roofer.</t>
  </si>
  <si>
    <t>Painting/Painter and Wall Coverer.</t>
  </si>
  <si>
    <t>Examples: - Erector Mechanic (Glazier), - Glassworker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</si>
  <si>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</si>
  <si>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Glazier.</t>
  </si>
  <si>
    <t>Examples: - Drywall, Acousting and Lathing Applicator, - Drywall and Acoustical Mechanic, - Lather (Interior Systems Mechanic), - Interior Systems Installer, - Wall and Ceiling Installer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</si>
  <si>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</si>
  <si>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Drywall Installation/Drywaller.</t>
  </si>
  <si>
    <t>Examples: - Building Maintenance, - Property Maintenance, - Custodial Services</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</si>
  <si>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</si>
  <si>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Building/Home/Construction Inspection/Inspector.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</si>
  <si>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</si>
  <si>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Concrete Finishing/Concrete Finisher.</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</si>
  <si>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</si>
  <si>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Building/Property Maintenance.</t>
  </si>
  <si>
    <t>Examples: - Power Line Electrician, - Power Lineman, - Powerline Technician, - Powerline Technician (Operating)</t>
  </si>
  <si>
    <t>Instructional content for this group of programs is defined in codes 46.0401 - 46.0499.</t>
  </si>
  <si>
    <t>Building/Construction Finishing, Management, and Inspection.</t>
  </si>
  <si>
    <t>Any instructional program in electrical and power transmission installation not listed above.</t>
  </si>
  <si>
    <t>Electrical and Power Transmission Installers, Other.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</si>
  <si>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</si>
  <si>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Lineworker.</t>
  </si>
  <si>
    <t>Examples: - Construction Electrician, - Industrial 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</si>
  <si>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</si>
  <si>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Electrician.</t>
  </si>
  <si>
    <t>Examples: - General Carpenter</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</si>
  <si>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</si>
  <si>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Electrical and Power Transmission Installation/Installer, General.</t>
  </si>
  <si>
    <t>Instructional content for this group of programs is defined in codes 46.0301 - 46.0399.</t>
  </si>
  <si>
    <t>Electrical and Power Transmission Installers.</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</si>
  <si>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</si>
  <si>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Carpentry/Carpenter.</t>
  </si>
  <si>
    <t>Examples: - Bricklayer, - Brick and Stone Mason</t>
  </si>
  <si>
    <t>Instructional content is defined in code 46.0201.</t>
  </si>
  <si>
    <t>Carpenters.</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</si>
  <si>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</si>
  <si>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Mason/Masonry.</t>
  </si>
  <si>
    <t>Examples: - Construction Craft Worker</t>
  </si>
  <si>
    <t>Instructional content is defined in code 46.0101.</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</si>
  <si>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</si>
  <si>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Construction Trades, General.</t>
  </si>
  <si>
    <t>Examples: - Rural Development Studies</t>
  </si>
  <si>
    <t>Instructional content is defined in code 46.0000.</t>
  </si>
  <si>
    <t>Instructional programs that prepare individuals to apply technical knowledge and skills in the building, inspecting, and maintaining of structures and related properties.</t>
  </si>
  <si>
    <t>CONSTRUCTION TRADES.</t>
  </si>
  <si>
    <t>Any instructional program in social sciences not listed above.</t>
  </si>
  <si>
    <t>Social Sciences, Other.</t>
  </si>
  <si>
    <t>Instructional content is defined in code 45.9999.</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</si>
  <si>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</si>
  <si>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Rural Sociology.</t>
  </si>
  <si>
    <t>Examples: - International Political Economy, - Political Economy and Government</t>
  </si>
  <si>
    <t>A program that combines sociology and anthropology to study how society is organized, the origins and development of social institutions, social change, social organizations, race, class, gender and culture.</t>
  </si>
  <si>
    <t>Sociology and Anthropology.</t>
  </si>
  <si>
    <t>Instructional content is defined in code 45.1301.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</si>
  <si>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</si>
  <si>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Urban Studies/Affairs.</t>
  </si>
  <si>
    <t>Instructional content is defined in code 45.1201.</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</si>
  <si>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</si>
  <si>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Sociology.</t>
  </si>
  <si>
    <t>Any instructional program in political science and government not listed above.</t>
  </si>
  <si>
    <t>Political Science and Government, Other.</t>
  </si>
  <si>
    <t>A program that focuses on the interaction between politics and economics in the formation of public policy.  Includes instruction in microeconomics; macroeconomics; political theory; American, comparative, and international political economy; and quantitative methods.</t>
  </si>
  <si>
    <t>Political Economy.</t>
  </si>
  <si>
    <t>Examples: - National Security Studies, - Strategic Studies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</si>
  <si>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</si>
  <si>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</si>
  <si>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</si>
  <si>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American Government and Politics (United States).</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</si>
  <si>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</si>
  <si>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Political Science and Government, General.</t>
  </si>
  <si>
    <t>Instructional content for this group of programs is defined in codes 45.1001 - 45.1099.</t>
  </si>
  <si>
    <t>Political Science and Government.</t>
  </si>
  <si>
    <t>Any instructional program in international relations and national security studies not listed above.</t>
  </si>
  <si>
    <t>International Relations and National Security Studies, Other.</t>
  </si>
  <si>
    <t>28.0601 - Strategic Studies, General.</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</si>
  <si>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</si>
  <si>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National Security Policy Studies.</t>
  </si>
  <si>
    <t>Examples: - International Relations, - International Affairs, - Foreign Policy and Diplomacy, - International Relations and Affairs-Economics, - International Relations and Affairs-History, - International Relations and Affairs-Political Science</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</si>
  <si>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</si>
  <si>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International Relations and Affairs.</t>
  </si>
  <si>
    <t>Examples: - Geographic Information Systems (GIS), - Spatial Analysis, - Geomatics, - Remote Sensing</t>
  </si>
  <si>
    <t>Instructional content for this group of programs is defined in codes 45.0901 - 45.0999.</t>
  </si>
  <si>
    <t>International Relations and National Security Studies.</t>
  </si>
  <si>
    <t>Any instructional program in geography not listed above.</t>
  </si>
  <si>
    <t>Geography, Other.</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</si>
  <si>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</si>
  <si>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Geographic Information Science and Cartography.</t>
  </si>
  <si>
    <t>Examples: - Environmental Geography, - Physical Geography, - Social 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</si>
  <si>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</si>
  <si>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Geography.</t>
  </si>
  <si>
    <t>Examples: - Game Theory</t>
  </si>
  <si>
    <t>Instructional content for this group of programs is defined in codes 45.0701 - 45.0799.</t>
  </si>
  <si>
    <t>Geography and Cartography.</t>
  </si>
  <si>
    <t>Any instructional program in economics not listed above.</t>
  </si>
  <si>
    <t>Economics, Other.</t>
  </si>
  <si>
    <t>Examples: - Cost Analysis, - Economic Forecasting</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</si>
  <si>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</si>
  <si>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International Economics.</t>
  </si>
  <si>
    <t>01.0701 - International Agriculture.</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</si>
  <si>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</si>
  <si>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Development Economics and International Development.</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</si>
  <si>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</si>
  <si>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Econometrics and Quantitative Economics.</t>
  </si>
  <si>
    <t>Examples: - Behavioral and Experimental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</si>
  <si>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</si>
  <si>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Applied Economics.</t>
  </si>
  <si>
    <t>Examples: - Archaeometry</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</si>
  <si>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</si>
  <si>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Economics, General.</t>
  </si>
  <si>
    <t>Instructional content for this group of programs is defined in codes 45.0601 - 45.0699.</t>
  </si>
  <si>
    <t>Economics.</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</si>
  <si>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</si>
  <si>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Demography and Population Studies.</t>
  </si>
  <si>
    <t>43.0104 - Criminal Justice/Safety Studies.</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</si>
  <si>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</si>
  <si>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Criminology.</t>
  </si>
  <si>
    <t>Instructional content is defined in code 45.0401.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</si>
  <si>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</si>
  <si>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Archeology.</t>
  </si>
  <si>
    <t>Examples: - Cultural Anthropology, - Cultural and Social Anthropology, - Socio-Cultural Anthropology</t>
  </si>
  <si>
    <t>Instructional content is defined in code 45.0301.</t>
  </si>
  <si>
    <t>Any instructional program in Anthropology not listed above.</t>
  </si>
  <si>
    <t>Anthropology, Other.</t>
  </si>
  <si>
    <t>A program that focuses on the study of culture and the relationship of culture to other aspects of social life. Includes instruction in cultural anthropology, anthropological theory, enthnography, linguistics, and quantitative and qualitative research methods.</t>
  </si>
  <si>
    <t>Cultural Anthropology.</t>
  </si>
  <si>
    <t>Examples: - Methodology, Measurement, and Statistics</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</si>
  <si>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</si>
  <si>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Medical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</si>
  <si>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</si>
  <si>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Physical and Biological Anthropology.</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</si>
  <si>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</si>
  <si>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Anthropology.</t>
  </si>
  <si>
    <t>Instructional content for this group of programs is defined in codes 45.0201 - 45.0299.</t>
  </si>
  <si>
    <t>13.0603 - Educational Statistics and Research Methods., 27.0501 - Statistics, General.</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</si>
  <si>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</si>
  <si>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Research Methodology and Quantitative Methods.</t>
  </si>
  <si>
    <t>Examples: - Public Policy Analysis</t>
  </si>
  <si>
    <t>A program that focuses on the general study of human social behavior and social institutions using any of the methodologies common to the social sciences and/or history, or an undifferentiated program of study in the social sciences.</t>
  </si>
  <si>
    <t>Social Sciences, General.</t>
  </si>
  <si>
    <t>Instructional programs that focus on the systematic study of social systems, social institutions, and social behavior.</t>
  </si>
  <si>
    <t>SOCIAL SCIENCES.</t>
  </si>
  <si>
    <t>Any instructional program in public administration and services not listed above.</t>
  </si>
  <si>
    <t>Public Administration and Social Service Professions, Other.</t>
  </si>
  <si>
    <t>Instructional content is defined in code 44.9999.</t>
  </si>
  <si>
    <t>51.1503 - Clinical/Medical Social Work.</t>
  </si>
  <si>
    <t>Any program providing instruction in social  work and related services not listed above.</t>
  </si>
  <si>
    <t>Social Work, Other.</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</si>
  <si>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</si>
  <si>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Youth Services/Administration.</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</si>
  <si>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</si>
  <si>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Social Work.</t>
  </si>
  <si>
    <t>Instructional content for this group of programs is defined in codes 44.0701 - 44.0799.</t>
  </si>
  <si>
    <t>Any instructional program in public policy analysis not listed above.</t>
  </si>
  <si>
    <t>Public Policy Analysis, Other.</t>
  </si>
  <si>
    <t>51.2210 - International Public Health/International Health.</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</si>
  <si>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</si>
  <si>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International Policy Analysis.</t>
  </si>
  <si>
    <t>51.2201 - Public Health, General.</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</si>
  <si>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</si>
  <si>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Health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</si>
  <si>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</si>
  <si>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Education Policy Analysis.</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</si>
  <si>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</si>
  <si>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Public Policy Analysis, General.</t>
  </si>
  <si>
    <t>Examples: - Search and Rescue Technician, - Emergency Telecommunicator, - Emergency Services Communications, - Public Safety Communications</t>
  </si>
  <si>
    <t>Instructional content for this group of programs is defined in codes 44.0501 - 44.0599.</t>
  </si>
  <si>
    <t>Public Policy Analysis.</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</si>
  <si>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</si>
  <si>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Administration.</t>
  </si>
  <si>
    <t>Community Organization and Advocacy.</t>
  </si>
  <si>
    <t>Instructional content is defined in code 44.0201.</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</si>
  <si>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</si>
  <si>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Human Services, General.</t>
  </si>
  <si>
    <t>Instructional content is defined in code 44.0000.</t>
  </si>
  <si>
    <t>Instructional programs that prepare individuals to analyze, manage, and deliver public programs and services.</t>
  </si>
  <si>
    <t>PUBLIC ADMINISTRATION AND SOCIAL SERVICE PROFESSIONS.</t>
  </si>
  <si>
    <t>Any instructional program in homeland security, law enforcement, firefighting, and related protective services not listed above.</t>
  </si>
  <si>
    <t>Homeland Security, Law Enforcement, Firefighting and Related Protective Services, Other.</t>
  </si>
  <si>
    <t>Instructional content is defined in code 43.9999.</t>
  </si>
  <si>
    <t>Any instructional program in homeland security not listed above.</t>
  </si>
  <si>
    <t>Homeland Security, Other.</t>
  </si>
  <si>
    <t>Examples: - Disaster Planning and Management, - Emergency and Disaster Mitigation, - Emergency Preparedness and Technology, - Incident Command Systems, - Emergency Training, - Disaster Operations and Recovery, - Integrated Emergency Management, - Disaster Medicine and Management, - Public Health Preparedness and Emergency Management</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</si>
  <si>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</si>
  <si>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Terrorism and Counterterrorism Operations.</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</si>
  <si>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</si>
  <si>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Critical Infrastructure Protection.</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</si>
  <si>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</si>
  <si>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Crisis/Emergency/Disaster Management.</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</si>
  <si>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</si>
  <si>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Homeland Security.</t>
  </si>
  <si>
    <t>Instructional content for this group of programs is defined in codes 43.0301 - 43.0399.</t>
  </si>
  <si>
    <t>Any instructional program in fire protection not listed above.</t>
  </si>
  <si>
    <t>Fire Protection, Other.</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</si>
  <si>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</si>
  <si>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Wildland/Forest Firefighting and Investigation.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</si>
  <si>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</si>
  <si>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Fire/Arson Investigation and Prevention.</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</si>
  <si>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</si>
  <si>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 Systems Technology.</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</si>
  <si>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</si>
  <si>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Fire Science/Fire-fighting.</t>
  </si>
  <si>
    <t>Examples: - Fire Administration, - Executive Fire Officer, - Fire Service and Management Information Systems</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</si>
  <si>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</si>
  <si>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Fire Services Administration.</t>
  </si>
  <si>
    <t>Examples: - Fire Prevention Education, - Fire Risk Prevention and Inspection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</si>
  <si>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</si>
  <si>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Fire Prevention and Safety Technology/Technician.</t>
  </si>
  <si>
    <t>Instructional content for this group of programs is defined in codes 43.0201 - 43.0299.</t>
  </si>
  <si>
    <t>Fire Protection.</t>
  </si>
  <si>
    <t>Any instructional program in corrections and criminal justice not listed above.</t>
  </si>
  <si>
    <t>Corrections and Criminal Justice, Other.</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</si>
  <si>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</si>
  <si>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Cultural/Archaelogical Resources Protection.</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</si>
  <si>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</si>
  <si>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Maritime Law Enforcement.</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</si>
  <si>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</si>
  <si>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Suspension and Debarment Investigation.</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</si>
  <si>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</si>
  <si>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Protective Services Operations.</t>
  </si>
  <si>
    <t>Examples: - Electronic Surveillance</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</si>
  <si>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</si>
  <si>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Critical Incident Response/Special Police Operations.</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</si>
  <si>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</si>
  <si>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Law Enforcement Intelligence Analysis.</t>
  </si>
  <si>
    <t>Examples: - Fraud and Money-Laundering, - International Banking and Money-Laundering, - Terrorist Finance, - Asset Forfeiture, - Economic Crime Investigation, - Investigative and Forensic Accounting</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</si>
  <si>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</si>
  <si>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Financial Forensics and Fraud Investigation.</t>
  </si>
  <si>
    <t>Examples: - Internet Investigation</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</si>
  <si>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</si>
  <si>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Cyber/Computer Forensics and Counterterrorism.</t>
  </si>
  <si>
    <t>Examples: - Business and Organizational Security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</si>
  <si>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</si>
  <si>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Law Enforcement Record-Keeping and Evidence Management.</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</si>
  <si>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</si>
  <si>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Investigation and Interviewing.</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</si>
  <si>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</si>
  <si>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Corrections Administration.</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</si>
  <si>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</si>
  <si>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Securities Services Administration/Management.</t>
  </si>
  <si>
    <t>Examples: - Neuropsychology</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</si>
  <si>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</si>
  <si>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Criminalistics and Criminal Science.</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</si>
  <si>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</si>
  <si>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Juvenile Corrections.</t>
  </si>
  <si>
    <t>A program that prepares individuals to perform routine inspection, patrol and crime prevention services for private clients.  Includes instruction in the provision of personal protection as well as property security.</t>
  </si>
  <si>
    <t>Security and Loss Prevention Services.</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</si>
  <si>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</si>
  <si>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Criminal Justice/Police Science.</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</si>
  <si>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</si>
  <si>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Forensic Science and Technology.</t>
  </si>
  <si>
    <t>45.0401 - Criminology.</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</si>
  <si>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</si>
  <si>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Criminal Justice/Safety Studies.</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</si>
  <si>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</si>
  <si>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Justice/Law Enforcement Administration.</t>
  </si>
  <si>
    <t>A program that prepares individuals to study the theories and principles, of correctional science and to function as professional corrections officers and other workers in public and/or private incarceration facilities.</t>
  </si>
  <si>
    <t>Corrections.</t>
  </si>
  <si>
    <t>Criminal Justice and Corrections.</t>
  </si>
  <si>
    <t>Instructional programs that focus on the principles and procedures for providing homeland security, police, fire, and other safety services and managing penal institutions. Note: this series is titled Security and Protective Services" in the Canadian CIP."</t>
  </si>
  <si>
    <t>HOMELAND SECURITY, LAW ENFORCEMENT, FIREFIGHTING AND RELATED PROTECTIVE SERVICES.</t>
  </si>
  <si>
    <t>Any instructional program in psychology not listed above.</t>
  </si>
  <si>
    <t>Psychology, Other.</t>
  </si>
  <si>
    <t>Instructional content is defined in code 42.9999.</t>
  </si>
  <si>
    <t>Any instructional program in clinical, counseling and applied psychology not listed above.</t>
  </si>
  <si>
    <t>Clinical, Counseling and Applied Psychology, Other.</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</si>
  <si>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</si>
  <si>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Applied Behavior Analysis.</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</si>
  <si>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</si>
  <si>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Psychology.</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</si>
  <si>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</si>
  <si>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Forensic Psychology.</t>
  </si>
  <si>
    <t>51.1505 - Marriage and Family Therapy/Counseling., 19.0704 - Family Systems.</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</si>
  <si>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</si>
  <si>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Family Psychology.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</si>
  <si>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</si>
  <si>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Health/Medical Psychology.</t>
  </si>
  <si>
    <t>19.0702 - Adult Development and Aging., 30.1101 - Gerontology.</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</si>
  <si>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</si>
  <si>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Geropsychology.</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</si>
  <si>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</si>
  <si>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Environmental Psychology.</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</si>
  <si>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</si>
  <si>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Clinical Child Psychology.</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</si>
  <si>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</si>
  <si>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Educational Psychology.</t>
  </si>
  <si>
    <t>13.1101 - Counselor Education/School Counseling and Guidance Services.</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</si>
  <si>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</si>
  <si>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School Psychology.</t>
  </si>
  <si>
    <t>52.1003 - Organizational Behavior Studies.</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</si>
  <si>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</si>
  <si>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Industrial and Organizational Psychology.</t>
  </si>
  <si>
    <t>51.1508 - Mental Health Counseling/Counselor.</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</si>
  <si>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</si>
  <si>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Counseling Psychology.</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</si>
  <si>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</si>
  <si>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Community Psychology.</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</si>
  <si>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</si>
  <si>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Clinical Psychology.</t>
  </si>
  <si>
    <t>Instructional content for this group of programs is defined in codes 42.2801 - 42.2899. These CIP codes are not valid for IPEDS reporting.</t>
  </si>
  <si>
    <t>Clinical, Counseling and Applied Psychology.</t>
  </si>
  <si>
    <t>Any instructional program in research and experimental psychology not listed above.</t>
  </si>
  <si>
    <t>Research and Experimental Psychology, Other.</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</si>
  <si>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</si>
  <si>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Psychopharmacology.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</si>
  <si>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</si>
  <si>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Psychometrics and Quantitative 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</si>
  <si>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</si>
  <si>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Social Psychology.</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</si>
  <si>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</si>
  <si>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Personality Psychology.</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</si>
  <si>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</si>
  <si>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Experimental Psychology.</t>
  </si>
  <si>
    <t>Developmental and Child Psychology.</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</si>
  <si>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</si>
  <si>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Comparative Psychology.</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</si>
  <si>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</si>
  <si>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Cognitive Psychology and Psycholinguistics.</t>
  </si>
  <si>
    <t>Instructional content for this group of programs is defined in codes 42.2701 - 42.2799.</t>
  </si>
  <si>
    <t>Research and Experimental Psychology.</t>
  </si>
  <si>
    <t>30.1701 - Behavioral Sciences.</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</si>
  <si>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</si>
  <si>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Psychology, General.</t>
  </si>
  <si>
    <t>Instructional content is defined in code 42.0101.</t>
  </si>
  <si>
    <t>Instructional programs that focus on the scientific study of the behavior of individuals, independently or collectively, and the physical and environmental bases of mental, emotional, and neurological activity.</t>
  </si>
  <si>
    <t>PSYCHOLOGY.</t>
  </si>
  <si>
    <t>Any instructional program in science technologies not listed above.</t>
  </si>
  <si>
    <t>Science Technologies/Technicians, Other.</t>
  </si>
  <si>
    <t>Instructional content is defined in code 41.9999.</t>
  </si>
  <si>
    <t>Any instructional program in physical science technologies not listed above.</t>
  </si>
  <si>
    <t>Physical Science Technologies/Technicians, Other.</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</si>
  <si>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</si>
  <si>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Chemical Process Technology.</t>
  </si>
  <si>
    <t>Examples: - Science Laboratory Technology</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</si>
  <si>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</si>
  <si>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Technology/Technician.</t>
  </si>
  <si>
    <t>Instructional content for this group of programs is defined in codes 41.0301 - 41.0399.</t>
  </si>
  <si>
    <t>Physical Science Technologies/Technicians.</t>
  </si>
  <si>
    <t>Any instructional program in nuclear and industrial radiologic technologies not listed above.</t>
  </si>
  <si>
    <t>Nuclear and Industrial Radiologic Technologies/Technicians, Other.</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</si>
  <si>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</si>
  <si>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Nuclear/Nuclear Power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</si>
  <si>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</si>
  <si>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Industrial Radiologic Technology/Technician.</t>
  </si>
  <si>
    <t>Instructional content for this group of programs is defined in codes 41.0204 - 41.0299.</t>
  </si>
  <si>
    <t>Nuclear and Industrial Radiologic Technologies/Technicians.</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</si>
  <si>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</si>
  <si>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Instructional content is defined in code 41.0101.</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</si>
  <si>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</si>
  <si>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Science Technologies/Technicians, General.</t>
  </si>
  <si>
    <t>Examples: - Mechanical Properties of Materials, - Structural Materials, - Electronic and Optical Materials, - Biomaterials, - Materials Theory, - Surface Technology</t>
  </si>
  <si>
    <t>Instructional content is defined in code 41.0000.</t>
  </si>
  <si>
    <t>Instructional programs that prepare individuals to apply scientific principles and technical skills in support of scientific research and development.</t>
  </si>
  <si>
    <t>SCIENCE TECHNOLOGIES/TECHNICIANS.</t>
  </si>
  <si>
    <t>Any instructional program in physical sciences not listed above.</t>
  </si>
  <si>
    <t>Physical Sciences, Other.</t>
  </si>
  <si>
    <t>Instructional content is defined in code 40.9999.</t>
  </si>
  <si>
    <t>Any instructional program in materials sciences not listed above.</t>
  </si>
  <si>
    <t>Materials Sciences, Other.</t>
  </si>
  <si>
    <t>14.1801 - Materials Engineering., 40.1001 - Materials Science.</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</si>
  <si>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</si>
  <si>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Materials Chemistry.</t>
  </si>
  <si>
    <t>14.1801 - Materials Engineering., 40.1002 - Materials Chemistry.</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</si>
  <si>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</si>
  <si>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Materials Science.</t>
  </si>
  <si>
    <t>Examples: - Electrodynamics</t>
  </si>
  <si>
    <t>Instructional content for this group of programs is defined in codes 40.1001 - 40.1099.</t>
  </si>
  <si>
    <t>Materials Sciences.</t>
  </si>
  <si>
    <t>Any instructional program in physics not listed above.</t>
  </si>
  <si>
    <t>Physics, Other.</t>
  </si>
  <si>
    <t>Examples: - Electro-Optics, - Atmospheric and Space Optics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</si>
  <si>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</si>
  <si>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Theoretical and Mathematical Physics.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</si>
  <si>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</si>
  <si>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Acoustics.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</si>
  <si>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</si>
  <si>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Condensed Matter and Materials Physics.</t>
  </si>
  <si>
    <t>14.1003 - Laser and Optical Engineering.</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</si>
  <si>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</si>
  <si>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Optics/Optical Sciences.</t>
  </si>
  <si>
    <t>Examples: - Nuclear Effects</t>
  </si>
  <si>
    <t>14.2301 - Nuclear Engineering.</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</si>
  <si>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</si>
  <si>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Nuclear Physics.</t>
  </si>
  <si>
    <t>Examples: - Geodetics, - Geodesy</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</si>
  <si>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</si>
  <si>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Plasma and High-Temperature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</si>
  <si>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</si>
  <si>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Elementary Particle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</si>
  <si>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</si>
  <si>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Atomic/Molecular Physics.</t>
  </si>
  <si>
    <t>14.1201 - Engineering Physics/Applied Physics.</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</si>
  <si>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</si>
  <si>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Physics, General.</t>
  </si>
  <si>
    <t>Instructional content for this group of programs is defined in codes 40.0801 - 40.0899.</t>
  </si>
  <si>
    <t>Physics.</t>
  </si>
  <si>
    <t>Any instructional program in geological and related sciences not listed above.</t>
  </si>
  <si>
    <t>Geological and Earth Sciences/Geosciences, Other.</t>
  </si>
  <si>
    <t>Examples: - Hydrogeology</t>
  </si>
  <si>
    <t>26.1302 - Marine Biology and Biological Oceanography.</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</si>
  <si>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</si>
  <si>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Oceanography, Chemical and Physical.</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</si>
  <si>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</si>
  <si>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Geochemistry and Petrology.</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</si>
  <si>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</si>
  <si>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Hydrology and Water Resources Science.</t>
  </si>
  <si>
    <t>Examples: - Magnetospheric Physics, - Aeronomy, - Ionospheric Environment</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</si>
  <si>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</si>
  <si>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Paleontology.</t>
  </si>
  <si>
    <t>A program that focuses on the scientific study of the physics of solids and its application to the study of the earth and other planets.  Includes instruction in gravimetric, seismology, earthquake forecasting, magnetrometry, electrical properties of solid bodies, plate tectonics, active deformation, thermodynamics, remote sensing, geodesy, and laboratory simulations of geological processes.</t>
  </si>
  <si>
    <t>Geophysics and Seismology.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</si>
  <si>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</si>
  <si>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Geochemistry.</t>
  </si>
  <si>
    <t>14.3901 - Geological/Geophysical Engineering.</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</si>
  <si>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</si>
  <si>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Geology/Earth Science, General.</t>
  </si>
  <si>
    <t>Instructional content for this group of programs is defined in codes 40.0601 - 40.0699.</t>
  </si>
  <si>
    <t>Geological and Earth Sciences/Geosciences.</t>
  </si>
  <si>
    <t>Any instructional program in chemistry not listed above.</t>
  </si>
  <si>
    <t>Chemistry, Other.</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</si>
  <si>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</si>
  <si>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Theoretical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</si>
  <si>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</si>
  <si>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Forensic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</si>
  <si>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</si>
  <si>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Environmental Chemistry.</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</si>
  <si>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</si>
  <si>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Chemical Physics.</t>
  </si>
  <si>
    <t>14.3201 - Polymer/Plastics Engineering.</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</si>
  <si>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</si>
  <si>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Polymer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</si>
  <si>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</si>
  <si>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Physical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</si>
  <si>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</si>
  <si>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</si>
  <si>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</si>
  <si>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Inorganic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</si>
  <si>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</si>
  <si>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Analytical Chemistry.</t>
  </si>
  <si>
    <t>14.0701 - Chemical Engineering.</t>
  </si>
  <si>
    <t>A general program that focuses on the scientific study of the composition and behavior of matter, including its micro- and macro-structure, the processes of chemical change, and the theoretical description and laboratory simulation of these phenomena.</t>
  </si>
  <si>
    <t>Chemistry, General.</t>
  </si>
  <si>
    <t>Instructional content for this group of programs is defined in codes 40.0501 - 40.0599.</t>
  </si>
  <si>
    <t>Chemistry.</t>
  </si>
  <si>
    <t>Any instructional program in atmospheric sciences and meteorology not listed above.</t>
  </si>
  <si>
    <t>Atmospheric Sciences and Meteorology, Other.</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</si>
  <si>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</si>
  <si>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Meteorology.</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</si>
  <si>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</si>
  <si>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Atmospheric Physics and Dynamics.</t>
  </si>
  <si>
    <t>Examples: - Sacred Scripture Studies</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</si>
  <si>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</si>
  <si>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Chemistry and Climatology.</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</si>
  <si>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</si>
  <si>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Atmospheric Sciences and Meteorology, General.</t>
  </si>
  <si>
    <t>Instructional content for this group of programs is defined in codes 40.0401 - 40.0499.</t>
  </si>
  <si>
    <t>Atmospheric Sciences and Meteorology.</t>
  </si>
  <si>
    <t>Any instructional program in astronomy and astrophysics not listed above.</t>
  </si>
  <si>
    <t>Astronomy and Astrophysics, Other.</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</si>
  <si>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</si>
  <si>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Planetary Astronomy and Science.</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</si>
  <si>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</si>
  <si>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Astrophysics.</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</si>
  <si>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</si>
  <si>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Astronomy.</t>
  </si>
  <si>
    <t>Instructional content for this group of programs is defined in codes 40.0201 - 40.0299.</t>
  </si>
  <si>
    <t>Astronomy and Astrophysics.</t>
  </si>
  <si>
    <t>A program that focuses on the major topics, concepts, processes, and interrelationships of physical phenomena as studied in any combination of physical science disciplines.</t>
  </si>
  <si>
    <t>Instructional content is defined in code 40.0101.</t>
  </si>
  <si>
    <t>Instructional programs that focus on the scientific study of inanimate objects, processes of matter and energy, and associated phenomena.</t>
  </si>
  <si>
    <t>PHYSICAL SCIENCES.</t>
  </si>
  <si>
    <t>Any instructional program in theological studies and religious vocations not listed above.</t>
  </si>
  <si>
    <t>Theology and Religious Vocations, Other.</t>
  </si>
  <si>
    <t>Examples: - Youth and Family Ministries</t>
  </si>
  <si>
    <t>Instructional content is defined in code 39.9999.</t>
  </si>
  <si>
    <t>Any instructional program in pastoral counseling and specialized ministries not listed above.</t>
  </si>
  <si>
    <t>Pastoral Counseling and Specialized Ministries, Other.</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</si>
  <si>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</si>
  <si>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Lay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</si>
  <si>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</si>
  <si>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Women's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</si>
  <si>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</si>
  <si>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Urban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</si>
  <si>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</si>
  <si>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Youth Ministry.</t>
  </si>
  <si>
    <t>Examples: - Rabbinical Studies (M.H.L./Rav)</t>
  </si>
  <si>
    <t>51.1506 - Clinical Pastoral Counseling/Patient 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</si>
  <si>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</si>
  <si>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Pastoral Studies/Counseling.</t>
  </si>
  <si>
    <t>Instructional content for this group of programs is defined in codes 39.0701 - 39.0799.</t>
  </si>
  <si>
    <t>Pastoral Counseling and Specialized Ministries.</t>
  </si>
  <si>
    <t>Any instructional program in theological and ministerial studies not listed above, including preparation for religious vocations in faiths other than Christianity and Judaism.</t>
  </si>
  <si>
    <t>Theological and Ministerial Studies, Other.</t>
  </si>
  <si>
    <t>38.0206 - Jewish/Judaic Studies.</t>
  </si>
  <si>
    <t>Talmudic Studies.</t>
  </si>
  <si>
    <t>A program that prepares individuals for ordination as Rabbis. Includes instruction in Talmud, Halacha, Liturgy and Rituals, Rabbinical Thought, Jewish Ethics, Jewish Education, Pastoral Counseling and Homiletics.</t>
  </si>
  <si>
    <t>Rabbinical Studies.</t>
  </si>
  <si>
    <t>Examples: - Divinity/Ministry (BD), - Divinity/Ministry (MDiv)</t>
  </si>
  <si>
    <t>A program that prepares individuals to enter a seminary or other program leading to religious ordination, or a related religious vocation.</t>
  </si>
  <si>
    <t>Pre-Theology/Pre-Ministerial Studies.</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</si>
  <si>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</si>
  <si>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Divinity/Ministry.</t>
  </si>
  <si>
    <t>Examples: - Applied Ethics, - Professional Ethics, - Engineering Ethics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</si>
  <si>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</si>
  <si>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Theology/Theological Studies.</t>
  </si>
  <si>
    <t>Instructional content for this group of programs is defined in codes 39.0601 - 39.0699.</t>
  </si>
  <si>
    <t>Theological and Ministerial Studies.</t>
  </si>
  <si>
    <t>A program that focuses on the history, theory, composition, and performance of music for religious or sacred purposes, and that prepares individuals for religious musical vocations such as choir directors, cantors, organists, and chanters.</t>
  </si>
  <si>
    <t>Religious/Sacred Music.</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</si>
  <si>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</si>
  <si>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 Education.</t>
  </si>
  <si>
    <t>Instructional content is defined in code 39.0401.</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</si>
  <si>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</si>
  <si>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Missions/Missionary Studies and Missiology.</t>
  </si>
  <si>
    <t>38.0203 - Christian Studies., 38.0206 - Jewish/Judaic Studies.</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</si>
  <si>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</si>
  <si>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Bible/Biblical Studies.</t>
  </si>
  <si>
    <t>Instructional content is defined in code 39.0201.</t>
  </si>
  <si>
    <t>Instructional programs that focus on the intramural study of theology and that prepare individuals for the professional practice of religious vocations.</t>
  </si>
  <si>
    <t>THEOLOGY AND RELIGIOUS VOCATIONS.</t>
  </si>
  <si>
    <t>Any instructional program in philosophy and religion not listed above.</t>
  </si>
  <si>
    <t>Philosophy and Religious Studies, Other.</t>
  </si>
  <si>
    <t>Instructional content is defined in code 38.9999.</t>
  </si>
  <si>
    <t>Any instructional program in religion/religious studies not listed above.</t>
  </si>
  <si>
    <t>Religion/Religious Studies, Other.</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</si>
  <si>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</si>
  <si>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Jewish/Judaic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</si>
  <si>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</si>
  <si>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Islamic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</si>
  <si>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</si>
  <si>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Hindu Studies.</t>
  </si>
  <si>
    <t>39.0201 - Bible/Biblical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</si>
  <si>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</si>
  <si>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Christian Studies.</t>
  </si>
  <si>
    <t>A program that focuses on the philosophy preached by Siddartha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</si>
  <si>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Buddhist Studies.</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</si>
  <si>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</si>
  <si>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Religion/Religious Studies.</t>
  </si>
  <si>
    <t>Instructional content for this group of programs is defined in codes 38.0201 - 38.0299.</t>
  </si>
  <si>
    <t>Any instructional program in Philosophy not listed above.</t>
  </si>
  <si>
    <t>Philosophy, Other.</t>
  </si>
  <si>
    <t>51.3201 - Bioethics/Medical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</si>
  <si>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</si>
  <si>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Applied and Professional Ethics.</t>
  </si>
  <si>
    <t>Examples: - First Aid, - CPR</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</si>
  <si>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</si>
  <si>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Ethics.</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</si>
  <si>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</si>
  <si>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Logic.</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</si>
  <si>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</si>
  <si>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Philosophy.</t>
  </si>
  <si>
    <t>Instructional content for this group of programs is defined in codes 38.0101 - 38.0199.</t>
  </si>
  <si>
    <t>38.0101 - Philosophy., 38.0201 - Religion/Religious Studies.</t>
  </si>
  <si>
    <t>A general program that combines the study of philosophy and religious studies. Includes instruction in logic; ethics; epistemology; symbolism; phenomenology; the sociology, psychology, philosophy, anthropology, literature, and art of religion; and world religions.</t>
  </si>
  <si>
    <t>Philosophy and Religious Studies, General.</t>
  </si>
  <si>
    <t>Instructional content is defined in code 38.0001.</t>
  </si>
  <si>
    <t>Instructional programs that focus on logical inquiry, philosophical analysis, and the academic study of organized systems of belief and religious practices.</t>
  </si>
  <si>
    <t>PHILOSOPHY AND RELIGIOUS STUDIES.</t>
  </si>
  <si>
    <t>Any instructional program in personnel awareness and self-improvement not listed above. This CIP code is not valid for IPEDS reporting.</t>
  </si>
  <si>
    <t>Personal Awareness and Self-Improvement, Other.</t>
  </si>
  <si>
    <t>A program that focuses on the development of personal philosophies and ideas of positive self-concept and self-worth, and applying these knowledge and skills in everyday circumstances. This CIP code is not valid for IPEDS reporting.</t>
  </si>
  <si>
    <t>Self-Esteem and Values Clarification.</t>
  </si>
  <si>
    <t>A program that focuses on how to develop individuals' abilities to assess decisions affecting their lives and to make life choices consistent with needs and beliefs. This CIP code is not valid for IPEDS reporting.</t>
  </si>
  <si>
    <t>Personal Decision-Making Skills.</t>
  </si>
  <si>
    <t>A program that focuses on the knowledge and skills useful in avoiding stressful situations and managing them when they occur, including dealing with complex and long-term stressful relationships. This CIP code is not valid for IPEDS reporting.</t>
  </si>
  <si>
    <t>Stress Management and Coping Skills.</t>
  </si>
  <si>
    <t>A program that focuses on the knowledge and skills useful in becoming aware of one's feelings, using methods of assessing one's personal attributes, and being aware of how one is perceived by others. This CIP code is not valid for IPEDS reporting.</t>
  </si>
  <si>
    <t>Self-Awareness and Personal Assessment.</t>
  </si>
  <si>
    <t>Instructional content for this group of programs is defined in codes 37.0101 - 37.0199. These CIP codes are not valid for IPEDS reporting.</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</si>
  <si>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</si>
  <si>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</si>
  <si>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</si>
  <si>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Any instructional program in leisure and recreational activities not listed above. This CIP code is not valid for IPEDS reporting.</t>
  </si>
  <si>
    <t>Leisure and Recreational Activities, Other.</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</si>
  <si>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</si>
  <si>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Aircraft Pilot (Private).</t>
  </si>
  <si>
    <t>A program that focuses on the knowledge and skills related to creative writing and poetry composition for pleasure or profit, including methods of publication. This CIP code is not valid for IPEDS reporting.</t>
  </si>
  <si>
    <t>Writing.</t>
  </si>
  <si>
    <t>A program that focuses on the knowledge and skills associated with participation in amateur theatrical productions, drama appreciation, and writing amateur plays. This CIP code is not valid for IPEDS reporting.</t>
  </si>
  <si>
    <t>Theatre/Theater.</t>
  </si>
  <si>
    <t>A program that focuses on the activity of reading for pleasure, either alone or as part of a group experience. This CIP code is not valid for IPEDS reporting.</t>
  </si>
  <si>
    <t>Reading.</t>
  </si>
  <si>
    <t>A program that focuses on the knowledge and skills associated with personal music appreciation, the playing of a musical instrument, singing or recreational composition. This CIP code is not valid for IPEDS reporting.</t>
  </si>
  <si>
    <t>A program that focuses on the knowledge and skills related to recreational dance, such as square dancing, ballroom dancing, classical or modern dance. This CIP code is not valid for IPEDS reporting.</t>
  </si>
  <si>
    <t>Dancing.</t>
  </si>
  <si>
    <t>A program that focuses on the knowledge and skills associated with creating and maintaining computer programs, as well as playing computer-based games. This CIP code is not valid for IPEDS reporting.</t>
  </si>
  <si>
    <t>Computer Games and Programming Skills.</t>
  </si>
  <si>
    <t>A program that focuses on the knowledge and skills related to food buying and preparation, home decoration, sewing and other domestic activities, either as hobbies or as routine tasks. This CIP code is not valid for IPEDS reporting.</t>
  </si>
  <si>
    <t>Cooking and Other Domestic Skills.</t>
  </si>
  <si>
    <t>A program that focuses on the knowledge and techniques necessary for acquiring and maintaining personal collections of objects, such as autographs, stamps, models, specimens, vehicles and antiques. This CIP code is not valid for IPEDS reporting.</t>
  </si>
  <si>
    <t>Collecting.</t>
  </si>
  <si>
    <t>A program that focuses on the techniques and methods of creative self-expression in visual or plastic media, such as painting or sculpture. This CIP code is not valid for IPEDS reporting.</t>
  </si>
  <si>
    <t>Art.</t>
  </si>
  <si>
    <t>A program that focuses on particular geographic areas or phenomena, and provides opportunities for organized trips or tours, including related knowledge and skills. This CIP code is not valid for IPEDS reporting.</t>
  </si>
  <si>
    <t>Travel and Exploration.</t>
  </si>
  <si>
    <t>A program that focuses on the rules and techniques of participation and skill building in competitive physical activities, as well as non-competitive physical fitness programs. This CIP code is not valid for IPEDS reporting.</t>
  </si>
  <si>
    <t>Sports and Exercise.</t>
  </si>
  <si>
    <t>A program that focuses on how to increase one's ability to care for domesticated animals kept for pleasure or work. This CIP code is not valid for IPEDS reporting.</t>
  </si>
  <si>
    <t>Pet Ownership and Care.</t>
  </si>
  <si>
    <t>A program that focuses on how to increase one's understanding and knowledge of the natural environment in which we live, as well as techniques of wildlife observation and management. This CIP code is not valid for IPEDS reporting.</t>
  </si>
  <si>
    <t>Nature Appreciation.</t>
  </si>
  <si>
    <t>A program that focuses on the knowledge and skills associated with maintaining living space and related equipment and furnishings, as well as do-it-yourself repairs and improvement projects of varying complexity. This CIP code is not valid for IPEDS reporting.</t>
  </si>
  <si>
    <t>Home Maintenance and Improvement.</t>
  </si>
  <si>
    <t>A  program that focuses on the rules and techniques of participation and skill-building in competitive activities of skill or chance, such as board games, card games or role-playing activities. This CIP code is not valid for IPEDS reporting.</t>
  </si>
  <si>
    <t>Board, Card and Role-Playing Games.</t>
  </si>
  <si>
    <t>A program that focuses on the fashioning of objects of decoration, utility or representation from various materials, including related matters of research, tool use and appreciation. This CIP code is not valid for IPEDS reporting.</t>
  </si>
  <si>
    <t>Handicrafts and Model-Making.</t>
  </si>
  <si>
    <t>A general program that focuses on the development of an appreciation for and competency in recreational and leisure-related activities. This CIP code is not valid for IPEDS reporting.</t>
  </si>
  <si>
    <t>Leisure and Recreational Activities, General.</t>
  </si>
  <si>
    <t>Instructional content for this group of programs is defined in codes 36.0101 - 36.0199. These CIP codes are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</si>
  <si>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</si>
  <si>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</si>
  <si>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</si>
  <si>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Any instructional program in interpersonal social skills not listed above. This CIP code is not valid for IPEDS reporting.</t>
  </si>
  <si>
    <t>Interpersonal Social Skills, Other.</t>
  </si>
  <si>
    <t>A program that focuses on how to increase one's ability to function effectively in social and business settings where interpersonal communication is required. This CIP code is not valid for IPEDS reporting.</t>
  </si>
  <si>
    <t>Business and Social Skills.</t>
  </si>
  <si>
    <t>A program that focuses on how to increase one's ability to establish and maintain mutually satisfactory ties with other human beings. This CIP code is not valid for IPEDS reporting.</t>
  </si>
  <si>
    <t>Interpersonal Relationships Skills.</t>
  </si>
  <si>
    <t>A general program that focuses on how to effectively interact with others in private, social and business settings. This CIP code is not valid for IPEDS reporting.</t>
  </si>
  <si>
    <t>Interpersonal and Social Skills, General.</t>
  </si>
  <si>
    <t>Instructional content for this group of programs is defined in codes 35.0101 - 35.0199. These CIP codes are not valid for IPEDS reporting.</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</si>
  <si>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</si>
  <si>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</si>
  <si>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</si>
  <si>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Any instructional program in health-related knowledge and skills not listed above. This CIP code is not valid for IPEDS reporting.</t>
  </si>
  <si>
    <t>Health-Related Knowledge and Skills, Other.</t>
  </si>
  <si>
    <t>Examples: - Basic Computer Application</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</si>
  <si>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</si>
  <si>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Addiction Prevention and Treatment.</t>
  </si>
  <si>
    <t>A program that focuses on the principles, techniques, and methods by which individuals can maintain or improve their overall physical and emotional well-being, as well as work on specific areas of personal health. This CIP code is not valid for IPEDS reporting.</t>
  </si>
  <si>
    <t>Personal Health Improvement and Maintenance.</t>
  </si>
  <si>
    <t>A program that focuses on all facets of the mother's and father's roles in family planning, prenatal preparation and care, the birthing experience, post-natal care and the raising of children. This CIP code is not valid for IPEDS reporting.</t>
  </si>
  <si>
    <t>Birthing and Parenting Knowledge and Skills.</t>
  </si>
  <si>
    <t>Instructional content for this group of programs is defined in codes 34.0102 - 34.0199. These CIP codes are not valid for IPEDS reporting.</t>
  </si>
  <si>
    <t>Health-Related Knowledge and Skills.</t>
  </si>
  <si>
    <t>HEALTH-RELATED KNOWLEDGE AND SKILLS.</t>
  </si>
  <si>
    <t>Any instructional program in citizenship activities not listed above. This CIP code is not valid for IPEDS reporting.</t>
  </si>
  <si>
    <t>Citizenship Activities, Other.</t>
  </si>
  <si>
    <t>A program that prepares individuals to take the oath of Canadian citizenship and to exercise the attendant rights and responsibilities of citizenship. This CIP code is not valid for IPEDS reporting.</t>
  </si>
  <si>
    <t>Canadian Citizenship Education.</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</si>
  <si>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</si>
  <si>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Community Involvement.</t>
  </si>
  <si>
    <t>A program that focuses on local government and history, current issues, and focuses on how individuals can keep abreast of important issues that may affect them. This CIP code is not valid for IPEDS reporting.</t>
  </si>
  <si>
    <t>Community Awareness.</t>
  </si>
  <si>
    <t>A program that prepares individuals to take the oath of United States citizenship and to exercise the attendant rights and responsibilities of citizenship. This CIP code is not valid for IPEDS reporting.</t>
  </si>
  <si>
    <t>American Citizenship Education.</t>
  </si>
  <si>
    <t>A program that generally prepares individuals for citizenship, and focuses on how citizens may engage in civic activities. This CIP code is not valid for IPEDS reporting.</t>
  </si>
  <si>
    <t>Citizenship Activities, General.</t>
  </si>
  <si>
    <t>Instructional content for this group of programs is defined in codes 33.0101 - 33.0199. These CIP codes are not valid for IPEDS reporting.</t>
  </si>
  <si>
    <t>Citizenship Activities.</t>
  </si>
  <si>
    <t>Instructional programs that prepare individuals for citizenship, and provide instruction in how citizens may engage in civic activities. These CIP codes are not valid for IPEDS reporting.</t>
  </si>
  <si>
    <t>CITIZENSHIP ACTIVITIES.</t>
  </si>
  <si>
    <t>Any instructional program in basic skills not listed above. This CIP code is not valid for IPEDS reporting.</t>
  </si>
  <si>
    <t>Basic Skills and Developmental/Remedial Education, Other.</t>
  </si>
  <si>
    <t>A program that focuses on learning or upgrading basic skills in order to enhance job performance, promote career development, or train for a new job. This CIP code is not valid for IPEDS reporting.</t>
  </si>
  <si>
    <t>Workforce Development and Training.</t>
  </si>
  <si>
    <t>A program that focuses on the knowledge and skills needed to operate a computer, including computer concepts, keyboarding and mouse skills, using computer hardware and software, and basic troubleshooting. This CIP code is not valid for IPEDS reporting.</t>
  </si>
  <si>
    <t>Basic Computer Skills.</t>
  </si>
  <si>
    <t>Examples: - English as a Second Language</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</si>
  <si>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</si>
  <si>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Second Language Learning.</t>
  </si>
  <si>
    <t>Examples: - Developmental/Remedial Reading and Writing, - Developmental/Remedial Literacy Skills, - Literacy and Communication Skills</t>
  </si>
  <si>
    <t>A program that focuses on the fundamental knowledge and skills in reading, writing and speaking that individuals need to function productively in society. This CIP code is not valid for IPEDS reporting.</t>
  </si>
  <si>
    <t>Developmental/Remedial English.</t>
  </si>
  <si>
    <t>Examples: - Numeracy and Computational Skills, - Adult Developmental Mathematics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</si>
  <si>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</si>
  <si>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Career Exploration/Awareness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</si>
  <si>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</si>
  <si>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Job-Seeking/Changing Skills.</t>
  </si>
  <si>
    <t>A program that focuses on the development of computing and other mathematical reasoning abilities and skills. This CIP code is not valid for IPEDS reporting.</t>
  </si>
  <si>
    <t>Developmental/Remedial Mathematics.</t>
  </si>
  <si>
    <t>Examples: - Adult Developmental Education, - Basic Skills, General, - Developmental Education, General, - Remedial Education, General</t>
  </si>
  <si>
    <t>A general program that focuses on the fundamental knowledge and skills that individuals need to function productively in society. This CIP code is not valid for IPEDS reporting.</t>
  </si>
  <si>
    <t>Basic Skills and Developmental/Remedial Education, General.</t>
  </si>
  <si>
    <t>Instructional content for this group of programs is defined in codes 32.0101 - 32.0199. These CIP codes are not valid for IPEDS reporting.</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</si>
  <si>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</si>
  <si>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</si>
  <si>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</si>
  <si>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is defined in code 31.9999.</t>
  </si>
  <si>
    <t>13.1338 - Environmental Education.</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</si>
  <si>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</si>
  <si>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Outdoor Education.</t>
  </si>
  <si>
    <t>Instructional content is defined in code 31.0601.</t>
  </si>
  <si>
    <t>A program that focuses on the psychological, sociological, and historical aspects of sport and physical activity. Includes instruction in theory of sport, sport psychology, sport in American society, gender and race/ethnicity and sport, and sports history.</t>
  </si>
  <si>
    <t>Sports Studies.</t>
  </si>
  <si>
    <t>Examples: - Fitness Technician, - Fitness Trainer, - Personal Trainer</t>
  </si>
  <si>
    <t>51.0913 - Athletic Training/Trainer.</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</si>
  <si>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</si>
  <si>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Physical Fitness Technician.</t>
  </si>
  <si>
    <t>Examples: - Coaching</t>
  </si>
  <si>
    <t>31.0508 - Sports Studies., 09.0906 - Sports Communication.</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</si>
  <si>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</si>
  <si>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Sport and Fitness Administration/Management.</t>
  </si>
  <si>
    <t>13.1314 - Physical Education Teaching and Coaching., 51.0001 - Health and Wellness, General.</t>
  </si>
  <si>
    <t>Examples: - Sustainability, - Sustainable Living, - Organizational and Environmental Sustainability, - Sustainability Studies</t>
  </si>
  <si>
    <t>Instructional content for this group of programs is defined in codes 31.0501 - 31.0599.</t>
  </si>
  <si>
    <t>A program that prepares individuals to manage the operation of golf courses. Includes instruction in turf grass science and management, golf course design and construction, grounds equipment and operation, pest control, and grounds management.</t>
  </si>
  <si>
    <t>Golf Course Operation and Grounds Management.</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</si>
  <si>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</si>
  <si>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Instructional content for this group of programs is defined in codes 31.0301 - 31.0399.</t>
  </si>
  <si>
    <t>A program that focuses on the principles underlying recreational and leisure activities, and the practices involved in providing indoor and outdoor recreational facilities and services for the general public.</t>
  </si>
  <si>
    <t>Instructional content is defined in code 31.0101.</t>
  </si>
  <si>
    <t>Any instructional program in multi/interdisciplinary studies not listed above.</t>
  </si>
  <si>
    <t>Multi-/Interdisciplinary Studies, Other.</t>
  </si>
  <si>
    <t>Instructional content is defined in code 30.9999.</t>
  </si>
  <si>
    <t>Multi/Interdisciplinary Studies, Other.</t>
  </si>
  <si>
    <t>01.0308 - Agroecology and Sustainable Agriculture.</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</si>
  <si>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</si>
  <si>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Sustainability Studies.</t>
  </si>
  <si>
    <t>Examples: - Scientific Computing</t>
  </si>
  <si>
    <t>Instructional content is defined in code 30.3301.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</si>
  <si>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</si>
  <si>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Marine Sciences.</t>
  </si>
  <si>
    <t>Instructional content is defined in code 30.3201.</t>
  </si>
  <si>
    <t>Human Computer Interaction.</t>
  </si>
  <si>
    <t>Instructional content is defined in code 30.3101.</t>
  </si>
  <si>
    <t>27.0303 - Computational Mathematics., 26.1104 - Computational Biology.</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</si>
  <si>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</si>
  <si>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Computational Science.</t>
  </si>
  <si>
    <t>Examples: - Dispute Resolution, - Dispute and Conflict Resolution, - Negotiation and Dispute Resolution, - Alternative Dispute Resolution</t>
  </si>
  <si>
    <t>Instructional content is defined in code 30.3001.</t>
  </si>
  <si>
    <t>A program that focuses on the history, science, policy issues, and literature of the ocean. Includes instruction in maritime history, maritime law, maritime literature, oceanography, maritime security, and maritime politics.</t>
  </si>
  <si>
    <t>Maritime Studies.</t>
  </si>
  <si>
    <t>Instructional content is defined in code 30.2901.</t>
  </si>
  <si>
    <t>30.0501 - Peace Studies and Conflict Resolution.</t>
  </si>
  <si>
    <t>A program that provides individuals with skills in negotiation, mediation, and arbitration, that can be applied to resolve disputes in a variety of settings, including business, legal, domestic, and labor relations.</t>
  </si>
  <si>
    <t>Dispute Resolution.</t>
  </si>
  <si>
    <t>Examples: - Biology and Society</t>
  </si>
  <si>
    <t>Instructional content is defined in code 30.2801. These CIP codes are not valid for IPEDS reporting.</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</si>
  <si>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</si>
  <si>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Human Biology.</t>
  </si>
  <si>
    <t>Examples: - Cultural Studies, - Critical Theory and Analysis</t>
  </si>
  <si>
    <t>Instructional content is defined in code 30.2701.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</si>
  <si>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</si>
  <si>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Cultural Studies/Critical Theory and Analysis.</t>
  </si>
  <si>
    <t>Examples: - Social Studies of Science</t>
  </si>
  <si>
    <t>Instructional content is defined in code 30.2601.</t>
  </si>
  <si>
    <t>42.2701 - Cognitive Psychology and Psycholinguistics.</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</si>
  <si>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</si>
  <si>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Cognitive Science.</t>
  </si>
  <si>
    <t>Neuroscience.</t>
  </si>
  <si>
    <t>05.0200 - Ethnic Studies., 09.0907 - International and Intercultural Communication.</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</si>
  <si>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</si>
  <si>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Intercultural/Multicultural and Diversity Studies.</t>
  </si>
  <si>
    <t>Instructional content is defined in code 30.2301.</t>
  </si>
  <si>
    <t>05.0108 - Near and Middle Eastern Studies.</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</si>
  <si>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</si>
  <si>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Ancient Studies/Civilization.</t>
  </si>
  <si>
    <t>Classical and Ancient Studies.</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</si>
  <si>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</si>
  <si>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Holocaust and Related Studies.</t>
  </si>
  <si>
    <t>Instructional content is defined in code 30.2101.</t>
  </si>
  <si>
    <t>45.0901 - International Relations and Affairs.</t>
  </si>
  <si>
    <t>A program that focuses on global and international issues from the perspective of the social sciences, social services, and related fields.</t>
  </si>
  <si>
    <t>Instructional content is defined in code 30.2001.</t>
  </si>
  <si>
    <t>19.0504 - Human Nutrition., 51.3102 - Clinical Nutrition/Nutritionist.</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</si>
  <si>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</si>
  <si>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Nutrition Sciences.</t>
  </si>
  <si>
    <t>Instructional content is defined in code 30.1901.</t>
  </si>
  <si>
    <t>A program with a combined or undifferentiated focus on one or more of the physical and biological sciences.</t>
  </si>
  <si>
    <t>Natural Sciences.</t>
  </si>
  <si>
    <t>Instructional content is defined in code 30.1801.</t>
  </si>
  <si>
    <t>42.0101 - Psychology, General.</t>
  </si>
  <si>
    <t>A program with a combined or undifferentiated focus on the social sciences, psychology, and biomedical sciences to study complex problems of human individual and social growth and behavior.</t>
  </si>
  <si>
    <t>Behavioral Sciences.</t>
  </si>
  <si>
    <t>Instructional content is defined in code 30.1701.</t>
  </si>
  <si>
    <t>11.0701 - Computer Science., 52.0301 - Accounting.</t>
  </si>
  <si>
    <t>A program that combines accounting with computer science and/or computer studies.</t>
  </si>
  <si>
    <t>Accounting and Computer Science.</t>
  </si>
  <si>
    <t>Instructional content is defined in code 30.1601.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</si>
  <si>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</si>
  <si>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Science, Technology and Society.</t>
  </si>
  <si>
    <t>Examples: - Medieval Studies, - Renaissance Studies</t>
  </si>
  <si>
    <t>Instructional content is defined in code 30.1501.</t>
  </si>
  <si>
    <t>50.1002 - Fine and Studio Arts Management.</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</si>
  <si>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</si>
  <si>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Museology/Museum Studies.</t>
  </si>
  <si>
    <t>Instructional content is defined in code 30.1401.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</si>
  <si>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</si>
  <si>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Medieval and Renaissance Studies.</t>
  </si>
  <si>
    <t>Examples: - Astrobiology</t>
  </si>
  <si>
    <t>Instructional content is defined in code 30.1301.</t>
  </si>
  <si>
    <t>Any instructional program that focuses on architectural design and building techniques for historic and restored structures not listed above.</t>
  </si>
  <si>
    <t>Historic Preservation and Conservation, Other.</t>
  </si>
  <si>
    <t>54.0105 - Public/Applied History.</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</si>
  <si>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</si>
  <si>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Cultural Resource Management and Policy Analysis.</t>
  </si>
  <si>
    <t>Historic Preservation and Conservation.</t>
  </si>
  <si>
    <t>Instructional content for this group of programs is defined in codes 30.1201 - 30.1299.</t>
  </si>
  <si>
    <t>19.0702 - Adult Development and Aging., 42.2809 - Geropsychology.</t>
  </si>
  <si>
    <t>A program that focuses on the human aging process and aged human populations, using the knowledge and methodologies of the social sciences, psychology and the biological and health sciences.</t>
  </si>
  <si>
    <t>Gerontology.</t>
  </si>
  <si>
    <t>Instructional content is defined in code 30.1101.</t>
  </si>
  <si>
    <t>A program that focuses on biological and psychological linkages, especially the linkages between biochemical and biophysical activity and the functioning of the central nervous system.</t>
  </si>
  <si>
    <t>Biopsychology.</t>
  </si>
  <si>
    <t>Instructional content is defined in code 30.1001.</t>
  </si>
  <si>
    <t>11.0701 - Computer Science., 27.0101 - Mathematics, General.</t>
  </si>
  <si>
    <t>A program with a general synthesis of mathematics and computer science or a specialization which draws from mathematics and computer science.</t>
  </si>
  <si>
    <t>Mathematics and Computer Science.</t>
  </si>
  <si>
    <t>Instructional content is defined in code 30.0801.</t>
  </si>
  <si>
    <t>14.2701 - Systems Engineering.</t>
  </si>
  <si>
    <t>A program with a multidisciplinary approach to the analysis and solution of complex problems, requiring a combined approach using data and models from the natural, social, technological, behavioral and life sciences, and other specialized fields.</t>
  </si>
  <si>
    <t>Systems Science and Theory.</t>
  </si>
  <si>
    <t>Instructional content is defined in code 30.0601.</t>
  </si>
  <si>
    <t>30.2801 - Dispute Resolution.</t>
  </si>
  <si>
    <t>A program that focuses on the origins, resolution and prevention of international and inter-group conflicts. Includes instruction in peace research methods and related social scientific and psychological knowledge bases.</t>
  </si>
  <si>
    <t>Peace Studies and Conflict Resolution.</t>
  </si>
  <si>
    <t>Instructional content is defined in code 30.0501.</t>
  </si>
  <si>
    <t>A program that is either a general synthesis of one or more of the biological and physical sciences, or a specialization which draws from the biological and physical sciences.</t>
  </si>
  <si>
    <t>Biological and Physical Sciences.</t>
  </si>
  <si>
    <t>Examples: - Student-Designed Major</t>
  </si>
  <si>
    <t>Instructional content is defined in code 30.0101.</t>
  </si>
  <si>
    <t>A program that derives from two or more distinct programs and that is integrated around a unifying theme or topic that cannot be subsumed under a single discipline or occupational field.</t>
  </si>
  <si>
    <t>Multi-/Interdisciplinary Studies, General.</t>
  </si>
  <si>
    <t>Examples: - Cyberspace Operations, - Electronic Warfare, - Information Warfare</t>
  </si>
  <si>
    <t>Instructional programs that derive from two or more distinct programs to provide a cross-cutting focus on a subject concentration that is not subsumed under a single discipline or occupational field.</t>
  </si>
  <si>
    <t>MULTI/INTERDISCIPLINARY STUDIES.</t>
  </si>
  <si>
    <t>Any instructional program in military technologies and applied sciences not listed above.</t>
  </si>
  <si>
    <t>Military Technologies and Applied Sciences, Other.</t>
  </si>
  <si>
    <t>Instructional content is defined in code 29.9999.</t>
  </si>
  <si>
    <t>Any instructional program in military systems and maintenance technology not listed above.</t>
  </si>
  <si>
    <t>Military Systems and Maintenance Technology, Other.</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</si>
  <si>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</si>
  <si>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Radar Communications and Systems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</si>
  <si>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</si>
  <si>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Munitions Systems/Ordinance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</si>
  <si>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</si>
  <si>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Missile and Space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</si>
  <si>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</si>
  <si>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Military Information Systems Technology.</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</si>
  <si>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</si>
  <si>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Joint Command/Task Force (C3, C4I) Systems.</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</si>
  <si>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</si>
  <si>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Explosive Ordinance/Bomb Disposal.</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</si>
  <si>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</si>
  <si>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Aircraft Armament Systems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</si>
  <si>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</si>
  <si>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 and Space Operations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</si>
  <si>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</si>
  <si>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Aerospace Ground Equipment Technology.</t>
  </si>
  <si>
    <t>Instructional content for this group of programs is defined in codes 29.0401 - 29.0499.</t>
  </si>
  <si>
    <t>Military Systems and Maintenance Technology.</t>
  </si>
  <si>
    <t>Any instructional program in military applied sciences not listed above.</t>
  </si>
  <si>
    <t>Military Applied Sciences, Other.</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</si>
  <si>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</si>
  <si>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Undersea Warfare.</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</si>
  <si>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</si>
  <si>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Operational Oceanography.</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</si>
  <si>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</si>
  <si>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Space Systems Operations.</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</si>
  <si>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</si>
  <si>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Low-Observables and Stealth Technology.</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</si>
  <si>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</si>
  <si>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Engineering Acoustics.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</si>
  <si>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</si>
  <si>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Directed Energy Systems.</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</si>
  <si>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</si>
  <si>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Combat Systems Engineering.</t>
  </si>
  <si>
    <t>Instructional content for this group of programs is defined in codes 29.0301 - 29.0399.</t>
  </si>
  <si>
    <t>Military Applied Sciences.</t>
  </si>
  <si>
    <t>Any instructional program in intelligence, command control and information operations not listed above.</t>
  </si>
  <si>
    <t>Intelligence, Command Control and Information Operations, Other.</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</si>
  <si>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</si>
  <si>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Cyber/Electronic Operations and Warfare.</t>
  </si>
  <si>
    <t>Examples: - Advanced Geospatial Intelligence</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</si>
  <si>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</si>
  <si>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Information/Psychological Warfare and Military Media Relations.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</si>
  <si>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</si>
  <si>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 Operations/Joint Information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</si>
  <si>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</si>
  <si>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Command &amp; Control (C3, C4I) Systems and Operations.</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</si>
  <si>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</si>
  <si>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Signal/Geospatial Intelligence.</t>
  </si>
  <si>
    <t>Examples: - Nuclear Weapons and Counterproliferation, - Combating Weapons of Mass Destruction</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</si>
  <si>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</si>
  <si>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Strategic Intelligence.</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</si>
  <si>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</si>
  <si>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Intelligence, General.</t>
  </si>
  <si>
    <t>Instructional content for this group of programs is defined in codes 29.0201 - 29.0299.</t>
  </si>
  <si>
    <t>Intelligence, Command Control and Information Operations.</t>
  </si>
  <si>
    <t>Instructional programs that prepare individuals in specialized and advanced subject matter for the armed services and related national security organizations, including intelligence operations, military applied sciences, and military technologies.</t>
  </si>
  <si>
    <t>MILITARY TECHNOLOGIES AND APPLIED SCIENCES.</t>
  </si>
  <si>
    <t>Any instructional program in military science, leadership and operational art not listed above. This CIP code is not valid for IPEDS reporting.</t>
  </si>
  <si>
    <t>Military Science, Leadership and Operational Art, Other.</t>
  </si>
  <si>
    <t>Instructional content is defined in code 28.9999. These CIP codes are not valid for IPEDS reporting.</t>
  </si>
  <si>
    <t>Any instructional program in military economics and management not listed above. This CIP code is not valid for IPEDS reporting.</t>
  </si>
  <si>
    <t>Military Economics and Management, Other.</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</si>
  <si>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</si>
  <si>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Installation Management.</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</si>
  <si>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</si>
  <si>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Industry Studies.</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</si>
  <si>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</si>
  <si>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National Resource Strategy and Policy.</t>
  </si>
  <si>
    <t>Instructional content for this group of programs is defined in codes 28.0701 - 28.0799. These CIP codes are not valid for IPEDS reporting.</t>
  </si>
  <si>
    <t>Military Economics and Management.</t>
  </si>
  <si>
    <t>Any instructional program in national security policy and strategy not listed above. This CIP code is not valid for IPEDS reporting.</t>
  </si>
  <si>
    <t>National Security Policy and Strategy, Other.</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</si>
  <si>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</si>
  <si>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Weapons of Mass Destruction.</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</si>
  <si>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</si>
  <si>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Joint Operations Planning and Strategy.</t>
  </si>
  <si>
    <t>Examples: - Special Operations, - Low-Intensity Warfare, - Irregular and Guerilla Warfare, - Terrorism and Counterterorrism</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</si>
  <si>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</si>
  <si>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Military and International Operational Law.</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</si>
  <si>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</si>
  <si>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Strategic Leadership.</t>
  </si>
  <si>
    <t>45.0902 - National Security Policy Studies.</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</si>
  <si>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</si>
  <si>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Strategic Studies, General.</t>
  </si>
  <si>
    <t>Instructional content for this group of programs is defined in codes 28.0601 - 28.0699. These CIP codes are not valid for IPEDS reporting.</t>
  </si>
  <si>
    <t>Security Policy and Strategy.</t>
  </si>
  <si>
    <t>Any instructional program in military science and operational studies not listed above. This CIP code is not valid for IPEDS reporting.</t>
  </si>
  <si>
    <t>Military Science and Operational Studies, Other.</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</si>
  <si>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</si>
  <si>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Special, Irregular and Counterterrorist Operations.</t>
  </si>
  <si>
    <t>Examples: - Strategic Airpower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</si>
  <si>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</si>
  <si>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Naval Science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</si>
  <si>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</si>
  <si>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Advanced Military and Operational 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</si>
  <si>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</si>
  <si>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Military Operational Art and Science/Studies.</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</si>
  <si>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</si>
  <si>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Air and Space Operational Art and Science.</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</si>
  <si>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</si>
  <si>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Air Science/Airpower Studies.</t>
  </si>
  <si>
    <t>Instructional content for this group of programs is defined in codes 28.0501 - 28.0599. These CIP codes are not valid for IPEDS reporting.</t>
  </si>
  <si>
    <t>Military Science and Operational Studies.</t>
  </si>
  <si>
    <t>Any instructional program in Navy/Marine Corps ROTC, naval science and operations not listed above. This CIP code is not valid for IPEDS reporting.</t>
  </si>
  <si>
    <t>Navy/Marine Corps ROTC, Naval Science and Operations, Other.</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</si>
  <si>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</si>
  <si>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JROTC/ROTC.</t>
  </si>
  <si>
    <t>Instructional content for this group of programs is defined in codes 28.0401 - 28.0499. These CIP codes are not valid for IPEDS reporting.</t>
  </si>
  <si>
    <t>Navy/Marine ROTC, Naval Science and Operations.</t>
  </si>
  <si>
    <t>Any instructional program in Army ROTC, military science and operations not listed above. This CIP code is not valid for IPEDS reporting.</t>
  </si>
  <si>
    <t>Army ROTC, Military Science and Operations, Other.</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</si>
  <si>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</si>
  <si>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JROTC/ROTC.</t>
  </si>
  <si>
    <t>Instructional content for this group of programs is defined in codes 28.0301 - 28.0399. These CIP codes are not valid for IPEDS reporting.</t>
  </si>
  <si>
    <t>Army ROTC, Military Science and Operations.</t>
  </si>
  <si>
    <t>Any instructional program in Air Force ROTC, air science and operations not listed above. This CIP code is not valid for IPEDS reporting.</t>
  </si>
  <si>
    <t>Air Force ROTC, Air Science and Operations, Other.</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</si>
  <si>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</si>
  <si>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JROTC/ROTC.</t>
  </si>
  <si>
    <t>Instructional content for this group of programs is defined in codes 28.0101 - 28.0199. These CIP codes are not valid for IPEDS reporting.</t>
  </si>
  <si>
    <t>Air Force ROTC, Air Science and Operations.</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</si>
  <si>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</si>
  <si>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MILITARY SCIENCE, LEADERSHIP AND OPERATIONAL ART.</t>
  </si>
  <si>
    <t>Any instructional program in mathematics and  statistics not listed above.</t>
  </si>
  <si>
    <t>Mathematics and Statistics, Other.</t>
  </si>
  <si>
    <t>Examples: - Mathematical Finance, - Quantitative Finance, - Quantitative and Computational Finance</t>
  </si>
  <si>
    <t>Instructional content is defined in code 27.9999.</t>
  </si>
  <si>
    <t>Any instructional program in statistics not listed above.</t>
  </si>
  <si>
    <t>Statistics, Other.</t>
  </si>
  <si>
    <t>27.0101 - Mathematics, General., 27.0501 - Statistics, General.</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</si>
  <si>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</si>
  <si>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Mathematics and Statistics.</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</si>
  <si>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</si>
  <si>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Mathematical Statistics and Probability.</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</si>
  <si>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</si>
  <si>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Statistics, General.</t>
  </si>
  <si>
    <t>Instructional content for this group of programs is defined in codes 27.0501 - 27.0599.</t>
  </si>
  <si>
    <t>Statistics.</t>
  </si>
  <si>
    <t>Any instructional program in applied mathematics not listed above.</t>
  </si>
  <si>
    <t>Applied Mathematics, Other.</t>
  </si>
  <si>
    <t>26.1101 - Biometry/Biometrics.</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</si>
  <si>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</si>
  <si>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Mathematical Biology.</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</si>
  <si>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</si>
  <si>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Financial Mathematics.</t>
  </si>
  <si>
    <t>Examples: - Fundamental Analysis and Real Variables, - Mathematical Analysis, - Numerical Analysis/Methods/Computation</t>
  </si>
  <si>
    <t>27.0303 - Computational Mathematics., 27.0301 - Applied Mathematics, General.</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</si>
  <si>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</si>
  <si>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Computational and Applied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</si>
  <si>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</si>
  <si>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Mathematics.</t>
  </si>
  <si>
    <t>Applied Mathematics, General.</t>
  </si>
  <si>
    <t>Examples: - Medical Neurobiology, - Computational Neurobiology</t>
  </si>
  <si>
    <t>Instructional content for this group of programs is defined in codes 27.0301 - 27.0399.</t>
  </si>
  <si>
    <t>Applied Mathematics.</t>
  </si>
  <si>
    <t>Any program in mathematics not listed above.</t>
  </si>
  <si>
    <t>Mathematics, Other.</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</si>
  <si>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</si>
  <si>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Topology and Foundations.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</si>
  <si>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</si>
  <si>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Geometry/Geometric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</si>
  <si>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</si>
  <si>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Analysis and Functional Analysis.</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</si>
  <si>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</si>
  <si>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Algebra and Number Theory.</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</si>
  <si>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</si>
  <si>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Mathematics, General.</t>
  </si>
  <si>
    <t>Instructional content for this group of programs is defined in codes 27.0101 - 27.0199.</t>
  </si>
  <si>
    <t>Mathematics.</t>
  </si>
  <si>
    <t>Instructional programs that focus on the systematic study of logical symbolic language and its applications.</t>
  </si>
  <si>
    <t>MATHEMATICS AND STATISTICS.</t>
  </si>
  <si>
    <t>Any instructional program in the biological and biomedical sciences not listed above.</t>
  </si>
  <si>
    <t>Biological and Biomedical Sciences, Other.</t>
  </si>
  <si>
    <t>Instructional content is defined in code 26.9999.</t>
  </si>
  <si>
    <t>Any instructional program in neurobiology and neurosciences not listed above.</t>
  </si>
  <si>
    <t>Neurobiology and Neurosciences, Other.</t>
  </si>
  <si>
    <t>Examples: - Neurobiology and Neurophysiology</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</si>
  <si>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</si>
  <si>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Neurobiology and Behavior.</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</si>
  <si>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</si>
  <si>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Neurobiology and Anatomy.</t>
  </si>
  <si>
    <t>Examples: - Behavioral Neuroscience, - Cognitive Neuroscience, - Computational Neuroscience, - Developmental Neuroscience, - Molecular and Cellular Neuroscience, - Systems Neuroscience</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</si>
  <si>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</si>
  <si>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Neuroanatomy.</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</si>
  <si>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</si>
  <si>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Examples: - Environmental Microbiology</t>
  </si>
  <si>
    <t>Instructional content for this group of programs is defined in codes 26.1501 - 26.1599.</t>
  </si>
  <si>
    <t>Neurobiology and Neurosciences.</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</si>
  <si>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</si>
  <si>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Molecular Medicine.</t>
  </si>
  <si>
    <t>Instructional content is defined in code 26.1401.</t>
  </si>
  <si>
    <t>Any instructional program in ecology, evolution, and systematics not listed above.</t>
  </si>
  <si>
    <t>Ecology, Evolution, Systematics and Population Biology, Other.</t>
  </si>
  <si>
    <t>26.1301 - Ecology., 26.1303 -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</si>
  <si>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</si>
  <si>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Ecology and Evolutionary Biology.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</si>
  <si>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</si>
  <si>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Epidemiology.</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</si>
  <si>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</si>
  <si>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Systematic Biology/Biological Systematics.</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</si>
  <si>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</si>
  <si>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Conservation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</si>
  <si>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</si>
  <si>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Population Biology.</t>
  </si>
  <si>
    <t>03.0104 - Environmental Science.</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</si>
  <si>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</si>
  <si>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Environmental Biology.</t>
  </si>
  <si>
    <t>Examples: - Aquatic Ecology</t>
  </si>
  <si>
    <t>03.0205 - Water, Wetlands, and Marine Resources Management.</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</si>
  <si>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</si>
  <si>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Aquatic Biology/Limnology.</t>
  </si>
  <si>
    <t>Examples: - Ecosystem Science</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</si>
  <si>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</si>
  <si>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Evolutionary Biology.</t>
  </si>
  <si>
    <t>40.0607 - Oceanography, Chemical and Physical., 03.0301 - Fishing and Fisheries Sciences and Management., 30.3201 - Marine Sciences.</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</si>
  <si>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paleocology and palentology; and applications to fields such as fisheries science and biotechnology.</t>
  </si>
  <si>
    <t>Marine Biology and Biological Oceanography.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</si>
  <si>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</si>
  <si>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Ecology.</t>
  </si>
  <si>
    <t>Examples: - Biomathematics</t>
  </si>
  <si>
    <t>Instructional content for this group of programs is defined in codes 26.1301 - 26.1399.</t>
  </si>
  <si>
    <t>Ecology, Evolution, Systematics, and Population Biology.</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</si>
  <si>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</si>
  <si>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Biotechnology.</t>
  </si>
  <si>
    <t>Instructional content is defined in code 26.1201.</t>
  </si>
  <si>
    <t>Any instructional program in biomathematics, bioinformatics, and computational biology not listed above.</t>
  </si>
  <si>
    <t>Biomathematics, Bioinformatics, and Computational Biology, Other.</t>
  </si>
  <si>
    <t>Examples: - Computational and Systems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</si>
  <si>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</si>
  <si>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Computational Biology.</t>
  </si>
  <si>
    <t>Examples: - Neurogenetics, - Proteomics, - Protein Expression</t>
  </si>
  <si>
    <t>51.2706 - Medical Informatics., 11.0104 - 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</si>
  <si>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</si>
  <si>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Bioinformatics.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</si>
  <si>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</si>
  <si>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Biostatistics.</t>
  </si>
  <si>
    <t>27.0306 - Mathematical Biology.</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</si>
  <si>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</si>
  <si>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Biometry/Biometrics.</t>
  </si>
  <si>
    <t>Instructional content for this group of programs is defined in codes 26.1101 - 26.1199.</t>
  </si>
  <si>
    <t>Biomathematics, Bioinformatics, and Computational Biology.</t>
  </si>
  <si>
    <t>Any instructional program in pharmacology and toxicology not listed above.</t>
  </si>
  <si>
    <t>Pharmacology and Toxicology, Other.</t>
  </si>
  <si>
    <t>26.1001 - Pharmacology., 26.1004 - Toxicology.</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</si>
  <si>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</si>
  <si>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Pharmacology and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</si>
  <si>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</si>
  <si>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Environmental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</si>
  <si>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</si>
  <si>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Molecular 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</si>
  <si>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</si>
  <si>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Toxicology.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</si>
  <si>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</si>
  <si>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Neuropharmacology.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</si>
  <si>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</si>
  <si>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Molecular Pharmacology.</t>
  </si>
  <si>
    <t>51.2003 - Pharmaceutics and Drug Design., 51.2010 - Pharmaceutical Sciences.</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</si>
  <si>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</si>
  <si>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Pharmacology.</t>
  </si>
  <si>
    <t>Instructional content for this group of programs is defined in codes 26.1001 - 26.1099.</t>
  </si>
  <si>
    <t>Any instructional program in physiology, pathology, and related sciences not listed above.</t>
  </si>
  <si>
    <t>Physiology, Pathology, and Related Sciences, Other.</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</si>
  <si>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</si>
  <si>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Aerospace Physiology and Medicine.</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</si>
  <si>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</si>
  <si>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Oncology and Cancer Biology.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</si>
  <si>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</si>
  <si>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Pathology/Experimental Pathology.</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</si>
  <si>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</si>
  <si>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Vision Science/Physiological Optics.</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</si>
  <si>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</si>
  <si>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</si>
  <si>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Cardiovascular Science.</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</si>
  <si>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</si>
  <si>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Reproductive Biology.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</si>
  <si>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</si>
  <si>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Endocrinology.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</si>
  <si>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</si>
  <si>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Cell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</si>
  <si>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</si>
  <si>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Molecular Physiology.</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</si>
  <si>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</si>
  <si>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Physiology, General.</t>
  </si>
  <si>
    <t>Instructional content for this group of programs is defined in codes 26.0901 - 26.0999.</t>
  </si>
  <si>
    <t>Physiology, Pathology and Related Sciences.</t>
  </si>
  <si>
    <t>Any instructional program in genetics not listed above.</t>
  </si>
  <si>
    <t>Genetics, Other.</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</si>
  <si>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</si>
  <si>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Genome Sciences/Genomics.</t>
  </si>
  <si>
    <t>51.0914 - Gene/Genetic Therapy., 51.1010 - Cytogenetics/Genetics/Clinical Genetics Technology/Technologist., 51.1509 - Genetic Counseling/Counselor.</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</si>
  <si>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</si>
  <si>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Human/Medical Genetics.</t>
  </si>
  <si>
    <t>01.1104 - Agricultural and Horticultural Plant Breeding.</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</si>
  <si>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</si>
  <si>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Plant Genetics.</t>
  </si>
  <si>
    <t>01.0902 - Agricultural Animal Breeding.</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</si>
  <si>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</si>
  <si>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Animal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</si>
  <si>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</si>
  <si>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Microbial and Eukaryotic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</si>
  <si>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</si>
  <si>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Molecular Genetics.</t>
  </si>
  <si>
    <t>Examples: - Medical Microbiology and Immunology</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</si>
  <si>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</si>
  <si>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Genetics, General.</t>
  </si>
  <si>
    <t>Instructional content for this group of programs is defined in codes 26.0801 - 26.0899.</t>
  </si>
  <si>
    <t>Genetics.</t>
  </si>
  <si>
    <t>Any instructional program in zoology/animal biology not listed above.</t>
  </si>
  <si>
    <t>Zoology/Animal Biology, Other.</t>
  </si>
  <si>
    <t>03.0601 - Wildlife, Fish and Wildlands Science and Management.</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</si>
  <si>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</si>
  <si>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Wildlife Biology.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</si>
  <si>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</si>
  <si>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Animal Behavior and Ethology.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</si>
  <si>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</si>
  <si>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Physiology.</t>
  </si>
  <si>
    <t>01.1105 - Plant Protection and Integrated Pest Management.</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</si>
  <si>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</si>
  <si>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Entomology.</t>
  </si>
  <si>
    <t>01.0901 - Animal Sciences, General.</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</si>
  <si>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</si>
  <si>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Zoology/Animal Biology.</t>
  </si>
  <si>
    <t>Instructional content for this group of programs is defined in codes 26.0701 - 26.0799.</t>
  </si>
  <si>
    <t>Any instructional program in the microbiological sciences and immunology not listed above.</t>
  </si>
  <si>
    <t>Microbiological Sciences and Immunology, Other.</t>
  </si>
  <si>
    <t>26.0502 - Microbiology, General., 26.0507 -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</si>
  <si>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</si>
  <si>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Microbiology and Immunology.</t>
  </si>
  <si>
    <t>Examples: - Cell and Developmental Biology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</si>
  <si>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</si>
  <si>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Immunology.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</si>
  <si>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</si>
  <si>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Mycology.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</si>
  <si>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</si>
  <si>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Parasitology.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</si>
  <si>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</si>
  <si>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Virology.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</si>
  <si>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</si>
  <si>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Medical Microbiology and Bacteriology.</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</si>
  <si>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</si>
  <si>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Microbiology, General.</t>
  </si>
  <si>
    <t>Instructional content for this group of programs is defined in codes 26.0502 - 26.0599.</t>
  </si>
  <si>
    <t>Microbiological Sciences and Immunology.</t>
  </si>
  <si>
    <t>Any instructional program in cell/cellular biology and anatomical sciences not listed above.</t>
  </si>
  <si>
    <t>Cell/Cellular Biology and Anatomical Sciences, Other.</t>
  </si>
  <si>
    <t>Examples: - Phycology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</si>
  <si>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</si>
  <si>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 Biology and Anatomy.</t>
  </si>
  <si>
    <t>An integrated, combined program that focuses on the scientific study of cells, cellular systems, and the molecular basis of cell structure and function.  Includes instruction in cell biology, cell chemistry, molecular biology, biophysics, and structural biology.</t>
  </si>
  <si>
    <t>Cell/Cellular and Molecular Biology.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</si>
  <si>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</si>
  <si>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Developmental Biology and Embryology.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</si>
  <si>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</si>
  <si>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Anatomy.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</si>
  <si>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</si>
  <si>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Cell/Cellular Biology and Histology.</t>
  </si>
  <si>
    <t>Instructional content for this group of programs is defined in codes 26.0401 - 26.0499.</t>
  </si>
  <si>
    <t>Cell/Cellular Biology and Anatomical Sciences.</t>
  </si>
  <si>
    <t>Any instructional program in botany/plant biology not listed above.</t>
  </si>
  <si>
    <t>Botany/Plant Biology, Other.</t>
  </si>
  <si>
    <t>Examples: - Comparative Biochemistry</t>
  </si>
  <si>
    <t>01.1101 - Plant Sciences, General.</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</si>
  <si>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</si>
  <si>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Plant Molecular Biology.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</si>
  <si>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</si>
  <si>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Physiology.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</si>
  <si>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</si>
  <si>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Pathology/Phytopathology.</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</si>
  <si>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</si>
  <si>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Botany/Plant Biology.</t>
  </si>
  <si>
    <t>Instructional content for this group of programs is defined in codes 26.0301 - 26.0399.</t>
  </si>
  <si>
    <t>Any instructional program in biochemistry, biophysics and molecular biology not listed above.</t>
  </si>
  <si>
    <t>Biochemistry, Biophysics and Molecular Biology, Other.</t>
  </si>
  <si>
    <t>Examples: - Library Assistant, - Library Technician, - Archives Assistant, - Archives Technician</t>
  </si>
  <si>
    <t>26.0204 - Molecular Biology., 26.0202 - Biochemistry.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</si>
  <si>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</si>
  <si>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Biochemistry and Molecular 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</si>
  <si>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</si>
  <si>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Radiation Biology/Radiobiology.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</si>
  <si>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</si>
  <si>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Photobiology.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</si>
  <si>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</si>
  <si>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Structural Biology.</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</si>
  <si>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</si>
  <si>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Molecular Biophysics.</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</si>
  <si>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</si>
  <si>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Biochemistry.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</si>
  <si>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</si>
  <si>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Biology.</t>
  </si>
  <si>
    <t>51.2205 - Health/Medical  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</si>
  <si>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</si>
  <si>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Biophysics.</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</si>
  <si>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</si>
  <si>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Biochemistry.</t>
  </si>
  <si>
    <t>Instructional content for this group of programs is defined in codes 26.0202 - 26.0299.</t>
  </si>
  <si>
    <t>Biochemistry, Biophysics and Molecular Biology.</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</si>
  <si>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</si>
  <si>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Biomedical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</si>
  <si>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</si>
  <si>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Biology/Biological Sciences, General.</t>
  </si>
  <si>
    <t>Instructional content for this group of programs is defined in codes 26.0101 - 26.0102.</t>
  </si>
  <si>
    <t>Biology, General.</t>
  </si>
  <si>
    <t>Instructional programs that focus on the biological sciences and the non-clinical biomedical sciences, and that prepare individuals for research and professional careers as biologists and biomedical scientists.</t>
  </si>
  <si>
    <t>BIOLOGICAL AND BIOMEDICAL SCIENCES.</t>
  </si>
  <si>
    <t>Any instructional program in library science not listed above.</t>
  </si>
  <si>
    <t>Library Science, Other.</t>
  </si>
  <si>
    <t>Instructional content is defined in code 25.9999.</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</si>
  <si>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</si>
  <si>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Library and Archives Assisting.</t>
  </si>
  <si>
    <t>Examples: - Archival Administration and Records Management, - Archival Studies, - Records Management</t>
  </si>
  <si>
    <t>Instructional content is defined in code 25.0301.</t>
  </si>
  <si>
    <t>Any instructional program in library science and administration not listed above.</t>
  </si>
  <si>
    <t>Library Science and Administration, Other.</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</si>
  <si>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</si>
  <si>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Archives/Archival Administration.</t>
  </si>
  <si>
    <t>Examples: - Children's Library Services, - Youth Library Services, - Young Adult Library Services</t>
  </si>
  <si>
    <t>23.1405 - Children's and Adolescent Literature.</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</si>
  <si>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</si>
  <si>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Children and Youth Library Services.</t>
  </si>
  <si>
    <t>Examples: - Library Management</t>
  </si>
  <si>
    <t>13.1334 - School Librarian/School Library Media Specialist., 11.0401 - Information Science/Studies.</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</si>
  <si>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</si>
  <si>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Library and Information Science.</t>
  </si>
  <si>
    <t>Examples: - Undeclared Major, - Undecided</t>
  </si>
  <si>
    <t>Instructional content for this group of programs is defined in codes 25.0101 - 25.0199.</t>
  </si>
  <si>
    <t>Library Science and Administration.</t>
  </si>
  <si>
    <t>Instructional programs that focus on the knowledge and skills required for managing and/or maintaining libraries and related information and record systems,  collections and facilities for research and general use.</t>
  </si>
  <si>
    <t>LIBRARY SCIENCE.</t>
  </si>
  <si>
    <t>Any single instructional program in liberal arts and sciences, general studies and humanities not listed above.</t>
  </si>
  <si>
    <t>Liberal Arts and Sciences, General Studies and Humanities, Other.</t>
  </si>
  <si>
    <t>A program that focuses on combined studies and research in the humanities subjects as distinguished from the social and physical sciences, emphasizing languages, literatures, art, music, philosophy and religion.</t>
  </si>
  <si>
    <t>Humanities/Humanistic Studies.</t>
  </si>
  <si>
    <t>An undifferentiated program that includes instruction in the general arts, general science, or unstructured studies.</t>
  </si>
  <si>
    <t>General Studies.</t>
  </si>
  <si>
    <t>Examples: - Writing and Literature</t>
  </si>
  <si>
    <t>A program that is a structured combination of the arts, biological and physical sciences, social sciences, and humanities, emphasizing breadth of study.  Includes instruction in independently designed, individualized, or regular programs.</t>
  </si>
  <si>
    <t>Liberal Arts and Sciences/Liberal Studies.</t>
  </si>
  <si>
    <t>Instructional content for this group of programs is defined in codes 24.0101 - 24.0199.</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</si>
  <si>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</si>
  <si>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</si>
  <si>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</si>
  <si>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Any instructional program in English language and literature not listed above.</t>
  </si>
  <si>
    <t>English Language and Literature/Letters, Other.</t>
  </si>
  <si>
    <t>Examples: - Literature for Children and Young Adults</t>
  </si>
  <si>
    <t>Instructional content is defined in code 23.9999.</t>
  </si>
  <si>
    <t>16.0104 - Comparative Literature.</t>
  </si>
  <si>
    <t>Any instructional program in English language literature not listed above.</t>
  </si>
  <si>
    <t>Literature, Other.</t>
  </si>
  <si>
    <t>25.0102 - Children and Youth Library Services.</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</si>
  <si>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</si>
  <si>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Children's and Adolescent Literature.</t>
  </si>
  <si>
    <t>Examples: - Literary Studies</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</si>
  <si>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</si>
  <si>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English Literature (British and Commonwealth).</t>
  </si>
  <si>
    <t>A program that focuses on the literature and literary development, both formal and folkloric, of Canada from its origins to the present.  Includes instruction in period and genre studies, author studies, literary criticism, and regional and oral traditions.</t>
  </si>
  <si>
    <t>American Literature (Canadian).</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</si>
  <si>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</si>
  <si>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American Literature (United States).</t>
  </si>
  <si>
    <t>A program that focuses on literature from one or more genres, cultures or traditions. Includes instruction in period and genre studies, author studies, literary criticism, and studies of various types of literary text.</t>
  </si>
  <si>
    <t>General Literature.</t>
  </si>
  <si>
    <t>Examples: - Rhetoric and Writing, - Rhetoric and Writing Studies, - Rhetoric and Composition</t>
  </si>
  <si>
    <t>Instructional content for this group of programs is defined in codes 23.1401 - 23.1499.</t>
  </si>
  <si>
    <t>Literature.</t>
  </si>
  <si>
    <t>Any instructional program in rhetoric and composition/writing studies not listed above.</t>
  </si>
  <si>
    <t>Rhetoric and Composition/Writing Studies, Other.</t>
  </si>
  <si>
    <t>09.0101 - Speech Communication and Rhetoric.</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</si>
  <si>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</si>
  <si>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Rhetoric and Composition.</t>
  </si>
  <si>
    <t>Examples: - Biomedical Writing, - Medical Writing, - Professional, Technical, and Scientific Writing/Communication</t>
  </si>
  <si>
    <t>09.0908 - Technical and Scientific Communication.</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</si>
  <si>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</si>
  <si>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Professional, Technical, Business, and Scientific Writing.</t>
  </si>
  <si>
    <t>Examples: - English Composition, - Writing</t>
  </si>
  <si>
    <t>50.0504 - Playwriting and Screenwriting.</t>
  </si>
  <si>
    <t>A program that focuses on the process and techniques of original composition in various literary forms such as the short story, poetry, the novel, and others.  Includes instruction in technical and editorial skills, criticism, and the marketing of finished manuscripts.</t>
  </si>
  <si>
    <t>Creative Writing.</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</si>
  <si>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</si>
  <si>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Writing, General.</t>
  </si>
  <si>
    <t>Examples: - Intellectual Property Law ( LL.M.), - Intellectual Property Law (J.S.D./S.J.D.)</t>
  </si>
  <si>
    <t>Instructional content for this group of programs is defined in codes 23.1301 - 23.1399.</t>
  </si>
  <si>
    <t>Rhetoric and Composition/Writing Studies.</t>
  </si>
  <si>
    <t>A general program that focuses on the English language, including its history, structure and related communications skills; and the literature and culture of English-speaking peoples.</t>
  </si>
  <si>
    <t>English Language and Literature, General.</t>
  </si>
  <si>
    <t>Instructional content is defined in code 23.0101.</t>
  </si>
  <si>
    <t>Instructional programs that focus on the structure and use of the English language and dialects, speech, writing, and various aspects of the literatures and cultures of the English-speaking peoples.</t>
  </si>
  <si>
    <t>ENGLISH LANGUAGE AND LITERATURE/LETTERS.</t>
  </si>
  <si>
    <t>Any program in law, legal services, and legal studies not listed above.</t>
  </si>
  <si>
    <t>Legal Professions and Studies, Other.</t>
  </si>
  <si>
    <t>Instructional content is defined in code 22.9999.</t>
  </si>
  <si>
    <t>Any program in legal support services not listed above.</t>
  </si>
  <si>
    <t>Legal Support Services, Other.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</si>
  <si>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</si>
  <si>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</si>
  <si>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Legal Assistant/Paralegal.</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</si>
  <si>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</si>
  <si>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Administrative Assistant/Secretary.</t>
  </si>
  <si>
    <t>Instructional content for this group of programs is defined in codes 22.0301 - 22.0399.</t>
  </si>
  <si>
    <t>Legal Support Services.</t>
  </si>
  <si>
    <t>Any program in legal research and advanced professional studies not listed above.</t>
  </si>
  <si>
    <t>Legal Research and Advanced Professional Studies, Other.</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</si>
  <si>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</si>
  <si>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Intellectual Property Law.</t>
  </si>
  <si>
    <t>Examples: - Tax Law/Taxation (LL.M.), - Tax Law/Taxation (J.S.D./S.J.D.)</t>
  </si>
  <si>
    <t>An advanced, professional study of tax law and taxation procedures in U.S. or Canadian jurisdictions affecting individuals and corporations.</t>
  </si>
  <si>
    <t>Tax Law/Taxation.</t>
  </si>
  <si>
    <t>Examples: - International Business, Trade, and Tax Law (LL.M.), - International Business, Trade, and Tax Law (J.S.D./S.J.D.)</t>
  </si>
  <si>
    <t>An advanced, professional study of the law, policies, and regulations governing transnational business and commercial practices, including the specialized tax law related to international financial transactions.</t>
  </si>
  <si>
    <t>International Business, Trade, and Tax Law.</t>
  </si>
  <si>
    <t>Examples: - International Law and Legal Studies (LL.M.), - International Law and Legal Studies (J.S.D./S.J.D.)</t>
  </si>
  <si>
    <t>An advanced, professional study of the law affecting relations between nations, the behavior of international organizations, and the international activities of private citizens and organizations.</t>
  </si>
  <si>
    <t>International Law and Legal Studies.</t>
  </si>
  <si>
    <t>An advanced, professional study of the law, policies and regulations affecting the health care industry, health professions, health services and insurance industries, and patients.</t>
  </si>
  <si>
    <t>Health Law.</t>
  </si>
  <si>
    <t>Examples: - Energy, Environment, and Natural Resources Law (LL.M., M.S.), - Energy, Environment, and Natural Resources Law (J.S.D./S.J.D.)</t>
  </si>
  <si>
    <t>An advanced, professional study of  the law, policies, and regulations governing the energy industry, environmental protection, natural resources and land use, and related topics.</t>
  </si>
  <si>
    <t>Energy, Environment, and Natural Resources Law.</t>
  </si>
  <si>
    <t>Examples: - Comparative Law (LL.M., M.C.L.), - Comparative Law (J.S.D./S.J.D.)</t>
  </si>
  <si>
    <t>An advanced, professional study of legal systems and philosophies in comparative perspective.</t>
  </si>
  <si>
    <t>Comparative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</si>
  <si>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</si>
  <si>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Banking, Corporate, Finance, and Securities Law.</t>
  </si>
  <si>
    <t>Examples: - Canadian Law/Legal Studies/Jurisprudence (LL.M., M.C.J.), - Canadian Law/Legal Studies/Jurisprudence (J.S.D./S.J.D.)</t>
  </si>
  <si>
    <t>An advanced, professional study of the Canadian legal system, Constitution law, and jurisprudence.  Includes instruction in legal history, legal sociology, philosophy of law, Constitutional law, Commonwealth law, legal procedure, and related topics.</t>
  </si>
  <si>
    <t>Canadian Law/Legal Studies/Jurisprudence.</t>
  </si>
  <si>
    <t>Examples: - American/U.S. Law/Legal Studies/Jurisprudence (LL.M., M.C.J.), - American/U.S. Law/Legal Studies/Jurisprudence (J.S.D./S.J.D.)</t>
  </si>
  <si>
    <t>An advanced, professional program of the U.S. legal system, Constitution law, and jurisprudence.  Includes instruction in legal history, legal sociology, philosophy of law, Constitutional law, legal procedure, and related topics.</t>
  </si>
  <si>
    <t>American/U.S. Law/Legal Studies/Jurisprudence.</t>
  </si>
  <si>
    <t>Examples: - Programs for Foreign Lawyers (LL.M., M.C.L.)</t>
  </si>
  <si>
    <t>A program that prepares lawyers educated outside the United States to understand U. S. or Canadian law and jurisprudence.</t>
  </si>
  <si>
    <t>Programs for Foreign Lawyers.</t>
  </si>
  <si>
    <t>Examples: - Advanced Legal Research/Studies, General (LL.M., M.C.L., M.L.I., M.S.L.), - Advanced Legal Research/Studies, General (J.S.D./S.J.D.)</t>
  </si>
  <si>
    <t>An integrated or undifferentiated program in one or more of  the legal research or advanced practice fields.</t>
  </si>
  <si>
    <t>Advanced Legal Research/Studies, General.</t>
  </si>
  <si>
    <t>Examples: - Law (LL.B.), - Law (J.D.)</t>
  </si>
  <si>
    <t>Instructional content for this group of programs is defined in codes 22.0201 - 22.0299.</t>
  </si>
  <si>
    <t>Legal Research and Advanced Professional Studies.</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</si>
  <si>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</si>
  <si>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Law.</t>
  </si>
  <si>
    <t>Examples: - Product Design Engineering Technology</t>
  </si>
  <si>
    <t>Instructional content is defined in code 22.0101.</t>
  </si>
  <si>
    <t>A program that prepares individuals for the professional study of law at the post-baccalaureate level.</t>
  </si>
  <si>
    <t>Pre-Law Studies.</t>
  </si>
  <si>
    <t>Instructional programs that prepare individuals for the legal profession, for related support professions and professional legal research, and focus on the study of legal issues in non-professional programs.</t>
  </si>
  <si>
    <t>LEGAL PROFESSIONS AND STUDIES.</t>
  </si>
  <si>
    <t>Any instructional program in family and consumer sciences/human sciences not listed above.</t>
  </si>
  <si>
    <t>Family and Consumer Sciences/Human Sciences, Other.</t>
  </si>
  <si>
    <t>Instructional content is defined in code 19.9999.</t>
  </si>
  <si>
    <t>Any instructional program in apparel and textiles not listed above.</t>
  </si>
  <si>
    <t>Apparel and Textiles, Other.</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</si>
  <si>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</si>
  <si>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Fashion and Fabric Consultant.</t>
  </si>
  <si>
    <t>52.1902 - Fashion Merchandising.</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</si>
  <si>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</si>
  <si>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Apparel and Textile Marketing Management.</t>
  </si>
  <si>
    <t>14.2801 - Textile Sciences and Engineering.</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</si>
  <si>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</si>
  <si>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Textile Science.</t>
  </si>
  <si>
    <t>50.0407 - Fashion/Apparel Design., 50.0712 - Fiber, Textile and Weaving Arts.</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</si>
  <si>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</si>
  <si>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Apparel and Textile Manufacture.</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</si>
  <si>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</si>
  <si>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Textiles, General.</t>
  </si>
  <si>
    <t>Instructional content for this group of programs is defined in codes 19.0901 - 19.0999.</t>
  </si>
  <si>
    <t>Apparel and Textiles.</t>
  </si>
  <si>
    <t>Any instructional program in human development, family studies, and related services not listed above.</t>
  </si>
  <si>
    <t>Human Development, Family Studies, and Related Services, Other.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</si>
  <si>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</si>
  <si>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Developmental Services Worker.</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</si>
  <si>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</si>
  <si>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Child Care Provider/Assistant.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</si>
  <si>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</si>
  <si>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and Support Services Management.</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</si>
  <si>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</si>
  <si>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Family and Community Services.</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</si>
  <si>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</si>
  <si>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Child Development.</t>
  </si>
  <si>
    <t>42.2811 - Family Psychology., 51.1505 - Marriage and Family Therapy/Counseling.</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</si>
  <si>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</si>
  <si>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Family Systems.</t>
  </si>
  <si>
    <t>42.2809 - Geropsychology., 30.1101 - Gerontology.</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</si>
  <si>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</si>
  <si>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Adult Development and Aging.</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</si>
  <si>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</si>
  <si>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Human Development and Family Studies, General.</t>
  </si>
  <si>
    <t>Instructional content for this group of programs is defined in codes 19.0701 - 19.0799.</t>
  </si>
  <si>
    <t>Human Development, Family Studies, and Related Services.</t>
  </si>
  <si>
    <t>Any instructional program in housing and human environments not listed above.</t>
  </si>
  <si>
    <t>Housing and Human Environments, Other.</t>
  </si>
  <si>
    <t>A program that prepares individuals to assist in home furnishings and decorations. Includes instruction in selecting, purchasing, and designing home furnishings, decorations, and equipment; floral design; accessory construction; textiles; and upholstery.</t>
  </si>
  <si>
    <t>Home Furnishings and Equipment Installers.</t>
  </si>
  <si>
    <t>52.0907 - Meeting and Event Planning.</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</si>
  <si>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</si>
  <si>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Facilities Planning and Management.</t>
  </si>
  <si>
    <t>04.0401 - Environmental Design/Architecture., 50.0408 - Interior Design.</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</si>
  <si>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</si>
  <si>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Housing and Human Environments, General.</t>
  </si>
  <si>
    <t>Instructional content for this group of programs is defined in codes 19.0601 - 19.0699.</t>
  </si>
  <si>
    <t>Housing and Human Environments.</t>
  </si>
  <si>
    <t>12.0509 - Culinary Science/Culinology.</t>
  </si>
  <si>
    <t>Any instructional program in foods, nutrition, and related services not listed above.</t>
  </si>
  <si>
    <t>Foods, Nutrition, and Related Services, Other.</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</si>
  <si>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</si>
  <si>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Foodservice Systems Administration/Management.</t>
  </si>
  <si>
    <t>51.3102 - Clinical Nutrition/Nutritionist., 30.1901 - Nutrition Sciences.</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</si>
  <si>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</si>
  <si>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Human Nutrition.</t>
  </si>
  <si>
    <t>01.1001 - Food Science.</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</si>
  <si>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</si>
  <si>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Foods, Nutrition, and Wellness Studies, General.</t>
  </si>
  <si>
    <t>Instructional content for this group of programs is defined in codes 19.0501 - 19.0599.</t>
  </si>
  <si>
    <t>Foods, Nutrition, and Related Services.</t>
  </si>
  <si>
    <t>Any instructional program in family and consumer economics and related services not listed above.</t>
  </si>
  <si>
    <t>Family and Consumer Economics and Related Services, Other.</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</si>
  <si>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</si>
  <si>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Consumer Services and Advocacy.</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</si>
  <si>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</si>
  <si>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Economics.</t>
  </si>
  <si>
    <t>52.0804 - Financial Planning and Services.</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</si>
  <si>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</si>
  <si>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Family Resource Management Studies, General.</t>
  </si>
  <si>
    <t>Instructional content for this group of programs is defined in codes 19.0401 - 19.0499.</t>
  </si>
  <si>
    <t>Family and Consumer Economics and Related Studies.</t>
  </si>
  <si>
    <t>Any instructional program in family and consumer sciences/human sciences business services not listed above.</t>
  </si>
  <si>
    <t>Family and Consumer Sciences/Human Sciences Business Services, Other.</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</si>
  <si>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</si>
  <si>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Consumer Merchandising/Retailing Management.</t>
  </si>
  <si>
    <t>A program that focuses on communication of human sciences subject matter and related consumer information to a variety of audiences through print and non-print media.</t>
  </si>
  <si>
    <t>Family and Consumer Sciences/Human Sciences Communication.</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</si>
  <si>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</si>
  <si>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Business Family and Consumer Sciences/Human Sciences.</t>
  </si>
  <si>
    <t>Instructional content for this group of programs is defined in codes 19.0201 - 19.0299.</t>
  </si>
  <si>
    <t>Family and Consumer Sciences/Human Sciences Business Services.</t>
  </si>
  <si>
    <t>13.1308 - Family and Consumer Sciences/Home Economics Teacher Education.</t>
  </si>
  <si>
    <t>A general program that focuses on family and consumer sciences, including how individuals develop and function in family, work, and community settings and how they relate to their physical, social, emotional, and intellectual environments.</t>
  </si>
  <si>
    <t>Family and Consumer Sciences/Human Sciences, General.</t>
  </si>
  <si>
    <t>Instructional content is defined in code 19.0101.</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</si>
  <si>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</si>
  <si>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Work and Family Studies.</t>
  </si>
  <si>
    <t>Instructional programs that focus on the human interface with the physical, social, emotional, and intellectual environments and the developmental stages and needs of individuals in the interrelated spheres of family, workplace, and community.</t>
  </si>
  <si>
    <t>FAMILY AND CONSUMER SCIENCES/HUMAN SCIENCES.</t>
  </si>
  <si>
    <t>Any instructional program in foreign languages, literatures, and linguistics not listed above.</t>
  </si>
  <si>
    <t>Foreign Languages, Literatures, and Linguistics, Other.</t>
  </si>
  <si>
    <t>Instructional content is defined in code 16.9999.</t>
  </si>
  <si>
    <t>Any instructional program that focuses on American Sign Language as a communication medium or language skill that is not listed above.</t>
  </si>
  <si>
    <t>American Sign Language, Other.</t>
  </si>
  <si>
    <t>A program that prepares individuals to function as simultaneous interpreters of American Sign Language</t>
  </si>
  <si>
    <t>Sign Language Interpretation and Translation.</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</si>
  <si>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</si>
  <si>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Linguistics of ASL and Other Sign Languages.</t>
  </si>
  <si>
    <t>05.0211 - Deaf Studies.</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</si>
  <si>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</si>
  <si>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American Sign Language (ASL).</t>
  </si>
  <si>
    <t>Instructional content for this group of programs is defined in codes 16.1601 - 16.1699.</t>
  </si>
  <si>
    <t>American Sign Language.</t>
  </si>
  <si>
    <t>Any instructional program in the Turkic, Uralic-Altaic, Caucasian, and Central Asian languages, literatures, and linguistics not listed above.</t>
  </si>
  <si>
    <t>Turkic, Uralic-Altaic, Caucasian, and Central Asian Languages, Literatures, and Linguistics, Other.</t>
  </si>
  <si>
    <t>A program that focuses on the Mongolian language. Includes instruction in philology; dialects; oral and written literature; and applications to business, science/technology, and other settings.</t>
  </si>
  <si>
    <t>Mongolian Language and Literature.</t>
  </si>
  <si>
    <t>A program that focuses on the Hungarian language. Includes instruction in philology; literature; and applications to business, science/technology, and other settings.</t>
  </si>
  <si>
    <t>Hungarian/Magyar Language and Literature.</t>
  </si>
  <si>
    <t>A program that focuses on Uralic languages, including, but not limited to, Finnish, Estonian, Karelian, and Sami. Includes instruction in philology; oral and written literatures; and applications to business, science/technology, and other settings.</t>
  </si>
  <si>
    <t>Uralic Languages, Literatures, and Linguistics.</t>
  </si>
  <si>
    <t>A program that focuses on the Turkish language in either or both of its pre-modern and modern variants. Includes instruction in philology; Ottoman Turkish; Modern Turkish; dialects; and applications to business, science/technology, and other settings.</t>
  </si>
  <si>
    <t>Turkish Language and Literature.</t>
  </si>
  <si>
    <t>Instructional content for this group of programs is defined in codes 16.1501 - 16.1599.</t>
  </si>
  <si>
    <t>Turkic, Uralic-Altaic, Caucasian, and Central Asian Languages, Literatures, and Linguistics.</t>
  </si>
  <si>
    <t>Any instructional program in Southeast Asian and Australasian/Pacific languages, literatures, and linguistics not listed above.</t>
  </si>
  <si>
    <t>Southeast Asian and Australasian/Pacific Languages, Literatures, and Linguistics, Other.</t>
  </si>
  <si>
    <t>A program that focuses on the Vietnamese language. Includes instruction in philology; dialects; literature; and applications to business, science/technology, and other settings.</t>
  </si>
  <si>
    <t>Vietnamese Language and Literature.</t>
  </si>
  <si>
    <t>A program that focuses on the Thai languages.  Includes instruction in philology; dialects; literature; and applications to business, science/technology, and other settings.</t>
  </si>
  <si>
    <t>Thai Language and Literature.</t>
  </si>
  <si>
    <t>A program that focuses on the Lao language. Includes instruction in philology; dialects; literature; and applications to business, science/technology, and other settings.</t>
  </si>
  <si>
    <t>Lao Language and Literature.</t>
  </si>
  <si>
    <t>A program that focuses on the Khmer language as spoken in Cambodia. Includes instruction in philology; literature; and applications to business, science/technology, and other settings.</t>
  </si>
  <si>
    <t>Khmer/Cambodian Language and Literature.</t>
  </si>
  <si>
    <t>A program that focuses on the modern Filipino/Tagalog language as used in the Philippines.  Includes instruction in philology; literature; and applications to business, science/technology, and other settings.</t>
  </si>
  <si>
    <t>Filipino/Tagalog Language and Literature.</t>
  </si>
  <si>
    <t>A program that focuses on the Burmese language.  Includes instruction in philology; literature; and applications to business, science/technology, and other settings.</t>
  </si>
  <si>
    <t>Burmese Language and Literature.</t>
  </si>
  <si>
    <t>A program that focuses on the Malay and Indonesian languages. Includes instruction in philology; dialects; and applications to business, science/technology, and other settings.</t>
  </si>
  <si>
    <t>Indonesian/Malay Languages and Literatures.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</si>
  <si>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</si>
  <si>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Australian/Oceanic/Pacific Languages, Literatures, and Linguistics.</t>
  </si>
  <si>
    <t>A general program that focuses on one or more of the modern languages spoken in mainland Southeast Asia and the Indonesian and Philippines Archipelagoes, including, but not limited to, members of the Thai, Tibeto-Burman, and Malayo-Polynesian language families.</t>
  </si>
  <si>
    <t>Southeast Asian Languages, Literatures, and Linguistics, General.</t>
  </si>
  <si>
    <t>Instructional content for this group of programs is defined in codes 16.1400 - 16.1499.</t>
  </si>
  <si>
    <t>Southeast Asian and Australasian/Pacific Languages, Literatures, and Linguistics.</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</si>
  <si>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</si>
  <si>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Celtic Languages, Literatures, and Linguistics.</t>
  </si>
  <si>
    <t>Instructional content is defined in code 16.1301.</t>
  </si>
  <si>
    <t>Any instructional program in classics and classical languages, literatures, and linguistics not listed above.</t>
  </si>
  <si>
    <t>Classics and Classical Languages, Literatures, and Linguistics, Other.</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</si>
  <si>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</si>
  <si>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Latin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</si>
  <si>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</si>
  <si>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Ancient/Classical Greek Language and Literature.</t>
  </si>
  <si>
    <t>A general program that focuses on the literary culture of the ancient Graeco-Roman world and the Greek and Latin languages and literatures and their development prior to the fall of the Roman Empire.</t>
  </si>
  <si>
    <t>Classics and Classical Languages, Literatures, and Linguistics, General.</t>
  </si>
  <si>
    <t>Instructional content for this group of programs is defined in codes 16.1200 - 16.1299.</t>
  </si>
  <si>
    <t>Classics and Classical Languages, Literatures, and Linguistics.</t>
  </si>
  <si>
    <t>Any instructional program in Middle/Near Eastern and Semitic languages, literatures, and linguistics not listed above.</t>
  </si>
  <si>
    <t>Middle/Near Eastern and Semitic Languages, Literatures, and Linguistics, Other.</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</si>
  <si>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</si>
  <si>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Ancient Near Eastern and Biblical Languages, Literatures, and Linguistics.</t>
  </si>
  <si>
    <t>A program that focuses on the Hebrew language. Includes instruction in philology; Biblical Hebrew (including Pre- and Post-Exilic scripts); Modern Hebrew; dialects; and applications to business, science/technology, and other settings.</t>
  </si>
  <si>
    <t>Hebrew Language and Literature.</t>
  </si>
  <si>
    <t>A program that focuses on the Arabic language. Includes instruction in philology; Classical Arabic; Modern Standard Arabic; dialects; and applications to business, science/technology, and other settings.</t>
  </si>
  <si>
    <t>Arabic Language and Literature.</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</si>
  <si>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</si>
  <si>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Middle/Near Eastern and Semitic Languages, Literatures, and Linguistics, General.</t>
  </si>
  <si>
    <t>Instructional content for this group of programs is defined in codes 16.1100 - 16.1199.</t>
  </si>
  <si>
    <t>Middle/Near Eastern and Semitic Languages, Literatures, and Linguistics.</t>
  </si>
  <si>
    <t>American Indian/Native American Languages, Literatures, and Linguistics.</t>
  </si>
  <si>
    <t>Instructional content is defined in code 16.1001.</t>
  </si>
  <si>
    <t>Any instructional program in Romance languages, literatures, and linguistics not listed above.</t>
  </si>
  <si>
    <t>Romance Languages, Literatures, and Linguistics, Other.</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</si>
  <si>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</si>
  <si>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Hispanic and Latin American Languages, Literatures, and Linguistics, General.</t>
  </si>
  <si>
    <t>A program that focuses on the Catalan language and related dialects. Includes instruction in philology; dialects; and applications in business, science/technology, and other settings.</t>
  </si>
  <si>
    <t>Catalan Language and Literature.</t>
  </si>
  <si>
    <t>A program that focuses on the Romanian language and related dialects. Includes instruction in philology; dialects; and applications in business, science/technology, and other settings.</t>
  </si>
  <si>
    <t>Romanian Language and Literature.</t>
  </si>
  <si>
    <t>A program that focuses on the Spanish language and related dialects. Includes instruction in philology; Modern Castillan; Latin American and regional Spanish dialects; and applications in business, science/technology, and other settings.</t>
  </si>
  <si>
    <t>Spanish Language and Literature.</t>
  </si>
  <si>
    <t>A program that focuses on the Portuguese language and related dialects. Includes instruction in philology; Metropolitan Portuguese; Luso-Brazilian Portuguese; dialects; and applications in business, science/technology, and other settings.</t>
  </si>
  <si>
    <t>Portuguese Language and Literature.</t>
  </si>
  <si>
    <t>A program that focuses on the Italian language and related dialects. Includes instruction in philology; dialects; and applications in business, science/technology, and other settings.</t>
  </si>
  <si>
    <t>Italian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</si>
  <si>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</si>
  <si>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French Language and Literature.</t>
  </si>
  <si>
    <t>A general program that focuses on one or more of the Romance languages of Western, Central, and Southern Europe.  Includes instruction in philology; linguistics; dialects and pidgins; literature; and applications to business, science/technology, and other settings.</t>
  </si>
  <si>
    <t>Romance Languages, Literatures, and Linguistics, General.</t>
  </si>
  <si>
    <t>Instructional content for this group of programs is defined in codes 16.0900 - 16.0999.</t>
  </si>
  <si>
    <t>Romance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</si>
  <si>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</si>
  <si>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Iranian Languages, Literatures, and Linguistics.</t>
  </si>
  <si>
    <t>Instructional content is defined in code 16.0801.</t>
  </si>
  <si>
    <t>Iranian/Persian Languages, Literatures, and Linguistics.</t>
  </si>
  <si>
    <t>Any instructional program in South Asian languages, literatures, and linguistics not listed above.</t>
  </si>
  <si>
    <t>South Asian Languages, Literatures, and Linguistics, Other.</t>
  </si>
  <si>
    <t>A program that focuses on the Urdu language and related dialects. Includes instruction in philology; Modern Urdu; dialects; and applications in business, science/technology, and other settings.</t>
  </si>
  <si>
    <t>Urdu Language and Literature.</t>
  </si>
  <si>
    <t>A program that focuses on the Tamil language and related dialects. Includes instruction in philology; Classical and Modern Tamil; dialects; and applications in business, science/technology, and other settings.</t>
  </si>
  <si>
    <t>Tamil Language and Literature.</t>
  </si>
  <si>
    <t>A program that focuses on the Punjabi language (Punjabi) and related dialects. Includes instruction in philology; dialects; and applications in business, science/technology, and other settings.</t>
  </si>
  <si>
    <t>Punjabi Language and Literature.</t>
  </si>
  <si>
    <t>A program that focuses on the Bengali language (Bangla) and related dialects. Includes instruction in philology; dialects; and applications in business, science/technology, and other settings.</t>
  </si>
  <si>
    <t>Bengali Language and Literature.</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</si>
  <si>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</si>
  <si>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Sanskrit and Classical Indian Languages, Literatures, and Linguistics.</t>
  </si>
  <si>
    <t>A program that focuses on the Hindi language, antecessors, and related dialects. Includes instruction in philology; Modern Hindi; Hindustani; related dialects; and applications in business, science/technology, and other settings.</t>
  </si>
  <si>
    <t>Hindi Language and Literature.</t>
  </si>
  <si>
    <t>A general program that focuses on one or more of the languages, literatures, and linguistics of the peoples of the Indian subcontinent and associated borderlands and island groups.</t>
  </si>
  <si>
    <t>South Asian Languages, Literatures, and Linguistics, General.</t>
  </si>
  <si>
    <t>Instructional content for this group of programs is defined in codes 16.0700 - 16.0799.</t>
  </si>
  <si>
    <t>South Asian Languages, Literatures, and Linguistics.</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</si>
  <si>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</si>
  <si>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Modern Greek Language and Literature.</t>
  </si>
  <si>
    <t>Instructional content is defined in code 16.0601.</t>
  </si>
  <si>
    <t>Any instructional program in Germanic languages, literatures, and linguistics not listed above.</t>
  </si>
  <si>
    <t>Germanic Languages, Literatures, and Linguistics, Other.</t>
  </si>
  <si>
    <t>A program that focuses on the Swedish language and related dialects. Includes instruction in philology; literature; and applications to business, science/technology, and other settings.</t>
  </si>
  <si>
    <t>Swedish Language and Literature.</t>
  </si>
  <si>
    <t>A program that focuses on the Norwegian language and related dialects. Includes instruction in philology; dialects; literature; and applications to business, science/technology, and other settings.</t>
  </si>
  <si>
    <t>Norwegian Language and Literature.</t>
  </si>
  <si>
    <t>A program that focuses on the Dutch language and related dialects. Includes instruction in philology; literature; Dutch Creoles; and applications to business, science/technology, and other settings.</t>
  </si>
  <si>
    <t>Dutch/Flemish Language and Literature.</t>
  </si>
  <si>
    <t>A program that focuses on the Danish language and related dialects. Includes instruction in philology; literature; and applications to business, science/technology, and other settings.</t>
  </si>
  <si>
    <t>Danish Language and Literature.</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</si>
  <si>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</si>
  <si>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Scandinavian Languages, Literatures, and Linguistics.</t>
  </si>
  <si>
    <t>A program that focuses on the German language and related dialects. Includes instruction in philology; dialects; and applications to business, science/technology, and other settings.</t>
  </si>
  <si>
    <t>German Language and Literature.</t>
  </si>
  <si>
    <t>A general program that focuses on one or more of the Germanic languages of Western, Central, and Northern Europe.  Includes instruction in philology; linguistics; dialects and pidgins; literature; and applications to business, science/technology, and other settings.</t>
  </si>
  <si>
    <t>Germanic Languages, Literatures, and Linguistics, General.</t>
  </si>
  <si>
    <t>Instructional content for this group of programs is defined in codes 16.0500 - 16.0599.</t>
  </si>
  <si>
    <t>Germanic Languages, Literatures, and Linguistics.</t>
  </si>
  <si>
    <t>A program that focuses on Slavic languages, literatures, and linguistics not listed above.</t>
  </si>
  <si>
    <t>Slavic, Baltic, and Albanian Languages, Literatures, and Linguistics, Other.</t>
  </si>
  <si>
    <t>A program that focuses on the Ukrainian language.  Includes instruction in philology; dialects; literature; and applications to business, science/technology, and other settings.</t>
  </si>
  <si>
    <t>Ukrainian Language and Literature.</t>
  </si>
  <si>
    <t>A program that focuses on the Slovak language.  Includes instruction in philology; dialects; literature; and applications to business, science/technology, and other settings.</t>
  </si>
  <si>
    <t>Slovak Language and Literature.</t>
  </si>
  <si>
    <t>A program that focuses on the Bosnian, Serbian and/or Croatian languages. Includes instruction in philology; dialects; and applications to business, science/technology, and other settings.</t>
  </si>
  <si>
    <t>Bosnian, Serbian, and Croatian Languages and Literatures.</t>
  </si>
  <si>
    <t>A program that focuses on the Polish language.  Includes instruction in philology; dialects; literature; and applications to business, science/technology, and other settings.</t>
  </si>
  <si>
    <t>Polish Language and Literature.</t>
  </si>
  <si>
    <t>A program that focuses on the Czech language.  Includes instruction in philology; literature; and applications to business, science/technology, and other settings.</t>
  </si>
  <si>
    <t>Czech Language and Literature.</t>
  </si>
  <si>
    <t>A program that focuses on the Bulgarian language.  Includes instruction in philology; literature; and applications to business, science/technology, and other settings.</t>
  </si>
  <si>
    <t>Bulgarian Language and Literature.</t>
  </si>
  <si>
    <t>A program that focuses on the Albanian language. Includes instruction in Albanian/Illyrian philology; Ghegg and Tosk dialects; and applications to business, science/technology, and other settings.</t>
  </si>
  <si>
    <t>Albanian Language and Literature.</t>
  </si>
  <si>
    <t>A program that focuses on the Russian language. Includes instruction in philology; dialects; literature; and applications to business, science/technology, and other settings.</t>
  </si>
  <si>
    <t>Russian Language and Literature.</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</si>
  <si>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</si>
  <si>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Baltic Languages, Literatures, and Linguistics.</t>
  </si>
  <si>
    <t>A general program that focuses on one or more of the Slavic languages of Central and Eastern Europe.  Includes instruction in philology; linguistics; dialects and pidgins; literature; and applications to business, science/technology, and other settings.</t>
  </si>
  <si>
    <t>Slavic Languages, Literatures, and Linguistics, General.</t>
  </si>
  <si>
    <t>Instructional content for this group of programs is defined in codes 16.0400 - 16.0499.</t>
  </si>
  <si>
    <t>Slavic, Baltic and Albanian Languages, Literatures, and Linguistics.</t>
  </si>
  <si>
    <t>Any instructional program in East Asian languages, literatures, and linguistics not listed above.</t>
  </si>
  <si>
    <t>East Asian Languages, Literatures, and Linguistics, Other.</t>
  </si>
  <si>
    <t>A program that focuses on the Tibetan language. Includes instruction in philology; secular and religious Tibetan; dialects; and applications to business, science/technology, Buddhist studies, and other settings.</t>
  </si>
  <si>
    <t>Tibetan Language and Literature.</t>
  </si>
  <si>
    <t>A program that focuses on the Korean language. Includes instruction in philology; dialects; and applications to business, science/technology, and other settings.</t>
  </si>
  <si>
    <t>Korean Language and Literature.</t>
  </si>
  <si>
    <t>A program that focuses on the Japanese language. Includes instruction in philology; Ancient, Medieval, and Modern Japanese; dialects; and applications to business, science/technology, and other settings.</t>
  </si>
  <si>
    <t>Japanese Language and Literature.</t>
  </si>
  <si>
    <t>A program that focuses on the languages of China and associated dialects and literature. Includes instruction in philology; linguistics; dialects and pidgins; and applications to business, science/technology, and other settings.</t>
  </si>
  <si>
    <t>Chinese Language and Literature.</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</si>
  <si>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</si>
  <si>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East Asian Languages, Literatures, and Linguistics, General.</t>
  </si>
  <si>
    <t>Instructional content for this group of programs is defined in codes 16.0300 - 16.0399.</t>
  </si>
  <si>
    <t>East Asian Languages, Literatures, and Linguistics.</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</si>
  <si>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</si>
  <si>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African Languages, Literatures, and Linguistics.</t>
  </si>
  <si>
    <t>Instructional content is defined in code 16.0201.</t>
  </si>
  <si>
    <t>Any instructional program in linguistic, comparative, and related language studies and services not listed above.</t>
  </si>
  <si>
    <t>Linguistic, Comparative, and Related Language Studies and Services, Other.</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</si>
  <si>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</si>
  <si>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Applied Linguistics.</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</si>
  <si>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</si>
  <si>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Comparative Literature.</t>
  </si>
  <si>
    <t>16.1603 - Sign 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</si>
  <si>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</si>
  <si>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Language Interpretation and Translation.</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</si>
  <si>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</si>
  <si>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Linguistics.</t>
  </si>
  <si>
    <t>A general program that focuses on one or more modern foreign languages that is not specific as to the name of the language(s) studied; that is otherwise undifferentiated; or that introduces students to language studies at the basic/elementary level.</t>
  </si>
  <si>
    <t>Foreign Languages and Literatures, General.</t>
  </si>
  <si>
    <t>Instructional content for this group of programs is defined in codes 16.0101 - 16.0199.</t>
  </si>
  <si>
    <t>Linguistic, Comparative, and Related Language Studies and Services.</t>
  </si>
  <si>
    <t>Instructional programs that focus on foreign languages and literatures, the humanistic and scientific study of linguistics, and the provision of professional interpretation and translation services.</t>
  </si>
  <si>
    <t>FOREIGN LANGUAGES, LITERATURES, AND LINGUISTICS.</t>
  </si>
  <si>
    <t>Any instructional program in engineering technologies and engineering-related fields not listed above.</t>
  </si>
  <si>
    <t>Examples: - Nanofabrication Technology, - Nanoscience Technician</t>
  </si>
  <si>
    <t>Instructional content is defined in code 15.9999.</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</si>
  <si>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</si>
  <si>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Nanotechnology.</t>
  </si>
  <si>
    <t>Examples: - Engineering Graphics and Design, - Engineering Graphics Technology</t>
  </si>
  <si>
    <t>Instructional content is defined in code 15.1601.</t>
  </si>
  <si>
    <t>Any instructional program in engineering-related fields not listed above.</t>
  </si>
  <si>
    <t>Engineering-Related Fields, Other.</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</si>
  <si>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</si>
  <si>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Packaging Science.</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</si>
  <si>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</si>
  <si>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Engineering Design.</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</si>
  <si>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</si>
  <si>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Engineering/Industrial Management.</t>
  </si>
  <si>
    <t>Instructional content for this group of programs is defined in codes 15.1501 - 15.1599.</t>
  </si>
  <si>
    <t>Engineering-Related Fields.</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</si>
  <si>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</si>
  <si>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Nuclear Engineering Technology/Technician.</t>
  </si>
  <si>
    <t>Instructional content is defined in code 15.1401.</t>
  </si>
  <si>
    <t>Any instructional program in drafting/design engineering technologies not listed above.</t>
  </si>
  <si>
    <t>Drafting/Design Engineering Technologies/Technicians, Other.</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</si>
  <si>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</si>
  <si>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Mechanical Drafting and Mechanical Drafting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</si>
  <si>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</si>
  <si>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Electrical/Electronics Drafting and Electrical/Electronics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</si>
  <si>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</si>
  <si>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Civil Drafting and Civil Engineering CAD/CADD.</t>
  </si>
  <si>
    <t>04.0901 - Architectural Technology/Technician., 04.0201 - Architecture.</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</si>
  <si>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</si>
  <si>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Architectural Drafting and Architectural CAD/CADD.</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</si>
  <si>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</si>
  <si>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CAD/CADD Drafting and/or Design Technology/Technician.</t>
  </si>
  <si>
    <t>Examples: - Non-Destructive Testing Technology</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</si>
  <si>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</si>
  <si>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Drafting and Design Technology/Technician, General.</t>
  </si>
  <si>
    <t>Instructional content for this group of programs is defined in codes 15.1301 - 15.1399.</t>
  </si>
  <si>
    <t>Drafting/Design Engineering Technologies/Technicians.</t>
  </si>
  <si>
    <t>Any instructional program in computer engineering technologies not listed above.</t>
  </si>
  <si>
    <t>Computer Engineering Technologies/Technicians, Other.</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</si>
  <si>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</si>
  <si>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Software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</si>
  <si>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</si>
  <si>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Hardware Technology/Technician.</t>
  </si>
  <si>
    <t>47.0104 - Computer Installation and Repair Technology/Technician.</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</si>
  <si>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</si>
  <si>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</si>
  <si>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 Engineering Technology/Technician.</t>
  </si>
  <si>
    <t>Instructional content for this group of programs is defined in codes 15.1201 - 15.1299.</t>
  </si>
  <si>
    <t>Computer Engineering Technologies/Technicians.</t>
  </si>
  <si>
    <t>Any programs in engineering-related technologies and technicians not listed above.</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</si>
  <si>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</si>
  <si>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Hydraulics and Fluid Power Technology/Technician.</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</si>
  <si>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</si>
  <si>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Surveying Technology/Surveying.</t>
  </si>
  <si>
    <t>Instructional content for this group of programs is defined in codes 15.1102 - 15.1199.</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</si>
  <si>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</si>
  <si>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Construction Engineering Technology/Technician.</t>
  </si>
  <si>
    <t>Instructional content is defined in code 15.1001.</t>
  </si>
  <si>
    <t>Any instructional program in mining and petroleum engineering technologies not listed above.</t>
  </si>
  <si>
    <t>Mining and Petroleum Technologies/Technicians, Other.</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</si>
  <si>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</si>
  <si>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</si>
  <si>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</si>
  <si>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Mining Technology/Technician.</t>
  </si>
  <si>
    <t>Instructional content for this group of programs is defined in codes 15.0901 - 15.0999.</t>
  </si>
  <si>
    <t>Mining and Petroleum Technologies/Technicians.</t>
  </si>
  <si>
    <t>Any instructional program in mechanical engineering-related technologies not listed above.</t>
  </si>
  <si>
    <t>Mechanical Engineering Related Technologies/Technicians, Other.</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</si>
  <si>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</si>
  <si>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47.0604 - Automobile/Automotive Mechanics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</si>
  <si>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</si>
  <si>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Automotive Engineering Technology/Technician.</t>
  </si>
  <si>
    <t>47.0609 - Avionics Maintenance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</si>
  <si>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</si>
  <si>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Aeronautical/Aerospace Engineering Technology/Technician.</t>
  </si>
  <si>
    <t>Instructional content for this group of programs is defined in codes 15.0801 - 15.0899.</t>
  </si>
  <si>
    <t>Mechanical Engineering Related Technologies/Technicians.</t>
  </si>
  <si>
    <t>Any instructional program in quality control and safety technologies not listed above.</t>
  </si>
  <si>
    <t>Quality Control and Safety Technologies/Technicians, Other.</t>
  </si>
  <si>
    <t>Examples: - Air Conditioning and Heating (ACH), - Air Conditioning and Refrigeration (ACR), - Air Conditioning, Heating and Refrigeration (ACHR), - Heating, Refrigeration and Air Conditioning (HRAC), - Heating,  Ventilation, and Air Conditioning (HVAC), - Heating, Ventilation, Air Conditioning and Refrigeration (HVAC/R), - Air Conditioning Technology</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</si>
  <si>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</si>
  <si>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Hazardous Materials Information Systems Technology/Technician.</t>
  </si>
  <si>
    <t>Industrial Safety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</si>
  <si>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</si>
  <si>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Quality Control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</si>
  <si>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</si>
  <si>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Occupational Safety and Health Technology/Technician.</t>
  </si>
  <si>
    <t>Instructional content for this group of programs is defined in codes 15.0701 - 15.0799.</t>
  </si>
  <si>
    <t>Quality Control and Safety Technologies/Technicians.</t>
  </si>
  <si>
    <t>Any instructional program in industrial production technologies not listed above.</t>
  </si>
  <si>
    <t>Industrial Production Technologies/Technicians, Other.</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</si>
  <si>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</si>
  <si>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</si>
  <si>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Chemical Engineering Technology/Technician.</t>
  </si>
  <si>
    <t>48.0508 - Welding Technology/Welder.</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</si>
  <si>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</si>
  <si>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Welding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</si>
  <si>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</si>
  <si>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Manufacturing Engineering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</si>
  <si>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</si>
  <si>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Industrial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</si>
  <si>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</si>
  <si>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Metallurgical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</si>
  <si>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</si>
  <si>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Plastics and Polymer Engineering Technology/Technician.</t>
  </si>
  <si>
    <t>Instructional content for this group of programs is defined in codes 15.0607 - 15.0699.</t>
  </si>
  <si>
    <t>Industrial Production Technologies/Technicians.</t>
  </si>
  <si>
    <t>Any instructional program in environmental control technologies not listed above.</t>
  </si>
  <si>
    <t>Environmental Control Technologies/Technicians, Other.</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</si>
  <si>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</si>
  <si>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</si>
  <si>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</si>
  <si>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</si>
  <si>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Water Quality and Wastewater Treatment Management and Recycling Technology/Technician.</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</si>
  <si>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</si>
  <si>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Solar Energy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</si>
  <si>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</si>
  <si>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Energy Management and Systems Technology/Technician.</t>
  </si>
  <si>
    <t>47.0201 - Heating, Air Conditioning, Ventilation and Refrigeration Maintenance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</si>
  <si>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</si>
  <si>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Heating, Ventilation, Air Conditioning and Refrigeration Engineering Technology/Technician.</t>
  </si>
  <si>
    <t>Examples: - Industrial Instrument Mechanic, - Instrumentation and Control Technician</t>
  </si>
  <si>
    <t>Instructional content for this group of programs is defined in codes 15.0501 - 15.0599.</t>
  </si>
  <si>
    <t>Environmental Control Technologies/Technicians.</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</si>
  <si>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</si>
  <si>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</si>
  <si>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</si>
  <si>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Robotics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</si>
  <si>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</si>
  <si>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Instrumentation Technology/Technician.</t>
  </si>
  <si>
    <t>Examples: - Bioengineering Technology</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</si>
  <si>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</si>
  <si>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</si>
  <si>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Biomedical Technology/Technician.</t>
  </si>
  <si>
    <t>Examples: - Microelectronics Technology</t>
  </si>
  <si>
    <t>Instructional content for this group of programs is defined in codes 15.0401 - 15.0499.</t>
  </si>
  <si>
    <t>Any instructional program in electrical and electronic engineering-related technologies not listed above.</t>
  </si>
  <si>
    <t>Examples: - Integrated Circuit Design, - Integrated Circuit Design and Layout, - Microcircuit Mask Design</t>
  </si>
  <si>
    <t>A program that prepares individuals to apply basic engineering principles and technical skills to design circuits in microelectronics. Includes instruction in circuit design, circuit layout, circuit analysis, computer-aided drafting, and semi-conductor technologies.</t>
  </si>
  <si>
    <t>Examples: - Wireless Communications Technician, - Telecommunications Engineering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</si>
  <si>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</si>
  <si>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Telecommunications Technology/Technician.</t>
  </si>
  <si>
    <t>Examples: - Photonics Engineering Technology</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</si>
  <si>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</si>
  <si>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Laser and Optical Technology/Technician.</t>
  </si>
  <si>
    <t>Examples: - Electronics Technician, - Consumer Product Electronics Technician</t>
  </si>
  <si>
    <t>46.0302 - Electrician.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</si>
  <si>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</si>
  <si>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Examples: - Sustainable/Renewable Energy Engineering</t>
  </si>
  <si>
    <t>Instructional content for this group of programs is defined in codes 15.0303 - 15.0399.</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</si>
  <si>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</si>
  <si>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Instructional content is defined in code 15.0201.</t>
  </si>
  <si>
    <t>Civil Engineering Technologies/Technicians.</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</si>
  <si>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</si>
  <si>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Instructional content is defined in code 15.0101.</t>
  </si>
  <si>
    <t>Architectural Engineering Technologies/Technicians.</t>
  </si>
  <si>
    <t>Instructional programs that prepare individuals to apply basic engineering principles and technical skills in support of engineering and related projects or to prepare for engineering-related fields.</t>
  </si>
  <si>
    <t>Any instructional program in engineering not listed above.</t>
  </si>
  <si>
    <t>Engineering, Other.</t>
  </si>
  <si>
    <t>Examples: - Biological Engineering, - Biosystems Engineering, - Biological Systems Engineering, - Biomass Engineering, - Biological/Biosystems Engineering</t>
  </si>
  <si>
    <t>Instructional content is defined in code 14.9999.</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</si>
  <si>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</si>
  <si>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Biological/Biosystems Engineering.</t>
  </si>
  <si>
    <t>Examples: - Biochemical Engineering, - Chemical and Biochemical Engineering</t>
  </si>
  <si>
    <t>Instructional content is defined in code 14.4501.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</si>
  <si>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</si>
  <si>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Engineering Chemistry.</t>
  </si>
  <si>
    <t>Instructional content is defined in code 14.4401.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</si>
  <si>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</si>
  <si>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Biochemical Engineering.</t>
  </si>
  <si>
    <t>Examples: - Paper Science, - Paper Science Engineering, - Pulp and Paper Science, - Wood and Paper Science</t>
  </si>
  <si>
    <t>Instructional content is defined in code 14.4301.</t>
  </si>
  <si>
    <t>11.0102 - Artificial Intelligence.</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</si>
  <si>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</si>
  <si>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Mechatronics, Robotics, and Automation Engineering.</t>
  </si>
  <si>
    <t>Instructional content is defined in code 14.4201.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</si>
  <si>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</si>
  <si>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Electromechanical Engineering.</t>
  </si>
  <si>
    <t>Instructional content is defined in code 14.4101.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</si>
  <si>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</si>
  <si>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Paper Science and Engineering.</t>
  </si>
  <si>
    <t>Instructional content is defined in code 14.4001.</t>
  </si>
  <si>
    <t>40.0601 - Geology/Earth Science, General.</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</si>
  <si>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</si>
  <si>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Geological/Geophysical Engineering.</t>
  </si>
  <si>
    <t>Instructional content is defined in code 14.3901.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</si>
  <si>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</si>
  <si>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Surveying Engineering.</t>
  </si>
  <si>
    <t>Instructional content is defined in code 14.3801.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</si>
  <si>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</si>
  <si>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Operations Research.</t>
  </si>
  <si>
    <t>Examples: - Construction Engineering and Management</t>
  </si>
  <si>
    <t>Instructional content is defined in code 14.3701.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</si>
  <si>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</si>
  <si>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Manufacturing Engineering.</t>
  </si>
  <si>
    <t>Instructional content is defined in code 14.3601.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</si>
  <si>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</si>
  <si>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Industrial Engineering.</t>
  </si>
  <si>
    <t>Instructional content is defined in code 14.3501.</t>
  </si>
  <si>
    <t>03.0501 - Forestry, General.</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</si>
  <si>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</si>
  <si>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Forest Engineering.</t>
  </si>
  <si>
    <t>Instructional content is defined in code 14.3401.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</si>
  <si>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</si>
  <si>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Construction Engineering.</t>
  </si>
  <si>
    <t>Instructional content is defined in code 14.3301.</t>
  </si>
  <si>
    <t>40.0507 - Polymer Chemistry.</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</si>
  <si>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</si>
  <si>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Polymer/Plastics Engineering.</t>
  </si>
  <si>
    <t>Instructional content is defined in code 14.3201.</t>
  </si>
  <si>
    <t>19.0904 - Textile Science.</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</si>
  <si>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</si>
  <si>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Textile Sciences and Engineering.</t>
  </si>
  <si>
    <t>Instructional content is defined in code 14.2801. These CIP codes are not valid for IPEDS reporting.</t>
  </si>
  <si>
    <t>11.0501 - Computer Systems Analysis/Analyst., 30.0601 - Systems Science and Theory.</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</si>
  <si>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</si>
  <si>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Systems Engineering.</t>
  </si>
  <si>
    <t>Examples: - Nuclear Reactor Engineering, - Nuclear Fuels, - Nuclear Power Engineering, - Nuclear Radiation and Shielding, - Nuclear Instrumentation and Measurement</t>
  </si>
  <si>
    <t>Instructional content is defined in code 14.2701.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</si>
  <si>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</si>
  <si>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Petroleum Engineering.</t>
  </si>
  <si>
    <t>Instructional content is defined in code 14.2501.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</si>
  <si>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</si>
  <si>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Ocean Engineering.</t>
  </si>
  <si>
    <t>Instructional content is defined in code 14.2401.</t>
  </si>
  <si>
    <t>40.0806 - Nuclear Physics.</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</si>
  <si>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</si>
  <si>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Nuclear Engineering.</t>
  </si>
  <si>
    <t>Examples: - Materials Processing and Manufacturing, - Materials Science Engineering</t>
  </si>
  <si>
    <t>Instructional content is defined in code 14.2301.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</si>
  <si>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</si>
  <si>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Naval Architecture and Marine Engineering.</t>
  </si>
  <si>
    <t>Instructional content is defined in code 14.2201.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</si>
  <si>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</si>
  <si>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Mining and Mineral Engineering.</t>
  </si>
  <si>
    <t>Instructional content is defined in code 14.2101.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</si>
  <si>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</si>
  <si>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Metallurgical Engineering.</t>
  </si>
  <si>
    <t>Instructional content is defined in code 14.2001.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</si>
  <si>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</si>
  <si>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Mechanical Engineering.</t>
  </si>
  <si>
    <t>Instructional content is defined in code 14.1901.</t>
  </si>
  <si>
    <t>40.1001 - Materials Science., 40.1002 - Materials Chemistry.</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</si>
  <si>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</si>
  <si>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Materials Engineering.</t>
  </si>
  <si>
    <t>Examples: - Environmental Engineering, - Environmental Management Engineering</t>
  </si>
  <si>
    <t>Instructional content is defined in code 14.1801.</t>
  </si>
  <si>
    <t>03.0103 - Environmental Studies., 03.0104 - Environmental Science.</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</si>
  <si>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</si>
  <si>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Environmental/Environmental Health Engineering.</t>
  </si>
  <si>
    <t>Examples: - Applied Physics, - Directed Energy/Laser Physics, - Semiconductor Physics</t>
  </si>
  <si>
    <t>Instructional content is defined in code 14.1401.</t>
  </si>
  <si>
    <t>Engineering Science.</t>
  </si>
  <si>
    <t>Instructional content is defined in code 14.1301.</t>
  </si>
  <si>
    <t>40.0801 - Physics, General.</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</si>
  <si>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</si>
  <si>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Engineering Physics/Applied Physics.</t>
  </si>
  <si>
    <t>Examples: - Communications Systems Engineering</t>
  </si>
  <si>
    <t>Instructional content is defined in code 14.1201.</t>
  </si>
  <si>
    <t>Engineering Physics.</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</si>
  <si>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</si>
  <si>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Mechanics.</t>
  </si>
  <si>
    <t>Instructional content is defined in code 14.1101.</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</si>
  <si>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</si>
  <si>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Telecommunications Engineering.</t>
  </si>
  <si>
    <t>Examples: - Electro-Optic Engineering, - Optical Engineering</t>
  </si>
  <si>
    <t>40.0807 - Optics/Optical Sciences.</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</si>
  <si>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</si>
  <si>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Laser and Optical Engineering.</t>
  </si>
  <si>
    <t>Examples: - Electrical Engineering, - Total Ship Systems Engineering, - Electrodynamic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</si>
  <si>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</si>
  <si>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Examples: - Computer Systems Engineering</t>
  </si>
  <si>
    <t>Instructional content for this group of programs is defined in codes 14.1001 - 14.1099.</t>
  </si>
  <si>
    <t>Any instructional program in computer engineering not listed above.</t>
  </si>
  <si>
    <t>Computer Engineering, Other.</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</si>
  <si>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</si>
  <si>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Software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</si>
  <si>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</si>
  <si>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Hardware Engineering.</t>
  </si>
  <si>
    <t>11.0701 - Computer Science.</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</si>
  <si>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</si>
  <si>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Computer Engineering, General.</t>
  </si>
  <si>
    <t>Examples: - Geotechnical Engineering, - Geoenvironmental Engineering, - Geotechnical and Geoenvironmental Engineering</t>
  </si>
  <si>
    <t>Instructional content for this group of programs is defined in codes 14.0901 - 14.0999.</t>
  </si>
  <si>
    <t>Computer Engineering.</t>
  </si>
  <si>
    <t>Any instructional program in civil engineering not listed above.</t>
  </si>
  <si>
    <t>Civil Engineering, Other.</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</si>
  <si>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</si>
  <si>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Water Resources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</si>
  <si>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</si>
  <si>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Transportation and Highway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</si>
  <si>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</si>
  <si>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Structural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</si>
  <si>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</si>
  <si>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Geotechnical and Geoenvironmental Engineering.</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</si>
  <si>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</si>
  <si>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Civil Engineering, General.</t>
  </si>
  <si>
    <t>Instructional content for this group of programs is defined in codes 14.0801 - 14.0899.</t>
  </si>
  <si>
    <t>Civil Engineering.</t>
  </si>
  <si>
    <t>Any instructional program in chemical engineering not listed above.</t>
  </si>
  <si>
    <t>Chemical Engineering, Other.</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</si>
  <si>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</si>
  <si>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and Biomolecular Engineering.</t>
  </si>
  <si>
    <t>40.0501 - Chemistry, General.</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</si>
  <si>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</si>
  <si>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Chemical Engineering.</t>
  </si>
  <si>
    <t>Instructional content for this group of programs is defined in codes 14.0701 - 14.0799.</t>
  </si>
  <si>
    <t>50.0711 - Ceramic Arts and Ceramics.</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</si>
  <si>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</si>
  <si>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Ceramic Sciences and Engineering.</t>
  </si>
  <si>
    <t>Instructional content is defined in code 14.0601.</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</si>
  <si>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</si>
  <si>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Bioengineering and Biomedical Engineering.</t>
  </si>
  <si>
    <t>Examples: - Bioprocessing Engineering, - Food Engineering, - Soil Engineering</t>
  </si>
  <si>
    <t>Instructional content is defined in code 14.0501.</t>
  </si>
  <si>
    <t>Biomedical/Medical Engineering.</t>
  </si>
  <si>
    <t>04.0201 - Architecture.</t>
  </si>
  <si>
    <t>A program that prepares individuals to apply mathematical and scientific principles to the design, development and operational evaluation of materials, systems, and methods used to construct and equip buildings intended for human habitation or other purposes.</t>
  </si>
  <si>
    <t>Architectural Engineering.</t>
  </si>
  <si>
    <t>Instructional content is defined in code 14.0401.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</si>
  <si>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</si>
  <si>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Agricultural Engineering.</t>
  </si>
  <si>
    <t>Instructional content is defined in code 14.0301.</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</si>
  <si>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</si>
  <si>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Examples: - Pre-Engineering Transfer Program</t>
  </si>
  <si>
    <t>A program that prepares individuals for admission or transfer to a baccalaureate-level program in any of the fields of engineering.</t>
  </si>
  <si>
    <t>Pre-Engineering.</t>
  </si>
  <si>
    <t>Examples: - Early Childhood Education Teacher Assistant/Aide, - Elementary Education Teacher Assistant/Aide, - Special Education Teacher Assistant/Aide, - Paraprofessional Educator</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</si>
  <si>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</si>
  <si>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Engineering, General.</t>
  </si>
  <si>
    <t>Instructional programs that prepare individuals to apply mathematical and     scientific principles to the solution of practical problems.</t>
  </si>
  <si>
    <t>ENGINEERING.</t>
  </si>
  <si>
    <t>Any instructional program in education not listed above.</t>
  </si>
  <si>
    <t>Education, Other.</t>
  </si>
  <si>
    <t>Instructional content is defined in code 13.9999.</t>
  </si>
  <si>
    <t>Any teaching assistant/aide program not listed above.</t>
  </si>
  <si>
    <t>Teaching Assistants/Aides, Other.</t>
  </si>
  <si>
    <t>A program that prepares individuals to serve as instructors and mentors for adults in basic or functional literacy programs in school, institutional, community, and private settings.</t>
  </si>
  <si>
    <t>Adult Literacy Tutor/Instructor.</t>
  </si>
  <si>
    <t>13.1210 - Early Childhood Education and Teaching.</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</si>
  <si>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</si>
  <si>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Teacher Assistant/Aide.</t>
  </si>
  <si>
    <t>Examples: - Geosciences Education</t>
  </si>
  <si>
    <t>Instructional content for this group of programs is defined in codes 13.1501 - 13.1599.</t>
  </si>
  <si>
    <t>Teaching Assistants/Aides.</t>
  </si>
  <si>
    <t>Any program in teaching English or French as a second or foreign language not listed above.</t>
  </si>
  <si>
    <t>Teaching English or French as a Second or Foreign Language, Other.</t>
  </si>
  <si>
    <t>A program that focuses on the principles and practice of teaching French to students who are not proficient in French or who do not speak, read, or write French, and prepares individuals to serve as teachers and administrators.</t>
  </si>
  <si>
    <t>Teaching French as a Second or Foreign Language.</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</si>
  <si>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</si>
  <si>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English as a Second or Foreign Language/ESL Language Instructor.</t>
  </si>
  <si>
    <t>Instructional content for this group of programs is defined in codes 13.1401 - 13.1499.</t>
  </si>
  <si>
    <t>Teaching English or French as a Second or Foreign Language.</t>
  </si>
  <si>
    <t>Any instructional program in teacher education, specific academic and vocational programs not listed above.</t>
  </si>
  <si>
    <t>Teacher Education and Professional Development, Specific Subject Areas, Other.</t>
  </si>
  <si>
    <t>31.0601 - Outdoor Education.</t>
  </si>
  <si>
    <t>A program that prepares individuals to teach environmental education at various educational levels as a K-12 classroom educator. Includes instruction in foundations of environmental education, instructional methods, and related content knowledge.</t>
  </si>
  <si>
    <t>Environmental Education.</t>
  </si>
  <si>
    <t>A program that prepares individuals to teach earth science programs at various educational levels.</t>
  </si>
  <si>
    <t>Earth Science Teacher Education.</t>
  </si>
  <si>
    <t>Examples: - Elementary Mathematics Teacher Education, - Middle School Mathematics Teacher Education, - Secondary Mathematics Teacher Education</t>
  </si>
  <si>
    <t>A program that prepares individuals to teach general psychology at the secondary school level.</t>
  </si>
  <si>
    <t>Psychology Teacher Education.</t>
  </si>
  <si>
    <t>25.0101 - Library and Information Science.</t>
  </si>
  <si>
    <t>A program that prepares individuals to serve as librarians and media specialists in elementary and secondary schools as well as special instructional centers.</t>
  </si>
  <si>
    <t>School Librarian/School Library Media Specialist.</t>
  </si>
  <si>
    <t>A program that prepares individuals to teach Latin at various grade levels.</t>
  </si>
  <si>
    <t>Latin Teacher Education.</t>
  </si>
  <si>
    <t>A program that prepares individuals to teach geography at various grade levels.</t>
  </si>
  <si>
    <t>Geography Teacher Education.</t>
  </si>
  <si>
    <t>A program that prepares individuals to teach speech and language arts programs at various educational levels.</t>
  </si>
  <si>
    <t>Speech Teacher Education.</t>
  </si>
  <si>
    <t>A program that prepares individuals to teach Spanish language programs at various educational levels.</t>
  </si>
  <si>
    <t>Spanish Language Teacher Education.</t>
  </si>
  <si>
    <t>A program that prepares individuals to teach physics programs at various educational levels.</t>
  </si>
  <si>
    <t>Physics Teacher Education.</t>
  </si>
  <si>
    <t>A program that prepares individuals to teach history programs at various educational levels.</t>
  </si>
  <si>
    <t>History Teacher Education.</t>
  </si>
  <si>
    <t>A program that prepares individuals to teach specific vocational health occupations programs at various educational levels.</t>
  </si>
  <si>
    <t>Health Occupations Teacher Education.</t>
  </si>
  <si>
    <t>A program that prepares individuals to teach German language programs at various educational levels.</t>
  </si>
  <si>
    <t>German Language Teacher Education.</t>
  </si>
  <si>
    <t>A program that prepares individuals to teach French language programs at various educational levels.</t>
  </si>
  <si>
    <t>French Language Teacher Education.</t>
  </si>
  <si>
    <t>A program that prepares individuals to teach drama and/or dance programs at various educational levels.</t>
  </si>
  <si>
    <t>Drama and Dance Teacher Education.</t>
  </si>
  <si>
    <t>A program that prepares individuals to teach chemistry programs at various educational levels.</t>
  </si>
  <si>
    <t>Chemistry Teacher Education.</t>
  </si>
  <si>
    <t>A program that prepares individuals to teach biology programs at various educational levels.</t>
  </si>
  <si>
    <t>Biology Teacher Education.</t>
  </si>
  <si>
    <t>A program that prepares individuals to teach computer education programs at various educational levels.</t>
  </si>
  <si>
    <t>Computer Teacher Education.</t>
  </si>
  <si>
    <t>A program that prepares individuals to teach specific vocational trades and industries programs at various educational levels.</t>
  </si>
  <si>
    <t>Trade and Industrial Teacher Education.</t>
  </si>
  <si>
    <t>A program that prepares individuals to teach specific vocational technical education programs at various educational levels.</t>
  </si>
  <si>
    <t>Technical Teacher Education.</t>
  </si>
  <si>
    <t>A program that prepares individuals to teach general social studies programs at various educational levels.</t>
  </si>
  <si>
    <t>Social Studies Teacher Education.</t>
  </si>
  <si>
    <t>A program that prepares individuals to teach specific social science subjects and programs at various educational levels.</t>
  </si>
  <si>
    <t>Social Science Teacher Education.</t>
  </si>
  <si>
    <t>A program that prepares individuals to teach general science programs, or a combination of the biological and physical science subject matter areas, at various educational levels.</t>
  </si>
  <si>
    <t>Science Teacher Education/General Science Teacher Education.</t>
  </si>
  <si>
    <t>A program that prepares individuals to diagnose reading difficulties and to teach reading programs at various educational levels.</t>
  </si>
  <si>
    <t>Reading Teacher Education.</t>
  </si>
  <si>
    <t>A program that prepares individuals to teach physical education programs and/or to coach sports at various educational levels.</t>
  </si>
  <si>
    <t>Physical Education Teaching and Coaching.</t>
  </si>
  <si>
    <t>A program that prepares individuals to teach music and music appreciation programs at various educational levels.</t>
  </si>
  <si>
    <t>Music Teacher Education.</t>
  </si>
  <si>
    <t>A program that prepares individuals to teach mathematics programs at various educational levels.</t>
  </si>
  <si>
    <t>Mathematics Teacher Education.</t>
  </si>
  <si>
    <t>A program that prepares individuals to teach vocational sales and marketing operations/marketing and distributive education programs at various educational levels.</t>
  </si>
  <si>
    <t>Sales and Marketing Operations/Marketing and Distribution   Teacher Education.</t>
  </si>
  <si>
    <t>A program that prepares individuals to teach technology education/industrial arts programs at various educational levels.</t>
  </si>
  <si>
    <t>Technology Teacher Education/Industrial Arts Teacher Education.</t>
  </si>
  <si>
    <t>19.0101 - Family and Consumer Sciences/Human Sciences, General.</t>
  </si>
  <si>
    <t>A program that prepares individuals to teach vocational home economics programs at various educational levels.</t>
  </si>
  <si>
    <t>Family and Consumer Sciences/Home Economics Teacher Education.</t>
  </si>
  <si>
    <t>A program that prepares individuals to teach health education programs at various educational levels.</t>
  </si>
  <si>
    <t>Health Teacher Education.</t>
  </si>
  <si>
    <t>A program that prepares individuals to teach foreign languages programs at various educational levels, other than French, German or Spanish.</t>
  </si>
  <si>
    <t>Foreign Language Teacher  Education.</t>
  </si>
  <si>
    <t>A program that prepares individuals to teach English grammar, composition and literature programs at various educational levels.</t>
  </si>
  <si>
    <t>English/Language Arts Teacher Education.</t>
  </si>
  <si>
    <t>A program that prepares individuals to teach driver and safety education programs at various educational levels.</t>
  </si>
  <si>
    <t>Driver and Safety Teacher Education.</t>
  </si>
  <si>
    <t>A program that prepares individuals to teach art and art appreciation programs at various educational levels.</t>
  </si>
  <si>
    <t>Art Teacher Education.</t>
  </si>
  <si>
    <t>01.0801 - Agricultural and Extension Education Services.</t>
  </si>
  <si>
    <t>A program that prepares individuals to teach vocational agricultural programs at various educational levels.</t>
  </si>
  <si>
    <t>Agricultural Teacher Education.</t>
  </si>
  <si>
    <t>Instructional content for this group of programs is defined in codes 13.1301 - 13.1399.</t>
  </si>
  <si>
    <t>Teacher Education and Professional Development, Specific Subject Areas.</t>
  </si>
  <si>
    <t>Any instructional program in teacher education and professional development not listed above.</t>
  </si>
  <si>
    <t>Teacher Education and Professional Development, Specific Levels and Methods, Other.</t>
  </si>
  <si>
    <t>Examples: - Early Childhood Education (AA), - Early Childhood Education (BA), - Early Childhood Education (MA), - Early Childhood Education (PhD)</t>
  </si>
  <si>
    <t>13.1501 - Teacher Assistant/Aide.</t>
  </si>
  <si>
    <t>A program that prepares individuals to teach students ranging in age from infancy through eight years (grade three), depending on the school system or state regulations.  Includes preparation to teach all relevant subject matter.</t>
  </si>
  <si>
    <t>Early Childhood Education and Teaching.</t>
  </si>
  <si>
    <t>Examples: - Learning Sciences Research, - Learning Sciences and Policy</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</si>
  <si>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</si>
  <si>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Kindergarten/Preschool Education and Teaching.</t>
  </si>
  <si>
    <t>A program that prepares individuals to teach students at various grade levels according to the pedagogical principles and methods developed by Rudolf Steiner and his followers.</t>
  </si>
  <si>
    <t>Waldorf/Steiner Teacher Education.</t>
  </si>
  <si>
    <t>A program that prepares individuals to teach students at various grade levels according to the pedagogical principles and methods developed by Maria Montessori and her followers.</t>
  </si>
  <si>
    <t>Montessori Teacher Education.</t>
  </si>
  <si>
    <t>A program that prepares individuals to teach students at more than one educational level, such as a combined program in elementary/secondary, early childhood/elementary, elementary/middle school, or junior high/high school teacher education.</t>
  </si>
  <si>
    <t>Teacher Education, Multiple Levels.</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</si>
  <si>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</si>
  <si>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Secondary Education and Teaching.</t>
  </si>
  <si>
    <t>A program that prepares individuals to teach students in the middle, intermediate or junior high grades, which may include grades four through nine by regulation.</t>
  </si>
  <si>
    <t>Junior High/Intermediate/Middle School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</si>
  <si>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</si>
  <si>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Elementary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</si>
  <si>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</si>
  <si>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Adult and Continuing Education and Teaching.</t>
  </si>
  <si>
    <t>Instructional content for this group of programs is defined in codes 13.1201 - 13.1299.</t>
  </si>
  <si>
    <t>Teacher Education and Professional Development, Specific Levels and Methods.</t>
  </si>
  <si>
    <t>Any instructional program in student counseling and personnel services not listed above.</t>
  </si>
  <si>
    <t>Student Counseling and Personnel Services, Other.</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</si>
  <si>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</si>
  <si>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College Student Counseling and Personnel Services.</t>
  </si>
  <si>
    <t>42.2805 - School Psychology.</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</si>
  <si>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</si>
  <si>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Counselor Education/School Counseling and Guidance Services.</t>
  </si>
  <si>
    <t>Instructional content for this group of programs is defined in codes 13.1101 - 13.1199.</t>
  </si>
  <si>
    <t>Student Counseling and Personnel Services.</t>
  </si>
  <si>
    <t>Any instructional program in special education not listed above.</t>
  </si>
  <si>
    <t>Special Education and Teaching, Other.</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</si>
  <si>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</si>
  <si>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Education/Teaching of Individuals in Secondary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</si>
  <si>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</si>
  <si>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Junior High/Middle School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</si>
  <si>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</si>
  <si>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Elementary Special Education Programs.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</si>
  <si>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</si>
  <si>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with Traumatic Brain Injuries.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</si>
  <si>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</si>
  <si>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in Early Childhood Special Education Programs.</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</si>
  <si>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</si>
  <si>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Who are Developmentally Delayed.</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</si>
  <si>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</si>
  <si>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with Autism.</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</si>
  <si>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</si>
  <si>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Education/Teaching of Individuals with Speech or Language Impairments.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</si>
  <si>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</si>
  <si>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Specific Learning Disabilities.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</si>
  <si>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</si>
  <si>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Vision Impairments Including Blindness.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</si>
  <si>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</si>
  <si>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Orthopedic and Other Physical Health Impairments.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</si>
  <si>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</si>
  <si>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Multiple Disabilities.</t>
  </si>
  <si>
    <t>Education/Teaching of Individuals with Emotional Disturbances.</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</si>
  <si>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</si>
  <si>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the Gifted and Talented.</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</si>
  <si>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</si>
  <si>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Individuals with Hearing Impairments Including Deafness.</t>
  </si>
  <si>
    <t>Special Education and Teaching, General.</t>
  </si>
  <si>
    <t>Instructional content for this group of programs is defined in codes 13.1001 - 13.1099.</t>
  </si>
  <si>
    <t>Special Education and Teaching.</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</si>
  <si>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</si>
  <si>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Social and Philosophical Foundations of Education.</t>
  </si>
  <si>
    <t>Instructional content is defined in code 13.0901.</t>
  </si>
  <si>
    <t>International and Comparative Education.</t>
  </si>
  <si>
    <t>Instructional content is defined in code 13.0701.</t>
  </si>
  <si>
    <t>Any instructional program in educational evaluation, research and statistics not listed above.</t>
  </si>
  <si>
    <t>Educational Assessment, Evaluation, and Research, Other.</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</si>
  <si>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</si>
  <si>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Learning Sciences.</t>
  </si>
  <si>
    <t>Examples: - Advanced Learning Technologies</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</si>
  <si>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</si>
  <si>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Educational Assessment, Testing, and Measurement.</t>
  </si>
  <si>
    <t>27.0501 - Statistics, General., 45.0102 - Research Methodology and Quantitative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</si>
  <si>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</si>
  <si>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Educational Statistics and Research Methods.</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</si>
  <si>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</si>
  <si>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Evaluation and Research.</t>
  </si>
  <si>
    <t>Instructional content for this group of programs is defined in codes 13.0601 - 13.0699.</t>
  </si>
  <si>
    <t>Educational Assessment, Evaluation, and Research.</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</si>
  <si>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</si>
  <si>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Educational/Instructional Technology.</t>
  </si>
  <si>
    <t>Examples: - Higher Education Policy</t>
  </si>
  <si>
    <t>Instructional content is defined in code 13.0501.</t>
  </si>
  <si>
    <t>Educational/Instructional Media Design.</t>
  </si>
  <si>
    <t>Any instructional program in education administration and supervision not listed above.</t>
  </si>
  <si>
    <t>Educational Administration and Supervision, Other.</t>
  </si>
  <si>
    <t>Superintendency and Educational System Administration.</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</si>
  <si>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</si>
  <si>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Urban Education and Leadership.</t>
  </si>
  <si>
    <t>Secondary School Administration/Principalship.</t>
  </si>
  <si>
    <t>Elementary and Middle School Administration/Principalship.</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</si>
  <si>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</si>
  <si>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13.1102 - College Student Counseling and Personnel Services.</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</si>
  <si>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</si>
  <si>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Higher Education/Higher Education Administration.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</si>
  <si>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</si>
  <si>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Educational, Instructional, and Curriculum Supervision.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</si>
  <si>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</si>
  <si>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Adult and Continuing Education Administration.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</si>
  <si>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</si>
  <si>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Administration of Special Education.</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</si>
  <si>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</si>
  <si>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Educational Leadership and Administration, General.</t>
  </si>
  <si>
    <t>Examples: - Cook</t>
  </si>
  <si>
    <t>Instructional content for this group of programs is defined in codes 13.0401 - 13.0499.</t>
  </si>
  <si>
    <t>Educational Administration and Supervision.</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</si>
  <si>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</si>
  <si>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Curriculum and Instruction.</t>
  </si>
  <si>
    <t>Instructional content is defined in code 13.0301.</t>
  </si>
  <si>
    <t>Any instructional program in bilingual, multilingual, and multicultural Education not listed above.</t>
  </si>
  <si>
    <t>Bilingual, Multilingual, and Multicultural Education, Other.</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</si>
  <si>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</si>
  <si>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Indian/Native American Education.</t>
  </si>
  <si>
    <t>13.1401 - Teaching English as a Second or Foreign Language/ESL Language Instructor.</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</si>
  <si>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</si>
  <si>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Multicultural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</si>
  <si>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</si>
  <si>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Bilingual and Multilingual Education.</t>
  </si>
  <si>
    <t>Instructional content for this group of programs is defined in codes 13.0201 - 13.0299.</t>
  </si>
  <si>
    <t>Bilingual, Multilingual, and Multicultural Education.</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</si>
  <si>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</si>
  <si>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Education, General.</t>
  </si>
  <si>
    <t>Instructional content is defined in code 13.0101.</t>
  </si>
  <si>
    <t>Instructional programs that focus on the theory and practice of learning and teaching, and related research, administrative and support services.</t>
  </si>
  <si>
    <t>EDUCATION.</t>
  </si>
  <si>
    <t>Instructional content is defined in code 12.9999.</t>
  </si>
  <si>
    <t>Any instructional program in culinary arts and related services not listed above.</t>
  </si>
  <si>
    <t>Culinary Arts and Related Services, Other.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</si>
  <si>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</si>
  <si>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Wine Steward/Sommelier.</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</si>
  <si>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</si>
  <si>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Culinary Science/Culinology.</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</si>
  <si>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</si>
  <si>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Institutional Food Workers.</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</si>
  <si>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</si>
  <si>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Food Service, Waiter/Waitress, and Dining Room Management/Manager.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</si>
  <si>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</si>
  <si>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Meat Cutting/Meat Cutter.</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</si>
  <si>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</si>
  <si>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Food Preparation/Professional Cooking/Kitchen Assistant.</t>
  </si>
  <si>
    <t>52.0905 - Restaurant/Food Services Management.</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</si>
  <si>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</si>
  <si>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Restaurant, Culinary, and Catering Management/Manager.</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</si>
  <si>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</si>
  <si>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Culinary Arts/Chef Training.</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</si>
  <si>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</si>
  <si>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Bartending/Bartender.</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</si>
  <si>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</si>
  <si>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Baking and Pastry Arts/Baker/Pastry Chef.</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</si>
  <si>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</si>
  <si>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Cooking and Related Culinary Arts, General.</t>
  </si>
  <si>
    <t>Examples: - Medical Aesthetician/Esthetician, - Advanced Aesthetician/Esthetician, - Advanced Paramedical Aesthetician/Esthetician</t>
  </si>
  <si>
    <t>Instructional content for this group of programs is defined in codes 12.0500 - 12.0599.</t>
  </si>
  <si>
    <t>Culinary Arts and Related Services.</t>
  </si>
  <si>
    <t>Any instructional program in cosmetology and related personal grooming services not listed above.</t>
  </si>
  <si>
    <t>Cosmetology and Related Personal Grooming Arts, Other.</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</si>
  <si>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</si>
  <si>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Master Aesthetician/Esthetician.</t>
  </si>
  <si>
    <t>Examples: - Waxing, - Basic Aesthetician/Esthetician</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</si>
  <si>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</si>
  <si>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Cosmetology, Barber/Styling, and Nail Instructor.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</si>
  <si>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</si>
  <si>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Salon/Beauty Salon Management/Manager.</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</si>
  <si>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</si>
  <si>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Permanent Cosmetics/Makeup and Tattooing.</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</si>
  <si>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</si>
  <si>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Nail Technician/Specialist and Manicurist.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</si>
  <si>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</si>
  <si>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Aesthetician/Esthetician and Skin Care Specialist.</t>
  </si>
  <si>
    <t>Examples: - Natural Hair Braider</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</si>
  <si>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</si>
  <si>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Facial Treatment Specialist/Facialist.</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</si>
  <si>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</si>
  <si>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Hair Styling/Stylist and Hair Design.</t>
  </si>
  <si>
    <t>Examples: - Technical Support Specialist, - Help Desk Specialist, - IT Support 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</si>
  <si>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</si>
  <si>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Make-Up Artist/Specialist.</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</si>
  <si>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</si>
  <si>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Electrolysis/Electrology and Electrolysis Technician.</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</si>
  <si>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</si>
  <si>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Barbering/Barber.</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</si>
  <si>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</si>
  <si>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Cosmetology/Cosmetologist, General.</t>
  </si>
  <si>
    <t>Instructional content for this group of programs is defined in codes 12.0401 - 12.0499.</t>
  </si>
  <si>
    <t>Cosmetology and Related Personal Grooming Services.</t>
  </si>
  <si>
    <t>Any instructional program in funeral service and mortuary science not listed above.</t>
  </si>
  <si>
    <t>Funeral Service and Mortuary Science, Other.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</si>
  <si>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</si>
  <si>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Mortuary Science and Embalming/Embalmer.</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</si>
  <si>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</si>
  <si>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Funeral Direction/Service.</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</si>
  <si>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</si>
  <si>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Service and Mortuary Science, General.</t>
  </si>
  <si>
    <t>Instructional content for this group of programs is defined in codes 12.0301 - 12.0399.</t>
  </si>
  <si>
    <t>Funeral Service and Mortuary Science.</t>
  </si>
  <si>
    <t>51.0709 - Medical Office Computer Specialist/Assistant., 51.0707 - Health Information/Medical Records Technology/Technician.</t>
  </si>
  <si>
    <t>Any instructional program in computer and information sciences and support services not listed above.</t>
  </si>
  <si>
    <t>Computer and Information Sciences and Support Services, Other.</t>
  </si>
  <si>
    <t>Instructional content is defined in code 11.9999.</t>
  </si>
  <si>
    <t>51.0706 - Health Information/Medical Records Administration/Administrator.</t>
  </si>
  <si>
    <t>Any instructional program in computer/information technology services administration and management not listed above.</t>
  </si>
  <si>
    <t>Computer/Information Technology Services Administration and Management, Other.</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</si>
  <si>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</si>
  <si>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Computer Support Specialist.</t>
  </si>
  <si>
    <t>Examples: - Website Development, - Web Development, - Webmaster</t>
  </si>
  <si>
    <t>52.0211 -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</si>
  <si>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</si>
  <si>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Information Technology Project Management.</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</si>
  <si>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</si>
  <si>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Web/Multimedia Management and Webmaster.</t>
  </si>
  <si>
    <t>Examples: - Network Administration</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</si>
  <si>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</si>
  <si>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System, Networking, and LAN/WAN Management/Manager.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</si>
  <si>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</si>
  <si>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Network and System Administration/Administrator.</t>
  </si>
  <si>
    <t>Examples: - Computer Systems Telecommunications, - Computer Systems Networking</t>
  </si>
  <si>
    <t>Instructional content for this group of programs is defined in codes 11.1001 - 11.1099.</t>
  </si>
  <si>
    <t>Computer/Information Technology Administration and Management.</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</si>
  <si>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</si>
  <si>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Computer Systems Networking and Telecommunications.</t>
  </si>
  <si>
    <t>Examples: - Social Informatics</t>
  </si>
  <si>
    <t>Any instructional program in computer software and media applications not listed above.</t>
  </si>
  <si>
    <t>Computer Software and Media Applications, Other.</t>
  </si>
  <si>
    <t>50.0411 - Game and Interactive Media Design.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</si>
  <si>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</si>
  <si>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Modeling, Virtual Environments and Simulation.</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</si>
  <si>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</si>
  <si>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Computer Graphics.</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</si>
  <si>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</si>
  <si>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Data Modeling/Warehousing and Database Administration.</t>
  </si>
  <si>
    <t>Web Page, Digital/Multimedia and Information Resources Design.</t>
  </si>
  <si>
    <t>Instructional content for this group of programs is defined in codes 11.0801 - 11.0899.</t>
  </si>
  <si>
    <t>Computer Software and Media Applications.</t>
  </si>
  <si>
    <t>14.0901 - Computer Engineering, General.</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</si>
  <si>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</si>
  <si>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Computer Science.</t>
  </si>
  <si>
    <t>Instructional content is defined in code 11.0701.</t>
  </si>
  <si>
    <t>Any instructional program in data entry/microcomputer applications not listed above.</t>
  </si>
  <si>
    <t>Data Entry/Microcomputer Applications, Other.</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</si>
  <si>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</si>
  <si>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Word Processing.</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</si>
  <si>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</si>
  <si>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Data Entry/Microcomputer Applications, General.</t>
  </si>
  <si>
    <t>Instructional content for this group of programs is defined in codes 11.0601 - 11.0699.</t>
  </si>
  <si>
    <t>Data Entry/Microcomputer Applications.</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</si>
  <si>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</si>
  <si>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Computer Systems Analysis/Analyst.</t>
  </si>
  <si>
    <t>Instructional content is defined in code 11.0501.</t>
  </si>
  <si>
    <t>Computer Systems Analysis.</t>
  </si>
  <si>
    <t>25.0101 - Library and Information Science., 52.1201 - Management Information Systems, General.</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</si>
  <si>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</si>
  <si>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Information Science/Studies.</t>
  </si>
  <si>
    <t>Instructional content is defined in code 11.0401.</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</si>
  <si>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</si>
  <si>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Data Processing and Data Processing Technology/Technician.</t>
  </si>
  <si>
    <t>Instructional content is defined in code 11.0301.</t>
  </si>
  <si>
    <t>Data Processing.</t>
  </si>
  <si>
    <t>Any instructional program in computer programming not listed above.</t>
  </si>
  <si>
    <t>Computer Programming, Other.</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</si>
  <si>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</si>
  <si>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Programming, Vendor/Product Certification.</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</si>
  <si>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</si>
  <si>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Specific Applications.</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</si>
  <si>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</si>
  <si>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Programming/Programmer, General.</t>
  </si>
  <si>
    <t>Instructional content for this group of programs is defined in codes 11.0201 - 11.0299.</t>
  </si>
  <si>
    <t>Computer Programming.</t>
  </si>
  <si>
    <t>Any instructional program in computer science not listed above.</t>
  </si>
  <si>
    <t>Computer and Information Sciences,  Other.</t>
  </si>
  <si>
    <t>26.1103 - Bioinformatics., 51.2706 - Medical 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</si>
  <si>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</si>
  <si>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Informatics.</t>
  </si>
  <si>
    <t>Examples: - Broadcast Captioning</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</si>
  <si>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</si>
  <si>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Information Technology.</t>
  </si>
  <si>
    <t>14.4201 - Mechatronics, Robotics, and Automation Engineering.</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</si>
  <si>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</si>
  <si>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Artificial Intelligence.</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</si>
  <si>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</si>
  <si>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Computer and Information Sciences, General.</t>
  </si>
  <si>
    <t>Instructional content for this group of programs is defined in codes 11.0101 - 11.0199.</t>
  </si>
  <si>
    <t>Instructional programs that focus on the computer and information sciences and prepare individuals for various occupations in information technology and computer operations fields.</t>
  </si>
  <si>
    <t>COMPUTER AND INFORMATION SCIENCES AND SUPPORT SERVICES.</t>
  </si>
  <si>
    <t>Any instructional program in communications technologies and support services not listed above.</t>
  </si>
  <si>
    <t>Communications Technologies/Technicians and Support Services, Other.</t>
  </si>
  <si>
    <t>Instructional content is defined in code 10.9999.</t>
  </si>
  <si>
    <t>Any instructional program in graphic communications not listed above.</t>
  </si>
  <si>
    <t>Graphic Communications, Other.</t>
  </si>
  <si>
    <t>A program that prepares individuals to apply technical knowledge and skills to design and execute page formats, layouts and text composition, and to make typographical selections using computer graphics and other computer-assisted design programs.</t>
  </si>
  <si>
    <t>Computer Typography and Composition Equipment Operator.</t>
  </si>
  <si>
    <t>A program that prepares individuals to apply technical knowledge and skills to set up, operate, and maintain printing presses.</t>
  </si>
  <si>
    <t>Printing Press Operator.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</si>
  <si>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</si>
  <si>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Platemaker/Imager.</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</si>
  <si>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</si>
  <si>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Graphic and Printing Equipment Operator, General Production.</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</si>
  <si>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</si>
  <si>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</si>
  <si>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Prepress/Desktop Publishing and Digital Imaging Design.</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</si>
  <si>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</si>
  <si>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Printing Management.</t>
  </si>
  <si>
    <t>50.0409 - Graphic Design., 50.0402 - Commercial and Advertising Art.</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</si>
  <si>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</si>
  <si>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Graphic Communications, General.</t>
  </si>
  <si>
    <t>Instructional content for this group of programs is defined in codes 10.0301 - 10.0399.</t>
  </si>
  <si>
    <t>Graphic Communications.</t>
  </si>
  <si>
    <t>Any instructional program in audiovisual communications technologies not listed above.</t>
  </si>
  <si>
    <t>Audiovisual Communications Technologies/Technicians, Other.</t>
  </si>
  <si>
    <t>Examples: - Technical Communication, - Scientific Communication</t>
  </si>
  <si>
    <t>Recording Arts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</si>
  <si>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</si>
  <si>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Radio and Television Broadcasting Technology/Technician.</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</si>
  <si>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</si>
  <si>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Instructional content for this group of programs is defined in codes 10.0201 - 10.0299.</t>
  </si>
  <si>
    <t>Audiovisual Communications Technologies/Technicians.</t>
  </si>
  <si>
    <t>Communications Technology/Technician.</t>
  </si>
  <si>
    <t>Instructional content is defined in code 10.0105.</t>
  </si>
  <si>
    <t>Instructional programs that prepare individuals to function as equipment operators, support technicians, and operations managers in the film/video, recording, and graphic communications industries.</t>
  </si>
  <si>
    <t>COMMUNICATIONS TECHNOLOGIES/TECHNICIANS AND SUPPORT SERVICES.</t>
  </si>
  <si>
    <t>Any instructional program in communication, journalism, and related fields not listed above.</t>
  </si>
  <si>
    <t>Communication, Journalism, and Related Programs, Other.</t>
  </si>
  <si>
    <t>Instructional content is defined in code 09.9999.</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</si>
  <si>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</si>
  <si>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Publishing.</t>
  </si>
  <si>
    <t>Instructional content is defined in code 09.1001.</t>
  </si>
  <si>
    <t>Any instructional program in organizational communication, public relations, and advertising not listed above.</t>
  </si>
  <si>
    <t>23.1303 - Professional, Technical, Business, and Scientific Writing.</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</si>
  <si>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</si>
  <si>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Technical and Scientific Communication.</t>
  </si>
  <si>
    <t>Examples: - Health and Health Science Communication</t>
  </si>
  <si>
    <t>30.2301 - Intercultural/Multicultural and Diversity Studies.</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</si>
  <si>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</si>
  <si>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International and Intercultural Communication.</t>
  </si>
  <si>
    <t>31.0504 - Sport and Fitness Administration/Management., 31.0508 - Sports Studies.</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</si>
  <si>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</si>
  <si>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Sports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</si>
  <si>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</si>
  <si>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Health Communication.</t>
  </si>
  <si>
    <t>Examples: - Public Relations and Advertising, - Applied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</si>
  <si>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</si>
  <si>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Political Communication.</t>
  </si>
  <si>
    <t>50.0402 - Commercial and Advertising Art., 09.0900 - Public Relations, Advertising, and Applied Communication.</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</si>
  <si>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</si>
  <si>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Advertising.</t>
  </si>
  <si>
    <t>09.0900 - Public Relations, Advertising, and Applied Communication.</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</si>
  <si>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</si>
  <si>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Public Relations/Image Management.</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</si>
  <si>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</si>
  <si>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Organizational Communication, General.</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</si>
  <si>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</si>
  <si>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Public Relations, Advertising, and Applied Communication.</t>
  </si>
  <si>
    <t>Examples: - Digital Media</t>
  </si>
  <si>
    <t>Instructional content for this group of programs is defined in codes 09.0900 - 09.0999.</t>
  </si>
  <si>
    <t>Any instructional program in radio, television, and digital communications not listed above.</t>
  </si>
  <si>
    <t>Radio, Television, and Digital Communication, Other.</t>
  </si>
  <si>
    <t>50.0102 - Digital Arts.</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</si>
  <si>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</si>
  <si>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Digital Communication and Media/Multimedia.</t>
  </si>
  <si>
    <t>Examples: - Radio, Television, and Film</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</si>
  <si>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</si>
  <si>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Radio and Television.</t>
  </si>
  <si>
    <t>Examples: - Online Journalism</t>
  </si>
  <si>
    <t>Instructional content for this group of programs is defined in codes 09.0701 - 09.0799.</t>
  </si>
  <si>
    <t>Radio, Television, and Digital Communication.</t>
  </si>
  <si>
    <t>Any instructional program in journalism not listed above.</t>
  </si>
  <si>
    <t>Journalism, Other.</t>
  </si>
  <si>
    <t>Examples: - Media Studies</t>
  </si>
  <si>
    <t>50.0605 - Photography.</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</si>
  <si>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</si>
  <si>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Photojournalism.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</si>
  <si>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</si>
  <si>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Broadcast Journalism.</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</si>
  <si>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</si>
  <si>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Journalism.</t>
  </si>
  <si>
    <t>Instructional content for this group of programs is defined in codes 09.0401 - 09.0499.</t>
  </si>
  <si>
    <t>Any instructional program in communication and media studies not listed above.</t>
  </si>
  <si>
    <t>Communication and Media Studies, Other.</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</si>
  <si>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</si>
  <si>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Mass Communication/Media Studies.</t>
  </si>
  <si>
    <t>23.1304 - Rhetoric and Composition.</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</si>
  <si>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</si>
  <si>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Speech Communication and Rhetoric.</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</si>
  <si>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</si>
  <si>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Communication, General.</t>
  </si>
  <si>
    <t>Examples: - Women's, Gay and Lesbian Studies, Integrated</t>
  </si>
  <si>
    <t>Instructional content for this group of programs is defined in codes 09.0100 - 09.0199.</t>
  </si>
  <si>
    <t>Communication and Media Studies.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</si>
  <si>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</si>
  <si>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JOURNALISM, AND RELATED PROGRAMS.</t>
  </si>
  <si>
    <t>Any instructional program in ethnic, cultural minority, gender, and group studies not listed above.</t>
  </si>
  <si>
    <t>Ethnic, Cultural Minority, Gender, and Group Studies, Other.</t>
  </si>
  <si>
    <t>Examples: - Deaf Studies, - American Sign Language (ASL) and Deaf Studies</t>
  </si>
  <si>
    <t>16.1601 - American Sign Language (ASL).</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</si>
  <si>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</si>
  <si>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Deaf Studies.</t>
  </si>
  <si>
    <t>Examples: - Folklore Studies, - Folklore and Mythology, - Folklore and Folklife</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</si>
  <si>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</si>
  <si>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Disability Studies.</t>
  </si>
  <si>
    <t>A program that focuses on the study of creativity and aesthetic expression in everyday life, as expressed in narrative, literature, performing arts, culture, work, family and community.</t>
  </si>
  <si>
    <t>Folklore Studies.</t>
  </si>
  <si>
    <t>Examples: - Women's and Gender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</si>
  <si>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</si>
  <si>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Gay/Lesbian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</si>
  <si>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</si>
  <si>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Women's Studies.</t>
  </si>
  <si>
    <t>05.0103 - Asian Studies/Civilization.</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</si>
  <si>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</si>
  <si>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Asian-American Studies.</t>
  </si>
  <si>
    <t>05.0107 - Latin American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</si>
  <si>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</si>
  <si>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Hispanic-American, Puerto Rican, and Mexican-American/Chicano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</si>
  <si>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</si>
  <si>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American Indian/Native American Studies.</t>
  </si>
  <si>
    <t>05.0101 - African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</si>
  <si>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</si>
  <si>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African-American/Black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</si>
  <si>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</si>
  <si>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Ethnic Studies.</t>
  </si>
  <si>
    <t>Examples: - Modern Middle Eastern Studies</t>
  </si>
  <si>
    <t>Instructional content for this group of programs is defined in codes 05.0200 - 05.0299.</t>
  </si>
  <si>
    <t>Ethnic, Cultural Minority, Gender, and Group Studies.</t>
  </si>
  <si>
    <t>Any instructional program in specifically defined area studies not listed above.</t>
  </si>
  <si>
    <t>Area Studies, Other.</t>
  </si>
  <si>
    <t>An integrated program that focuses on the history, society, politics, culture, and economics of the peoples and countries of the Latin American and Caribbean region.</t>
  </si>
  <si>
    <t>Latin American and Caribbean Studies.</t>
  </si>
  <si>
    <t>A program that focuses on the history, society, politics, culture, and economics of Ireland and the Irish Diaspora, from the early Christian period to the present.</t>
  </si>
  <si>
    <t>Irish Studies.</t>
  </si>
  <si>
    <t>A program that focuses on the history, society, politics, culture, and economics of the Ukraine and its inhabitants, and related border regions, from earliest times to the present.</t>
  </si>
  <si>
    <t>Ukraine Studies.</t>
  </si>
  <si>
    <t>A program that focuses on the history, society, politics, culture, and economics of Tibet and its borderlands, with emphasis on both pre-modern and modern Tibet and associated religious and exile movements.</t>
  </si>
  <si>
    <t>Tibetan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</si>
  <si>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</si>
  <si>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Spanish and Iberian Studies.</t>
  </si>
  <si>
    <t>A program that focuses on the history, society, politics, culture, and economics of Poland and the current and historical inhabitants of the Polish lands, including borderlands, from earliest times to the present.</t>
  </si>
  <si>
    <t>Polish Studies.</t>
  </si>
  <si>
    <t>A program that focuses on the history, society, politics, culture, and economics of the peoples of Korea, including related island groups and borderlands.</t>
  </si>
  <si>
    <t>Korean Studies.</t>
  </si>
  <si>
    <t>A program that focuses on the history, society, politics, culture, and economics of the peoples of Japan, and related island groups and coastal neighbors.</t>
  </si>
  <si>
    <t>Japanese Studies.</t>
  </si>
  <si>
    <t>A program that focuses on the history, society, politics, culture, and economics of modern Italy and its predecessors on the Italian Peninsula, including the overseas migrations of Italian peoples.</t>
  </si>
  <si>
    <t>Italian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</si>
  <si>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</si>
  <si>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German Studies.</t>
  </si>
  <si>
    <t>A program that focuses on the history, society, politics, culture, and economics of France, other Francophone countries inside and outside Europe, and the French colonial experience and the associated French minorities around the world.</t>
  </si>
  <si>
    <t>French Studies.</t>
  </si>
  <si>
    <t>A program that focuses on the history, society, politics, culture, and economics of one or more of the peoples of present-day China and its historical predecessors, related borderlands and island groups, and the overseas Chinese diaspora.</t>
  </si>
  <si>
    <t>Chinese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</si>
  <si>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</si>
  <si>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Commonwealth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</si>
  <si>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</si>
  <si>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Ural-Altaic and Central Asian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</si>
  <si>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</si>
  <si>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Caribbean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</si>
  <si>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</si>
  <si>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Slavic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</si>
  <si>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</si>
  <si>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Baltic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</si>
  <si>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</si>
  <si>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Balkans Studies.</t>
  </si>
  <si>
    <t>A program that focuses on the history, society, politics, culture, and economics of one or more of the peoples of Canada and its Pre-Columbian, colonial, and pre-federation predecessors, including immigrant flows and related borderlands and island groups.</t>
  </si>
  <si>
    <t>Canadian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</si>
  <si>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</si>
  <si>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Western European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</si>
  <si>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</si>
  <si>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Southeast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</si>
  <si>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</si>
  <si>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South Asian Studies.</t>
  </si>
  <si>
    <t>Scandinavian Studies.</t>
  </si>
  <si>
    <t>05.0105 - Russian, Central European, East European and Eurasian Studies.</t>
  </si>
  <si>
    <t>A program that focuses on the history, society, politics, culture, and economics of one or more of the peoples of the Russian Federation and its Soviet, Czarist, and medieval predecessors and related borderlands.</t>
  </si>
  <si>
    <t>Russian Studies.</t>
  </si>
  <si>
    <t>A program that focuses on the history, society, politics, culture, and economics of one or more of the peoples of Australasia and the Pacific Ocean, related island groups and bordering coastal regions, and including pre- and post-colonial migration patterns.</t>
  </si>
  <si>
    <t>Pacific Area/Pacific Rim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</si>
  <si>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</si>
  <si>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Near and Middle Eastern Studies.</t>
  </si>
  <si>
    <t>Examples: - Russian and East European Studies, - Central and Eastern European Studies, - CIS Studies</t>
  </si>
  <si>
    <t>05.0203 - Hispanic-American, Puerto Rican, and Mexican-American/Chicano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</si>
  <si>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</si>
  <si>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Latin American Studies.</t>
  </si>
  <si>
    <t>A program that focuses on the history, society, politics, culture, and economics of one or more of the peoples of the European Continent, including the study of European migration patterns and colonial empires.</t>
  </si>
  <si>
    <t>European Studies/Civilization.</t>
  </si>
  <si>
    <t>05.0110 - Russian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</si>
  <si>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</si>
  <si>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Russian, Central European, East European and Eurasian Studies.</t>
  </si>
  <si>
    <t>Examples: - Architectural and Building Sciences/Technology (BArch, BA/BS), - Architectural and Building Sciences/Technology (MArch/MA/MS), - Architectural and Building Sciences/Technology (PhD)</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</si>
  <si>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</si>
  <si>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East Asian Studies.</t>
  </si>
  <si>
    <t>05.0206 - Asian-American Studies.</t>
  </si>
  <si>
    <t>A program that focuses on the history, society, politics, culture, and economics of one or more of the peoples of the Asian Continent, including the study of the Asian diasporas overseas.</t>
  </si>
  <si>
    <t>Asian Studies/Civilization.</t>
  </si>
  <si>
    <t>A program that focuses on the history, society, politics, culture, and economics of the United States and its Pre-Columbian and colonial predecessors, and including the flow of immigrants from other societies.</t>
  </si>
  <si>
    <t>American/United States Studies/Civilization.</t>
  </si>
  <si>
    <t>05.0201 - African-American/Black Studies.</t>
  </si>
  <si>
    <t>A program that focuses on the history, society, politics, culture, and economics of one or more of the peoples of the African Continent, usually with an emphasis on Africa south of the Sahara, and including the African diasporas overseas.</t>
  </si>
  <si>
    <t>African Studies.</t>
  </si>
  <si>
    <t>Instructional content for this group of programs is defined in codes 05.0101 - 05.0199.</t>
  </si>
  <si>
    <t>Area Studies.</t>
  </si>
  <si>
    <t>Instructional programs that focus on the defined areas, regions, and countries of the world; defined minority groups within and across societies; and issues relevant to collective gender and group experience.</t>
  </si>
  <si>
    <t>AREA, ETHNIC, CULTURAL, GENDER, AND GROUP STUDIES.</t>
  </si>
  <si>
    <t>Any instructional program in architecture and related programs not listed above.</t>
  </si>
  <si>
    <t>Architecture and Related Services, Other.</t>
  </si>
  <si>
    <t>Instructional content is defined in code 04.9999.</t>
  </si>
  <si>
    <t>52.1501 - Real Estate.</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</si>
  <si>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</si>
  <si>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Real Estate Development.</t>
  </si>
  <si>
    <t>Instructional content is defined in code 04.1001.</t>
  </si>
  <si>
    <t>Any instructional program in architectural sciences and technology not listed above.</t>
  </si>
  <si>
    <t>Architectural Sciences and Technology, Other.</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</si>
  <si>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</si>
  <si>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Architectural and Building Sciences/Technology.</t>
  </si>
  <si>
    <t>Examples: - Landscape Architecture (BS, BSLA, BLA), - Landscape Architecture (MSLA, MLA), - Landscape Architecture (PhD)</t>
  </si>
  <si>
    <t>15.1303 - Architectural Drafting and Architectural CAD/CADD.</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</si>
  <si>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</si>
  <si>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Architectural Technology/Technician.</t>
  </si>
  <si>
    <t>Instructional content for this group of programs is defined in codes 04.0901 - 04.0999.</t>
  </si>
  <si>
    <t>Architectural Sciences and Technology.</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</si>
  <si>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</si>
  <si>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History and Criticism, General.</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</si>
  <si>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</si>
  <si>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Landscape Architecture.</t>
  </si>
  <si>
    <t>Examples: - Urban Design</t>
  </si>
  <si>
    <t>Instructional content is defined in code 04.0601.</t>
  </si>
  <si>
    <t>50.0408 - Interior Design.</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</si>
  <si>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</si>
  <si>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Interior Architecture.</t>
  </si>
  <si>
    <t>Instructional content is defined in code 04.0501.</t>
  </si>
  <si>
    <t>19.0601 - Housing and Human Environments, General.</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</si>
  <si>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</si>
  <si>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Environmental Design/Architecture.</t>
  </si>
  <si>
    <t>Environmental Design.</t>
  </si>
  <si>
    <t>45.1201 - Urban Studies/Affairs.</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</si>
  <si>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</si>
  <si>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Examples: - Architecture (BArch, BA/BS), - Architecture (MArch/MA/MS), - Architecture (PhD)</t>
  </si>
  <si>
    <t>Instructional content is defined in code 04.0301.</t>
  </si>
  <si>
    <t>15.1303 - Architectural Drafting and Architectural CAD/CADD., 14.0401 - Architectural Engineering.</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</si>
  <si>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</si>
  <si>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Architecture.</t>
  </si>
  <si>
    <t>Examples: - Hunting and Trapping</t>
  </si>
  <si>
    <t>Instructional programs that prepare individuals for professional practice in the various architecture-related fields and focus on the study of related aesthetic and socioeconomic aspects of the built environment.</t>
  </si>
  <si>
    <t>ARCHITECTURE AND RELATED SERVICES.</t>
  </si>
  <si>
    <t>Any instructional program in natural resources and conservation not listed above.</t>
  </si>
  <si>
    <t>Natural Resources and Conservation, Other.</t>
  </si>
  <si>
    <t>Examples: - Silviculture, - Sylviculture</t>
  </si>
  <si>
    <t>Instructional content is defined in code 03.9999.</t>
  </si>
  <si>
    <t>26.0709 - Wildlife Biology.</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</si>
  <si>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</si>
  <si>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Wildlife, Fish and Wildlands Science and Management.</t>
  </si>
  <si>
    <t>Instructional content is defined in code 03.0601.</t>
  </si>
  <si>
    <t>Wildlife and Wildlands Science and Management.</t>
  </si>
  <si>
    <t>Any program in forestry not listed above.</t>
  </si>
  <si>
    <t>Forestry, Other.</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</si>
  <si>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</si>
  <si>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 Technology/Technician.</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</si>
  <si>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</si>
  <si>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Resources Production and Management.</t>
  </si>
  <si>
    <t>14.4001 - Paper Science and Engineering.</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</si>
  <si>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</si>
  <si>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</si>
  <si>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Urban Forestry.</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</si>
  <si>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</si>
  <si>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Forest Management/Forest Resources Management.</t>
  </si>
  <si>
    <t>Examples: - Conservation Enforcement</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</si>
  <si>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</si>
  <si>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Sciences and Biology.</t>
  </si>
  <si>
    <t>14.3401 - Forest Engineering.</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</si>
  <si>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</si>
  <si>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Forestry, General.</t>
  </si>
  <si>
    <t>Instructional content for this group of programs is defined in codes 03.0501 - 03.0599.</t>
  </si>
  <si>
    <t>Forestry.</t>
  </si>
  <si>
    <t>26.1302 - Marine Biology and Biological Oceanography., 49.0303 - Commercial Fishing.</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</si>
  <si>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</si>
  <si>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Fishing and Fisheries Sciences and Management.</t>
  </si>
  <si>
    <t>Instructional content is defined in code 03.0301.</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</si>
  <si>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</si>
  <si>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Examples: - Ecotourism, - Resource Recreation and Tourism, - Nature-Based Tourism, - Natural Resources Interpretation, - Hunting and Fishing Guide</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</si>
  <si>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</si>
  <si>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</si>
  <si>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Land Use Planning and Management/Development.</t>
  </si>
  <si>
    <t>26.1304 - Aquatic Biology/Limnology., 40.0605 - Hydrology and Water Resources Science., 14.0805 - Water Resources Engineering.</t>
  </si>
  <si>
    <t>Water, Wetlands, and Marine Resources Management.</t>
  </si>
  <si>
    <t>01.0103 - Agricultural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</si>
  <si>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</si>
  <si>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</si>
  <si>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Examples: - Environmental Conservation and Reclamation</t>
  </si>
  <si>
    <t>Instructional content for this group of programs is defined in codes 03.0201 - 03.0299.</t>
  </si>
  <si>
    <t>Any instructional program in natural resources conservation and research not listed above.</t>
  </si>
  <si>
    <t>Natural Resources Conservation and Research, Other.</t>
  </si>
  <si>
    <t>Examples: - Bioenvironmental Sciences</t>
  </si>
  <si>
    <t>26.1305 - Environmental Biology., 26.1307 - Conservation Biology., 14.1401 - Environmental/Environmental Health Engineering.</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</si>
  <si>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</si>
  <si>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Environmental Science.</t>
  </si>
  <si>
    <t>Examples: - Ecosystem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</si>
  <si>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</si>
  <si>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Environmental Studies.</t>
  </si>
  <si>
    <t>Examples: - Environmental Soil Science</t>
  </si>
  <si>
    <t>26.1307 - Conservation Biology.</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</si>
  <si>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</si>
  <si>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Natural Resources/Conservation, General.</t>
  </si>
  <si>
    <t>Instructional content for this group of programs is defined in codes 03.0101 - 03.0199.</t>
  </si>
  <si>
    <t>Natural Resources Conservation and Research.</t>
  </si>
  <si>
    <t>Instructional programs that focus on the various natural resources and conservation fields and prepare individuals for related occupations.</t>
  </si>
  <si>
    <t>NATURAL RESOURCES AND CONSERVATION.</t>
  </si>
  <si>
    <t>Instructional content is defined in code 01.9999.</t>
  </si>
  <si>
    <t>Any instructional program in the soil sciences not listed above.</t>
  </si>
  <si>
    <t>Soil Sciences, Other.</t>
  </si>
  <si>
    <t>Examples: - Pest Management, - Extermination</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</si>
  <si>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</si>
  <si>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Microbiology.</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</si>
  <si>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</si>
  <si>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Chemistry and Physics.</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</si>
  <si>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</si>
  <si>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Science and Agronomy, General.</t>
  </si>
  <si>
    <t>Instructional content for this group of programs is defined in codes 01.1201 - 01.1299.</t>
  </si>
  <si>
    <t>Soil Sciences.</t>
  </si>
  <si>
    <t>Any instructional program in plant sciences not listed above.</t>
  </si>
  <si>
    <t>Plant Sciences, Other.</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</si>
  <si>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</si>
  <si>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Range Science and Management.</t>
  </si>
  <si>
    <t>26.0702 - Entomology.</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</si>
  <si>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</si>
  <si>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Plant Protection and Integrated Pest Management.</t>
  </si>
  <si>
    <t>Examples: - Food Safety</t>
  </si>
  <si>
    <t>26.0805 - Plant Genetics.</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</si>
  <si>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</si>
  <si>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Agricultural and Horticultural Plant Breeding.</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</si>
  <si>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</si>
  <si>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Horticultural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</si>
  <si>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</si>
  <si>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Agronomy and Crop Science.</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</si>
  <si>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</si>
  <si>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Plant Sciences, General.</t>
  </si>
  <si>
    <t>Instructional content for this group of programs is defined in codes 01.1101 - 01.1199.</t>
  </si>
  <si>
    <t>Plant Sciences.</t>
  </si>
  <si>
    <t>Any instructional program in food sciences and technology not listed above.</t>
  </si>
  <si>
    <t>Food Science and Technology, Other.</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</si>
  <si>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</si>
  <si>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Food Technology and Processing.</t>
  </si>
  <si>
    <t>19.0501 - Foods, Nutrition, and Wellness Studies, General., 12.0509 - Culinary Science/Culinology.</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</si>
  <si>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</si>
  <si>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Food Science.</t>
  </si>
  <si>
    <t>Instructional content for this group of programs is defined in codes 01.1001 - 01.1099.</t>
  </si>
  <si>
    <t>Food Science and Technology.</t>
  </si>
  <si>
    <t>Any instructional program in the animal sciences not listed above.</t>
  </si>
  <si>
    <t>Animal Sciences, Other.</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</si>
  <si>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</si>
  <si>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Poultry Science.</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</si>
  <si>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</si>
  <si>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Livestock Management.</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</si>
  <si>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</si>
  <si>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Dairy Science.</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</si>
  <si>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</si>
  <si>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Animal Nutrition.</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</si>
  <si>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</si>
  <si>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Health.</t>
  </si>
  <si>
    <t>26.0804 - Animal Genetics.</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</si>
  <si>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</si>
  <si>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Agricultural Animal Breeding.</t>
  </si>
  <si>
    <t>26.0701 - Zoology/Animal Biology.</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</si>
  <si>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</si>
  <si>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Animal Sciences, General.</t>
  </si>
  <si>
    <t>Instructional content for this group of programs is defined in codes 01.0901 - 01.0999.</t>
  </si>
  <si>
    <t>Animal Sciences.</t>
  </si>
  <si>
    <t>Any instructional program in general agricultural sciences and related services not listed above.</t>
  </si>
  <si>
    <t>Agricultural Public Services, Other.</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</si>
  <si>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</si>
  <si>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Agricultural Communication/Journalism.</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</si>
  <si>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</si>
  <si>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Agricultural and Extension Education Services.</t>
  </si>
  <si>
    <t>Instructional content for this group of programs is defined in codes 01.0801 - 01.0899.</t>
  </si>
  <si>
    <t>Agricultural Public Services.</t>
  </si>
  <si>
    <t>45.0604 - Development Economics and International Development.</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</si>
  <si>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</si>
  <si>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International Agriculture.</t>
  </si>
  <si>
    <t>Instructional content is defined in code 01.0701.</t>
  </si>
  <si>
    <t>Any instructional program in horticultural service operations not listed above.</t>
  </si>
  <si>
    <t>Applied Horticulture/Horticultural Business Services, Other.</t>
  </si>
  <si>
    <t>Examples: - Golf and Sports Turf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</si>
  <si>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</si>
  <si>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Floriculture/Floristry Operations and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</si>
  <si>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</si>
  <si>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Turf and Turfgrass Management.</t>
  </si>
  <si>
    <t>Examples: - Greenspace</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</si>
  <si>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</si>
  <si>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Plant Nursery Operations and Management.</t>
  </si>
  <si>
    <t>04.0601 - Landscape Architecture.</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</si>
  <si>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</si>
  <si>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Landscaping and Groundskeeping.</t>
  </si>
  <si>
    <t>Examples: - Viticulture, - Enology</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</si>
  <si>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</si>
  <si>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Greenhouse Operations and Management.</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</si>
  <si>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</si>
  <si>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Ornamental Horticulture.</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</si>
  <si>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</si>
  <si>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Applied Horticulture/Horticulture Operations, General.</t>
  </si>
  <si>
    <t>Instructional content for this group of programs is defined in codes 01.0601 - 01.0699.</t>
  </si>
  <si>
    <t>Applied Horticulture and Horticultural Business Services.</t>
  </si>
  <si>
    <t>Any instructional program in agricultural and domestic animal services not listed above.</t>
  </si>
  <si>
    <t>Agricultural and Domestic Animal Services, Other.</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</si>
  <si>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</si>
  <si>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Taxidermy/Taxidermist.</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</si>
  <si>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</si>
  <si>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Equestrian/Equine Studies.</t>
  </si>
  <si>
    <t>Animal Training.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</si>
  <si>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</si>
  <si>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Dog/Pet/Animal Grooming.</t>
  </si>
  <si>
    <t>Instructional content for this group of programs is defined in codes 01.0504 - 01.0599.</t>
  </si>
  <si>
    <t>Agricultural and Domestic Animal Services.</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</si>
  <si>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</si>
  <si>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Agricultural and Food Products Processing.</t>
  </si>
  <si>
    <t>Any instructional program in agricultural production operations not listed above.</t>
  </si>
  <si>
    <t>Agricultural Production Operations, Other.</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</si>
  <si>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</si>
  <si>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Viticulture and Enology.</t>
  </si>
  <si>
    <t>Examples: - Agroecology, - Sustainable Agriculture, - Organic Farming</t>
  </si>
  <si>
    <t>30.3301 - Sustainability Studies.</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</si>
  <si>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</si>
  <si>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Agroecology and Sustainable Agriculture.</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</si>
  <si>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</si>
  <si>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Horse Husbandry/Equine Science and Management.</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</si>
  <si>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</si>
  <si>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Dairy Husbandry and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</si>
  <si>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</si>
  <si>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Crop Production.</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</si>
  <si>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</si>
  <si>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Aquaculture.</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</si>
  <si>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</si>
  <si>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Animal/Livestock Husbandry and Production.</t>
  </si>
  <si>
    <t>A program that focuses on the general planning, economics, and use of facilities, natural resources, equipment, labor, and capital to produce plant and animal products, and that may prepare individuals for work in farming, ranching, and agribusiness.</t>
  </si>
  <si>
    <t>Agricultural Production Operations, General.</t>
  </si>
  <si>
    <t>Instructional content for this group of programs is defined in codes 01.0301 - 01.0399.</t>
  </si>
  <si>
    <t>Agricultural Production Operations.</t>
  </si>
  <si>
    <t>Any instructional program in agricultural mechanization not listed above.</t>
  </si>
  <si>
    <t>Agricultural Mechanization, Other.</t>
  </si>
  <si>
    <t>Examples: - Agricultural Equipment Mechanic, - Agricultural Equipment Technician, - Agricultural Machinery Technician, - Farm Equipment Service Technician</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</si>
  <si>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</si>
  <si>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49.0202 - Construction/Heavy Equipment/Earthmoving Equipment Operation.</t>
  </si>
  <si>
    <t>Agricultural Power Machinery Operation.</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</si>
  <si>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</si>
  <si>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Mechanization, General.</t>
  </si>
  <si>
    <t>Instructional content for this group of programs is defined in codes 01.0201 - 01.0299.</t>
  </si>
  <si>
    <t>Agricultural Mechanization.</t>
  </si>
  <si>
    <t>Any instructional program in agricultural business and management not listed above.</t>
  </si>
  <si>
    <t>Agricultural Business and Management, Other.</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</si>
  <si>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</si>
  <si>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</si>
  <si>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Agricultural/Farm Supplies Retailing and Wholesaling.</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</si>
  <si>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</si>
  <si>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Farm/Farm and Ranch Management.</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</si>
  <si>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</si>
  <si>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Agricultural Economics.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</si>
  <si>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</si>
  <si>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Agribusiness/Agricultural Business Operations.</t>
  </si>
  <si>
    <t>A  general program that focuses on modern business and economic principles involved in the organization, operation, and management of agricultural enterprises.</t>
  </si>
  <si>
    <t>Agricultural Business and Management, General.</t>
  </si>
  <si>
    <t>Instructional content for this group of programs is defined in codes 01.0101 - 01.0199.</t>
  </si>
  <si>
    <t>Agricultural Business and Management.</t>
  </si>
  <si>
    <t>14.0301 - Agricultural Engineering.</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</si>
  <si>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</si>
  <si>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Agriculture, General.</t>
  </si>
  <si>
    <t>Instructional content is defined in code 01.0000.</t>
  </si>
  <si>
    <t>Examples</t>
  </si>
  <si>
    <t>CrossReferences</t>
  </si>
  <si>
    <t>CIPDefinition</t>
  </si>
  <si>
    <t>CIPTitle</t>
  </si>
  <si>
    <t>CIPCode</t>
  </si>
  <si>
    <t>CIPFamily</t>
  </si>
  <si>
    <t>yyyy</t>
  </si>
  <si>
    <t>Header</t>
  </si>
  <si>
    <t>PSR_1.5</t>
  </si>
  <si>
    <t>Non-matriculated students participating in Dual Credit program specifically taught at, or under the direction of secondary school</t>
  </si>
  <si>
    <t>Dual Credit 
at HS locale</t>
  </si>
  <si>
    <t>Annual report capturing enrolled credit by a combination of course delivery and student level attributes. Information is used in EWA calculations and evaluations of delivery volume by subject area</t>
  </si>
  <si>
    <t>TBD- reporting of courses taught at high school locale by post secondary staff. At present, include in this category</t>
  </si>
  <si>
    <t>Date Submitted:</t>
  </si>
  <si>
    <t>Example</t>
  </si>
  <si>
    <t>LCSC</t>
  </si>
  <si>
    <t>.20</t>
  </si>
  <si>
    <t>.30</t>
  </si>
  <si>
    <t>05</t>
  </si>
  <si>
    <t>09</t>
  </si>
  <si>
    <t>Lower</t>
  </si>
  <si>
    <t>Upper</t>
  </si>
  <si>
    <t>11</t>
  </si>
  <si>
    <t>Course level element: Provide the initial two digits from CIP Code for the program under which the course is being offered - See Tab CIPCode2010 for complete list from NCES</t>
  </si>
  <si>
    <t>Course</t>
  </si>
  <si>
    <t>Source Clarification</t>
  </si>
  <si>
    <t>Student</t>
  </si>
  <si>
    <t>Course Delivery</t>
  </si>
  <si>
    <t>Any medical residency or fellowship program not listed above. This CIP code is not valid for IPEDS reporting.</t>
  </si>
  <si>
    <t>Medical Residency/Fellowship Programs, Other.</t>
  </si>
  <si>
    <t>Instructional content is defined in code 61.9999.</t>
  </si>
  <si>
    <t>Any residency or fellowship program in urology not listed above.</t>
  </si>
  <si>
    <t>Urology Residency/Fellowship Programs, Other.</t>
  </si>
  <si>
    <t>A fellowship training program that prepares individuals in the study, prevention, and management of congenital, childhood-acquired, and overlapping adolescent anomalies of the genitourinary tract, including problems, diseases, tumors, and traumas. Requires prior completion of a residency program in urology. This CIP code is not valid for IPEDS reporting.</t>
  </si>
  <si>
    <t>Pediatric Urology Fellowship Program.</t>
  </si>
  <si>
    <t>A residency training program that prepares physicians to manage congenital and acquired conditions of the genitourinary system, the adrenal gland, and other contiguous structures throughout the lifespan and which may be benign or malignant. This specialist is skilled in medical and open surgical therapy of these conditions, as well as endoscopic, percutaneous, and other minimally invasive methods. This CIP code is not valid for IPEDS reporting.</t>
  </si>
  <si>
    <t>Instructional content for this group of programs is defined in codes 61.2801 - 61.2899. These CIP codes are not valid for IPEDS reporting.</t>
  </si>
  <si>
    <t>Urology Residency/Fellowship Programs.</t>
  </si>
  <si>
    <t>Any residency or fellowship program in surgery not listed above.</t>
  </si>
  <si>
    <t>Surgery Residency/Fellowship Programs, Other.</t>
  </si>
  <si>
    <t>A fellowship training program that prepares physicians in the surgical treatment of diseases and disorders of the arterial, venous and lymphatic circulatory systems and of the heart and thoracic aorta. Requires prior or concurrent completion of a residency program in general surgery. This CIP code is not valid for IPEDS reporting.</t>
  </si>
  <si>
    <t>Vascular Surgery Fellowship Program.</t>
  </si>
  <si>
    <t>Examples: - Integrated Thoracic Surgery Fellowship Program</t>
  </si>
  <si>
    <t>A fellowship training program that prepares physicians in the evaluation and surgical treatment of pulmonary, esophageal, mediastinal, chest wall, diaphragmatic and cardiovascular disorders.  Includes instruction in bronchoscopy and esophagoscopy. Requires prior or concurrent completion of a residency program in general surgery. This CIP code is not valid for IPEDS reporting.</t>
  </si>
  <si>
    <t>Thoracic Surgery Fellowship Program.</t>
  </si>
  <si>
    <t>A fellowship training program that prepares surgeons in the diagnosis, treatment, and support of critically ill and injured patients, particularly trauma victims and patients with multiple organ dysfunction. Requires prior completion of a residency program in general surgery. This CIP code is not valid for IPEDS reporting.</t>
  </si>
  <si>
    <t>Surgical Critical Care Fellowship Program.</t>
  </si>
  <si>
    <t>A fellowship training program that prepares physicians in the diagnosis, evaluation and surgical treatment of diseases, disorders, and trauma in infants and children.  Requires prior completion of a residency program in general surgery. This CIP code is not valid for IPEDS reporting.</t>
  </si>
  <si>
    <t>Pediatric Surgery Fellowship Program.</t>
  </si>
  <si>
    <t>A fellowship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residency or fellowship program in thoracic surgery. This CIP code is not valid for IPEDS reporting.</t>
  </si>
  <si>
    <t>Congenital Cardiac Surgery Fellowship Program.</t>
  </si>
  <si>
    <t>A fellowship training program that prepares surgeons in the management of patients with difficult, rare or complex cancer presentations, including clinical evaluation, surgical management, and adjuvant therapy. Requires prior completion of a residency program in general surgery. This CIP code is not valid for IPEDS reporting.</t>
  </si>
  <si>
    <t>Complex General Surgical Oncology Fellowship Program.</t>
  </si>
  <si>
    <t>A residency training program that prepares physicians in the surgical care of patients with anorectal and colonic diseases.  Also includes instruction in diagnostic and therapeutic colonoscopy.  Requires prior or concurrent completion of a residency program in general surgery. This CIP code is not valid for IPEDS reporting.</t>
  </si>
  <si>
    <t>Instructional content for this group of programs is defined in codes 61.2701 - 61.2799.</t>
  </si>
  <si>
    <t>Surgery Residency/Fellowship Programs.</t>
  </si>
  <si>
    <t>Any medical residency or fellowship in radiology not listed above.</t>
  </si>
  <si>
    <t>Radiology Residency/Fellowship Programs, Other.</t>
  </si>
  <si>
    <t>A fellowship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residency program in diagnostic radiology. This CIP code is not valid for IPEDS reporting.</t>
  </si>
  <si>
    <t>Vascular and Interventional Radiology Fellowship Program.</t>
  </si>
  <si>
    <t>A fellowship training program that prepares physicians in all forms of diagnostic imaging as it pertains to the diagnosis and treatment of diseases in the newborn, infant, child, and adolescent. Requires prior completion of a residency program in diagnostic radiology. This CIP code is not valid for IPEDS reporting.</t>
  </si>
  <si>
    <t>Pediatric Radiology Fellowship Program.</t>
  </si>
  <si>
    <t>A fellowship training program that prepares physicians in the imaging by external detection of radionuclides and/or biodistribution by external detection of radionuclides for diagnosis of disease.  Requires prior partial completion of a residency program in diagnostic radiology. This CIP code is not valid for IPEDS reporting.</t>
  </si>
  <si>
    <t>Nuclear Radiology Fellowship Program.</t>
  </si>
  <si>
    <t>A fellowship training program that prepares diagnostic radiologists in the diagnosis and treatment of disorders of the brain, spine, spinal cord, peripheral nerves, and head and neck in adults and children. Requires prior completion of a residency program in diagnostic radiology. This CIP code is not valid for IPEDS reporting.</t>
  </si>
  <si>
    <t>Neuroradiology Fellowship Program.</t>
  </si>
  <si>
    <t>A fellowship training program that prepares diagnostic radiologists in the diagnosis and treatment of disorders or injuries of the joints, bones, muscles, and spine in adults and children. Requires prior completion of a residency program in diagnostic or interventional radiology. This CIP code is not valid for IPEDS reporting.</t>
  </si>
  <si>
    <t>Musculoskeletal Radiology Fellowship Program.</t>
  </si>
  <si>
    <t>A fellowship training program that prepares diagnostic radiologists in the diagnosis and treatment of disorders of the abdomen and pelvis in adults and children. Requires prior completion of a residency program in diagnostic or interventional radiology. This CIP code is not valid for IPEDS reporting.</t>
  </si>
  <si>
    <t>Abdominal Radiology Fellowship Program.</t>
  </si>
  <si>
    <t>A fellowship training program that prepares physicians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Does NOT require prior completion of a residency program in diagnostic radiology. This CIP code is not valid for IPEDS reporting.</t>
  </si>
  <si>
    <t>Integrated Interventional Radiology Residency Program.</t>
  </si>
  <si>
    <t>Instructional content for this group of programs is defined in codes 61.2601 - 61.2699.</t>
  </si>
  <si>
    <t>Radiology Residency/Fellowship Programs.</t>
  </si>
  <si>
    <t>Any residency or fellowship program in radiation oncology not listed above.</t>
  </si>
  <si>
    <t>Radiation Oncology Residency/Fellowship Programs, Other.</t>
  </si>
  <si>
    <t>Instructional content for this group of programs is defined in codes 61.2501 - 61.2599.</t>
  </si>
  <si>
    <t>Radiation Oncology Residency/Fellowship Programs.</t>
  </si>
  <si>
    <t>Any residency or fellowship program in psychiatry not listed above.</t>
  </si>
  <si>
    <t>Psychiatry Residency/Fellowship Programs, Other.</t>
  </si>
  <si>
    <t>A fellowship training program that prepares physicians in the prevention, evaluation, diagnosis, and treatment of mental and emotional disorders in the elderly, and to improve the psychiatric care of the elderly both in health and in disease. Requires prior completion of a residency program in psychiatry. This CIP code is not valid for IPEDS reporting.</t>
  </si>
  <si>
    <t>Geriatric Psychiatry Fellowship Program.</t>
  </si>
  <si>
    <t>A fellowship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residency program in psychiatry. This CIP code is not valid for IPEDS reporting.</t>
  </si>
  <si>
    <t>Forensic Psychiatry Fellowship Program.</t>
  </si>
  <si>
    <t>Examples: - Psychosomatic Medicine</t>
  </si>
  <si>
    <t>A fellowship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residency program in psychiatry. This CIP code is not valid for IPEDS reporting.</t>
  </si>
  <si>
    <t>Consultation-Liaison Psychiatry Fellowship Program.</t>
  </si>
  <si>
    <t>A fellowship training program that prepares physicians in the diagnosis and treatment of developmental, behavioral, emotional, and mental disorders of childhood and adolescence. Requires prior completion of a residency program in psychiatry. This CIP code is not valid for IPEDS reporting.</t>
  </si>
  <si>
    <t>Child and Adolescent Psychiatry Fellowship Program.</t>
  </si>
  <si>
    <t>A fellowship training program that prepares physicians in the evaluation and treatment of individuals with alcohol, drug, or other substance-related disorders, and of individuals with the dual diagnosis of substance-related and other psychiatric disorders. Requires prior completion of a residency program in psychiatry. This CIP code is not valid for IPEDS reporting.</t>
  </si>
  <si>
    <t>Addiction Psychiatry Fellowship Program.</t>
  </si>
  <si>
    <t>Instructional content for this group of programs is defined in codes 61.2401 - 61.2499.</t>
  </si>
  <si>
    <t>Psychiatry Residency/Fellowship Programs.</t>
  </si>
  <si>
    <t>Any residency or fellowship program in preventive medicine not listed above.</t>
  </si>
  <si>
    <t>Preventive Medicine Residency/Fellowship Programs, Other.</t>
  </si>
  <si>
    <t>Instructional content for this group of programs is defined in codes 61.2301 - 61.2399.</t>
  </si>
  <si>
    <t>Preventive Medicine Residency/Fellowship Programs.</t>
  </si>
  <si>
    <t>Any residency or fellowship program in podiatric medicine not listed above.</t>
  </si>
  <si>
    <t>Podiatric Medicine Residency/Fellowship Programs, Other.</t>
  </si>
  <si>
    <t>A residency training program that prepares podiatrists for primary practice in podiatric healthcare and foot surgery.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</si>
  <si>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and Surgery Residency Program.</t>
  </si>
  <si>
    <t>Instructional content for this group of programs is defined in codes 61.2201 - 61.2299.</t>
  </si>
  <si>
    <t>Podiatric Medicine Residency/Fellowship Programs.</t>
  </si>
  <si>
    <t>Any residency or fellowship program in plastic surgery not listed above.</t>
  </si>
  <si>
    <t>Plastic Surgery Residency/Fellowship Programs, Other.</t>
  </si>
  <si>
    <t>A fellowship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residency program in otolaryngology or plastic surgery. This CIP code is not valid for IPEDS reporting.</t>
  </si>
  <si>
    <t>Plastic Surgery Within the Head and Neck Fellowship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</si>
  <si>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Does NOT require prior completion of a program in general surgery. This CIP code is not valid for IPEDS reporting.</t>
  </si>
  <si>
    <t>Integrated 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</si>
  <si>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</si>
  <si>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Instructional content for this group of programs is defined in codes 61.2101 - 61.2199.</t>
  </si>
  <si>
    <t>Plastic Surgery Residency/Fellowship Programs.</t>
  </si>
  <si>
    <t>Any residency or fellowship program in physical medicine and rehabilitation not listed above.</t>
  </si>
  <si>
    <t>Physical Medicine and Rehabilitation Residency/Fellowship Programs, Other.</t>
  </si>
  <si>
    <t>A fellowship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residency program in physical medicine and rehabilitation. This CIP code is not valid for IPEDS reporting.</t>
  </si>
  <si>
    <t>Pediatric Rehabilitation Medicine Fellowship Program.</t>
  </si>
  <si>
    <t>A fellowship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residency program in physical medicine and rehabilitation. This CIP code is not valid for IPEDS reporting.</t>
  </si>
  <si>
    <t>Spinal Cord Injury Medicine Fellowship Program.</t>
  </si>
  <si>
    <t>Instructional content for this group of programs is defined in codes 61.2001 - 61.2099.</t>
  </si>
  <si>
    <t>Physical Medicine and Rehabilitation Residency/Fellowship Programs.</t>
  </si>
  <si>
    <t>Any residency or fellowship program in pediatrics not listed above.</t>
  </si>
  <si>
    <t>Pediatrics Residency/Fellowship Programs, Other.</t>
  </si>
  <si>
    <t>A fellowship training program that prepares physicians with special knowledge, skill, and expertise required of pediatric gastroenterologists to care for children and young adults prior to and following hepatic transplantation. Requires prior completion of a residency program in pediatrics. This CIP code is not valid for IPEDS reporting.</t>
  </si>
  <si>
    <t>Pediatric Transplant Hepatology Fellowship Program.</t>
  </si>
  <si>
    <t>A fellowship training program that prepares physicians to diagnose and treat diseases of joints, muscle, bones, and tendons in children and young adults, including arthritis, back pain, muscle strains, common athletic injuries, and collagen diseases. Requires prior completion of a residency program in pediatrics. This CIP code is not valid for IPEDS reporting.</t>
  </si>
  <si>
    <t>Pediatric Rheumatology Fellowship Program.</t>
  </si>
  <si>
    <t>A fellowship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residency program in pediatrics. This CIP code is not valid for IPEDS reporting.</t>
  </si>
  <si>
    <t>Pediatric Pulmonology Fellowship Program.</t>
  </si>
  <si>
    <t>A fellowship training program that prepares physicians in the diagnosis and management of infants, children, and adolescents with renal and genito-urinary problems, hypertension and disorders of body fluid physiology.  Requires prior completion of a residency program in pediatrics. This CIP code is not valid for IPEDS reporting.</t>
  </si>
  <si>
    <t>Pediatric Nephrology Fellowship Program.</t>
  </si>
  <si>
    <t>A fellowship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residency program in pediatrics. This CIP code is not valid for IPEDS reporting.</t>
  </si>
  <si>
    <t>Pediatric Infectious Diseases Fellowship Program.</t>
  </si>
  <si>
    <t>A fellowship training program that prepares physicians in the diagnosis and management of hematologic disorders and malignant diseases, including blood and bone marrow function, in infancy, childhood, and adolescence. Requires prior completion of a residency program in pediatrics. This CIP code is not valid for IPEDS reporting.</t>
  </si>
  <si>
    <t>Pediatric Hematology-Oncology Fellowship Program.</t>
  </si>
  <si>
    <t>A fellowship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residency program in pediatrics. This CIP code is not valid for IPEDS reporting.</t>
  </si>
  <si>
    <t>Pediatric Gastroenterology Fellowship Program.</t>
  </si>
  <si>
    <t>A fellowship training program that prepares physicians in the diagnosis and management of endocrine diseases and the regulation of hormone balance in childhood and adolescence.  Requires prior completion of a residency program in pediatrics. This CIP code is not valid for IPEDS reporting.</t>
  </si>
  <si>
    <t>Pediatric Endocrinology Fellowship Program.</t>
  </si>
  <si>
    <t>A fellowship training program that prepares physicians to manage emergencies in infants and children. Requires prior completion of a residency program in emergency medicine or pediatrics. This CIP code is not valid for IPEDS reporting.</t>
  </si>
  <si>
    <t>Pediatric Emergency Medicine Fellowship Program.</t>
  </si>
  <si>
    <t>A fellowship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residency program in pediatrics. This CIP code is not valid for IPEDS reporting.</t>
  </si>
  <si>
    <t>Pediatric Critical Care Medicine Fellowship Program.</t>
  </si>
  <si>
    <t>A fellowship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residency program in pediatrics. This CIP code is not valid for IPEDS reporting.</t>
  </si>
  <si>
    <t>Pediatric Cardiology Fellowship Program.</t>
  </si>
  <si>
    <t>A fellowship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residency program in pediatrics. This CIP code is not valid for IPEDS reporting.</t>
  </si>
  <si>
    <t>Neonatal-Perinatal Medicine Fellowship Program.</t>
  </si>
  <si>
    <t>A fellowship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residency program in pediatrics. This CIP code is not valid for IPEDS reporting.</t>
  </si>
  <si>
    <t>Developmental-Behavioral Pediatrics Fellowship Program.</t>
  </si>
  <si>
    <t>A fellowship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residency program in pediatrics. This CIP code is not valid for IPEDS reporting.</t>
  </si>
  <si>
    <t>Child Abuse Pediatrics Fellowship Program.</t>
  </si>
  <si>
    <t>A fellowship training program that prepares physicians in the unique physical, psychological, and social characteristics of adolescents and their healthcare problems and needs. Requires prior completion of a residency program in family medicine, internal medicine, or pediatrics. This CIP code is not valid for IPEDS reporting.</t>
  </si>
  <si>
    <t>Adolescent Medicine Fellowship Program.</t>
  </si>
  <si>
    <t>Instructional content for this group of programs is defined in codes 61.1901 - 61.1999.</t>
  </si>
  <si>
    <t>Pediatrics Residency/Fellowship Programs.</t>
  </si>
  <si>
    <t>Any residency or fellowship program in pathology not listed above.</t>
  </si>
  <si>
    <t>Pathology Residency/Fellowship Programs, Other.</t>
  </si>
  <si>
    <t>A fellowship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Requires prior completion of a residency program in pathology. This CIP code is not valid for IPEDS reporting.</t>
  </si>
  <si>
    <t>Radioisotopic Pathology Fellowship Program.</t>
  </si>
  <si>
    <t>A fellowship training program that prepares physicians in the laboratory diagnosis of diseases that occur during fetal growth, infancy, and child development, based on knowledge of general pathology, normal growth and development, and pediatric medicine. Requires prior completion of a residency program in pathology. This CIP code is not valid for IPEDS reporting.</t>
  </si>
  <si>
    <t>Pediatric Pathology Fellowship Program.</t>
  </si>
  <si>
    <t>A fellowship training program that prepares physicians in the laboratory analysis of nerve tissues and the clinical diagnosis of neurological and neuromuscular diseases.  Includes instruction in nerve biopsies and necropsies.  Requires prior completion of a residency program in pathology. This CIP code is not valid for IPEDS reporting.</t>
  </si>
  <si>
    <t>Neuropathology Fellowship Program.</t>
  </si>
  <si>
    <t>A fellowship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residency program in medical genetics or pathology. This CIP code is not valid for IPEDS reporting.</t>
  </si>
  <si>
    <t>Molecular Genetic Pathology Fellowship Program.</t>
  </si>
  <si>
    <t>A fellowship training program that prepares physicians in the isolation and identification of microbial agents that cause infectious disease, including viruses, bacteria, fungi, and parasites. Requires prior completion of a residency program in pathology. This CIP code is not valid for IPEDS reporting.</t>
  </si>
  <si>
    <t>Medical Microbiology Fellowship Program.</t>
  </si>
  <si>
    <t>A fellowship training program that prepares physicians in the principles and practices of applied medical research and related techniques, equipment, data systems, and research design. Includes instruction in the management of medical laboratories in research and healthcare facilities. This CIP code is not valid for IPEDS reporting.</t>
  </si>
  <si>
    <t>Laboratory Medicine Fellowship Program.</t>
  </si>
  <si>
    <t>A fellowship training program that prepares physicians in the diagnosis, treatment and laboratory management of immunologic diseases. Includes instruction in diagnostic surgical pathology, management of organ transplantation and immunotherapy.  Requires prior completion of a residency program in pathology. This CIP code is not valid for IPEDS reporting.</t>
  </si>
  <si>
    <t>Immunopathology Fellowship Program.</t>
  </si>
  <si>
    <t>Examples: - Hematopathology</t>
  </si>
  <si>
    <t>A fellowship training program that prepares physicians in the laboratory and analytical procedures for studying all facets of hematologic and coagulation disorders.  Includes instruction in the management of hematology laboratories. Requires prior completion of a residency program in pathology. This CIP code is not valid for IPEDS reporting.</t>
  </si>
  <si>
    <t>Hematological Pathology Fellowship Program.</t>
  </si>
  <si>
    <t>A fellowship training program that prepares physicians in the performance of medical autopsies, the analysis of human remains and crime scenes, and the legal follow-up and responsibilities of public pathologists.  Requires prior completion of a residency program in pathology. This CIP code is not valid for IPEDS reporting.</t>
  </si>
  <si>
    <t>Forensic Pathology Fellowship Program.</t>
  </si>
  <si>
    <t>A fellowship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residency program in pathology. This CIP code is not valid for IPEDS reporting.</t>
  </si>
  <si>
    <t>Cytopathology Fellowship Program.</t>
  </si>
  <si>
    <t>A fellowship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residency program in medical pathology. This CIP code is not valid for IPEDS reporting.</t>
  </si>
  <si>
    <t>Chemical Pathology Fellowship Program.</t>
  </si>
  <si>
    <t>A fellowship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residency program in pathology. This CIP code is not valid for IPEDS reporting.</t>
  </si>
  <si>
    <t>Blood Banking/Transfusion Medicine Fellowship Program.</t>
  </si>
  <si>
    <t>A residency training program that prepares physicians in the clinical laboratory analysis and diagnosis of disease. Includes instruction in performing clinical chemistry, cytogenetics, immunology, laboratory management, microbiology, molecular biology, quality control, serology, toxicology, and virology. This CIP code is not valid for IPEDS reporting.</t>
  </si>
  <si>
    <t>Clinical Pathology Residency Program.</t>
  </si>
  <si>
    <t>A residency training program that prepares physicians in the diagnosis of disease and anatomic abnormalities. Includes instruction in autopsy pathology, cytology, diagnostic surgical pathology, forensic medicine, laboratory management, and quality control. This CIP code is not valid for IPEDS reporting.</t>
  </si>
  <si>
    <t>Anatomic 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</si>
  <si>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</si>
  <si>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Combined Anatomic and Clinical Pathology Residency Program.</t>
  </si>
  <si>
    <t>Instructional content for this group of programs is defined in codes 61.1801 - 61.1899.</t>
  </si>
  <si>
    <t>Pathology Residency/Fellowship Programs.</t>
  </si>
  <si>
    <t>Any residency or fellowship program in otolaryngology not listed above.</t>
  </si>
  <si>
    <t>Otolaryngology Residency/Fellowship Programs, Other.</t>
  </si>
  <si>
    <t>A fellowship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residency program in otolaryngology. This CIP code is not valid for IPEDS reporting.</t>
  </si>
  <si>
    <t>Pediatric Otolaryngology Fellowship Program.</t>
  </si>
  <si>
    <t>A fellowship training program that prepares physicians to treat diseases of the ear and temporal bone, including disorders of hearing and balance. Requires prior completion of a residency program in otolaryngology. This CIP code is not valid for IPEDS reporting.</t>
  </si>
  <si>
    <t>Neurotology Fellowship Program.</t>
  </si>
  <si>
    <t>Instructional content for this group of programs is defined in codes 61.1701 - 61.1799.</t>
  </si>
  <si>
    <t>Otolaryngology Residency/Fellowship Programs.</t>
  </si>
  <si>
    <t>Any residency or fellowship program in osteopathic medicine not listed above.</t>
  </si>
  <si>
    <t>Osteopathic Medicine Residency/Fellowship Programs, Other.</t>
  </si>
  <si>
    <t>A residency training program that prepares osteopathic (DO) physicians to perform osteopathic neuromusculoskeletal diagnosis and perform Osteopathic Manipulative Treatment (OMT). This CIP code is not valid for IPEDS reporting.</t>
  </si>
  <si>
    <t>Osteopathic Neuromusculoskeletal Medicine Residency Program.</t>
  </si>
  <si>
    <t>Instructional content for this group of programs is defined in codes 61.1601 - 61.1699.</t>
  </si>
  <si>
    <t>Osteopathic Medicine Residency/Fellowship Programs.</t>
  </si>
  <si>
    <t>Any residency or fellowship program in orthopedic surgery not listed above.</t>
  </si>
  <si>
    <t>Orthopedic Surgery Residency/Fellowship Programs, Other.</t>
  </si>
  <si>
    <t>A fellowship training program that prepares physicians in the diagnosis, surgical and non-surgical treatment, and management of musculoskeletal diseases, abnormalities and trauma in infants, children, and adolescents.  Requires prior completion of a residency program in orthopedic surgery. This CIP code is not valid for IPEDS reporting.</t>
  </si>
  <si>
    <t>Pediatric Orthopedics Fellowship Program.</t>
  </si>
  <si>
    <t>A fellowship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</si>
  <si>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Orthopedic Surgery of the Spine Fellowship Program.</t>
  </si>
  <si>
    <t>A fellowship training program that prepares physicians to prevent and manage athletic injuries and to provide appropriate care for all structures of the musculoskeletal system directly affected by participation in sporting activity. Requires prior completion of a residency program in orthopedic surgery. This CIP code is not valid for IPEDS reporting.</t>
  </si>
  <si>
    <t>Orthopedic Sports Medicine Fellowship Program.</t>
  </si>
  <si>
    <t>A fellowship training program that prepares physicians in the diagnosis and treatment of musculoskeletal neoplasm, and the application of cancer therapy regimes. This CIP code is not valid for IPEDS reporting.</t>
  </si>
  <si>
    <t>Musculoskeletal Oncology Fellowship Program.</t>
  </si>
  <si>
    <t>Instructional content for this group of programs is defined in codes 61.1501 - 61.1599.</t>
  </si>
  <si>
    <t>Orthopedic Surgery Residency/Fellowship Programs.</t>
  </si>
  <si>
    <t>Any residency or fellowship program in ophthalmology not listed above.</t>
  </si>
  <si>
    <t>Ophthalmology Residency/Fellowship Programs, Other.</t>
  </si>
  <si>
    <t>Instructional content for this group of programs is defined in codes 61.1401 - 61.1499.</t>
  </si>
  <si>
    <t>Ophthalmology Residency/Fellowship Programs.</t>
  </si>
  <si>
    <t>Any residency or fellowship program in obstetrics and gynecology not listed above.</t>
  </si>
  <si>
    <t>Obstetrics and Gynecology Residency/Fellowship Programs, Other.</t>
  </si>
  <si>
    <t>A fellowship training program that prepares physicians to manage complex problems relating to reproductive endocrinology and infertility. Requires prior completion of a residency program in obstetrics and gynecology. This CIP code is not valid for IPEDS reporting.</t>
  </si>
  <si>
    <t>Reproductive Endocrinology/Infertility Fellowship Program.</t>
  </si>
  <si>
    <t>A fellowship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residency program in obstetrics and gynecology. This CIP code is not valid for IPEDS reporting.</t>
  </si>
  <si>
    <t>Maternal and Fetal Medicine Fellowship Program.</t>
  </si>
  <si>
    <t>A fellowship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residency program in obstetrics and gynecology. This CIP code is not valid for IPEDS reporting.</t>
  </si>
  <si>
    <t>Gynecologic Oncology Fellowship Program.</t>
  </si>
  <si>
    <t>Instructional content for this group of programs is defined in codes 61.1301 - 61.1399.</t>
  </si>
  <si>
    <t>Obstetrics and Gynecology Residency/Fellowship Programs.</t>
  </si>
  <si>
    <t>Any residency or fellowship program in nuclear medicine not listed above.</t>
  </si>
  <si>
    <t>Nuclear Medicine Residency/Fellowship Programs, Other.</t>
  </si>
  <si>
    <t>Instructional content for this group of programs is defined in codes 61.1201 - 61.1299.</t>
  </si>
  <si>
    <t>Nuclear Medicine Residency/Fellowship Programs.</t>
  </si>
  <si>
    <t>Any residency or fellowship program in neurology not listed above.</t>
  </si>
  <si>
    <t>Neurology Residency/Fellowship Programs, Other.</t>
  </si>
  <si>
    <t>A fellowship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residency program in neurology or child neurology. This CIP code is not valid for IPEDS reporting.</t>
  </si>
  <si>
    <t>Vascular Neurology Fellowship Program.</t>
  </si>
  <si>
    <t>A fellowship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residency program in neurology, child neurology, or pediatrics. This CIP code is not valid for IPEDS reporting.</t>
  </si>
  <si>
    <t>Neurodevelopmental Disabilities Fellowship Program.</t>
  </si>
  <si>
    <t>A fellowship training program that prepares physicians in the diagnosis, treatment, and research of headache and related disorders. Requires prior completion of a residency program in neurology. This CIP code is not valid for IPEDS reporting.</t>
  </si>
  <si>
    <t>Headache Medicine Fellowship Program.</t>
  </si>
  <si>
    <t>A fellowship training program that prepares physicians in the diagnosis and treatment of patients with epileptic seizures or with symptoms and signs whose differential diagnosis includes epileptic seizures. Requires prior completion of a residency program in neurology. This CIP code is not valid for IPEDS reporting.</t>
  </si>
  <si>
    <t>Epilepsy Fellowship Program.</t>
  </si>
  <si>
    <t>A fellowship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residency program in neurology, child neurology, or psychiatry. This CIP code is not valid for IPEDS reporting.</t>
  </si>
  <si>
    <t>Clinical Neurophysiology Fellowship Program.</t>
  </si>
  <si>
    <t>Instructional content for this group of programs is defined in codes 61.1101 - 61.1199.</t>
  </si>
  <si>
    <t>Neurology Residency/Fellowship Programs.</t>
  </si>
  <si>
    <t>Any residency or fellowship program in neurological surgery not listed above.</t>
  </si>
  <si>
    <t>Neurological Surgery Residency/Fellowship Programs, Other.</t>
  </si>
  <si>
    <t>Instructional content for this group of programs is defined in codes 61.1001 - 61.1099.</t>
  </si>
  <si>
    <t>Neurological Surgery Residency/Fellowship Programs.</t>
  </si>
  <si>
    <t>Any residency or fellowship program in medical genetics and genomics not listed above.</t>
  </si>
  <si>
    <t>Medical Genetics and Genomics Residency/Fellowship Programs, Other.</t>
  </si>
  <si>
    <t>A residency training program that prepares physicians in the diagnosis and medical management of individuals with inborn errors of metabolism, including the provision of direct care and consultative care for individuals of all ages. Requires prior completion of a residency program in medical genetics. This CIP code is not valid for IPEDS reporting.</t>
  </si>
  <si>
    <t>Examples: - Clinical Cytogenetics and Genomics Residency Program, - Clinical Molecular Genetics and Genomics Residency Program</t>
  </si>
  <si>
    <t>A residency training program that prepares physicians to direct and interpret both clinical cytogenetic and molecular genetic analyses relevant to the diagnosis and management of human genetic diseases. One of three general certificates in the area of medical genetics. This CIP code is not valid for IPEDS reporting.</t>
  </si>
  <si>
    <t>Laboratory Genetics and Genomics Residency Program.</t>
  </si>
  <si>
    <t>A residency training program that prepares physicians to provide comprehensive diagnostic, management, and counseling services for individuals and families at risk for clinical disorders with a genetic basis. One of three general certificates in the area of medical genetics. This CIP code is not valid for IPEDS reporting.</t>
  </si>
  <si>
    <t>Clinical Genetics and Genomics Residency Program.</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</si>
  <si>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three general certificates in the area of medical genetics. This CIP code is not valid for IPEDS reporting.</t>
  </si>
  <si>
    <t>Instructional content for this group of programs is defined in codes 61.0901 - 61.0999.</t>
  </si>
  <si>
    <t>Medical Genetics and Genomics Residency/Fellowship Programs.</t>
  </si>
  <si>
    <t>Any residency or fellowship program in internal medicine not listed above.</t>
  </si>
  <si>
    <t>Internal Medicine Residency/Fellowship Programs, Other.</t>
  </si>
  <si>
    <t>A fellowship training program that prepares physicians with special knowledge and the skill required of a gastroenterologist to care for patients prior to and following hepatic transplantation that spans all phases of liver transplantation. Requires prior completion of a residency program in internal medicine. This CIP code is not valid for IPEDS reporting.</t>
  </si>
  <si>
    <t>Transplant Hepatology Fellowship Program.</t>
  </si>
  <si>
    <t>A fellowship training program that prepares physicians in the diagnosis and treatment of patients with acute and chronic rheumatic diseases, diffuse connective tissue diseases, systemic and metabolic diseases and infections and complications following surgery. Requires prior completion of a residency program in internal medicine. This CIP code is not valid for IPEDS reporting.</t>
  </si>
  <si>
    <t>Rheumatology Fellowship Program.</t>
  </si>
  <si>
    <t>A fellowship training program that prepares physicians in pulmonary physiology and the treatment of lung diseases, pulmonary malignancies, related vascular diseases, respiratory disorders, diagnostic and therapeutic procedures, and pulmonary pathology. Requires prior completion of a residency program in internal medicine. This CIP code is not valid for IPEDS reporting.</t>
  </si>
  <si>
    <t>Pulmonary Disease Fellowship Program.</t>
  </si>
  <si>
    <t>A fellowship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residency program in internal medicine. This CIP code is not valid for IPEDS reporting.</t>
  </si>
  <si>
    <t>Medical Oncology Fellowship Program.</t>
  </si>
  <si>
    <t>A fellowship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residency program in internal medicine. This CIP code is not valid for IPEDS reporting.</t>
  </si>
  <si>
    <t>Nephrology Fellowship Program.</t>
  </si>
  <si>
    <t>A fellowship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residency program in internal medicine. This CIP code is not valid for IPEDS reporting.</t>
  </si>
  <si>
    <t>Interventional Cardiology Fellowship Program.</t>
  </si>
  <si>
    <t>A fellowship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residency program in internal medicine. This CIP code is not valid for IPEDS reporting.</t>
  </si>
  <si>
    <t>Infectious Disease Fellowship Program.</t>
  </si>
  <si>
    <t>A fellowship training program that prepares physicians in the diagnosis and treatment of cancer, benign and malignant tumors, and diseases of the blood, bone marrow, spleen, and lymph. Requires prior completion of a residency program in internal medicine. This CIP code is not valid for IPEDS reporting.</t>
  </si>
  <si>
    <t>Hematology-Oncology Fellowship Program.</t>
  </si>
  <si>
    <t>A fellowship training program that prepares physicians in the mechanisms and therapy of diseases of the blood, bone marrow, spleen, and lymph, including patient management, diagnostic tests, biopsies, and other procedures. Requires prior completion of a residency program in internal medicine or pathology. This CIP code is not valid for IPEDS reporting.</t>
  </si>
  <si>
    <t>Hematology Fellowship Program.</t>
  </si>
  <si>
    <t>A fellowship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residency program in internal medicine. This CIP code is not valid for IPEDS reporting.</t>
  </si>
  <si>
    <t>Gastroenterology Fellowship Program.</t>
  </si>
  <si>
    <t>A fellowship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residency program in internal medicine. This CIP code is not valid for IPEDS reporting.</t>
  </si>
  <si>
    <t>Endocrinology, Diabetes, and Metabolism Fellowship Program.</t>
  </si>
  <si>
    <t>A fellowship training program, within the subspecialty of cardiovascular disease, which prepares physicians in intricate technical procedures to evaluate heart rhythms and determine appropriate treatment. Requires prior completion of a residency program in internal medicine. This CIP code is not valid for IPEDS reporting.</t>
  </si>
  <si>
    <t>Clinical Cardiac Electrophysiology Fellowship Program.</t>
  </si>
  <si>
    <t>Examples: - Cardiology Fellowship Program</t>
  </si>
  <si>
    <t>A fellowship training program that prepares physicians to specialize in diseases of the heart and blood vessels and to manage complex cardiac conditions such as heart attacks and life-threatening, abnormal heartbeat rhythms. Requires prior completion of a residency program in internal medicine. This CIP code is not valid for IPEDS reporting.</t>
  </si>
  <si>
    <t>Cardiovascular Disease Fellowship Program.</t>
  </si>
  <si>
    <t>Instructional content for this group of programs is defined in codes 61.0801 - 61.0899.</t>
  </si>
  <si>
    <t>Internal Medicine Residency/Fellowship Programs.</t>
  </si>
  <si>
    <t>Any residency or fellowship program in family medicine not listed above.</t>
  </si>
  <si>
    <t>Family Medicine Residency/Fellowship Programs, Other.</t>
  </si>
  <si>
    <t>Instructional content for this group of programs is defined in codes 61.0701 - 61.0799.</t>
  </si>
  <si>
    <t>Family Medicine Residency/Fellowship Programs.</t>
  </si>
  <si>
    <t>Any residency or fellowship program in emergency medicine not listed above.</t>
  </si>
  <si>
    <t>Emergency Medicine Residency/Fellowship Programs, Other.</t>
  </si>
  <si>
    <t>A fellowship training program that prepares physicians in the leadership and medical oversight of pre- and out-of-hospital emergency care systems with advanced competencies in Emergency Medical System (EMS) system design, administration, and clinical care. Includes instruction in clinical aspects of EMS, medical oversight of EMS, mass casualty management,  disaster planning and operations, wilderness EMS systems, and quality management and research. Requires prior completion of a residency program in emergency medicine. This CIP code is not valid for IPEDS reporting.</t>
  </si>
  <si>
    <t>Emergency Medical Services Fellowship Program.</t>
  </si>
  <si>
    <t>Examples: - Disaster Medicine and Emergency Management Fellowship</t>
  </si>
  <si>
    <t>A fellowship training program that prepares physicians to provide care for the victims of natural and man-made disasters with specific consideration given to timeliness and availability of resources. Includes instruction in emergency medicine and its associated acute care specialties, public health, emergency management, humanitarian services, and prehospital emergency medical services (EMS). Requires prior completion of a residency program in emergency medicine. This CIP code is not valid for IPEDS reporting.</t>
  </si>
  <si>
    <t>Disaster Medicine Fellowship Program.</t>
  </si>
  <si>
    <t>Instructional content for this group of programs is defined in codes 61.0601 - 61.0699.</t>
  </si>
  <si>
    <t>Emergency Medicine Residency/Fellowship Programs.</t>
  </si>
  <si>
    <t>Any residency or fellowship program in dermatology not listed above.</t>
  </si>
  <si>
    <t>Dermatology Residency/Fellowship Programs, Other.</t>
  </si>
  <si>
    <t>A fellowship training program that prepares physicians in the treatment of specific skin disease categories, with emphasis on those diseases which predominate in infants, children, and adolescents. Requires prior completion of a residency program in dermatology. This CIP code is not valid for IPEDS reporting.</t>
  </si>
  <si>
    <t>Pediatric Dermatology Fellowship Program.</t>
  </si>
  <si>
    <t>A fellowship training program that prepares physicians in the clinical and microscopic diagnosis and analysis of skin diseases and disorders.  Includes instruction in laboratory administration and the supervision and training of support personnel.  Requires prior completion of a residency program in dermatology. This CIP code is not valid for IPEDS reporting.</t>
  </si>
  <si>
    <t>Dermatopathology Fellowship Program.</t>
  </si>
  <si>
    <t>Instructional content for this group of programs is defined in codes 61.0501 - 61.0599.</t>
  </si>
  <si>
    <t>Dermatology Residency/Fellowship Programs.</t>
  </si>
  <si>
    <t>Any residency or fellowship program in anesthesiology not listed above.</t>
  </si>
  <si>
    <t>Anesthesiology Residency/Fellowship Programs, Other.</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</si>
  <si>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</si>
  <si>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Instructional content for this group of programs is defined in codes 61.0401 - 61.0499.</t>
  </si>
  <si>
    <t>Anesthesiology Residency/Fellowship Programs.</t>
  </si>
  <si>
    <t>Any residency or fellowship in allergy or immunology not listed above.</t>
  </si>
  <si>
    <t>Allergy and Immunology Residency/Fellowship Programs, Other.</t>
  </si>
  <si>
    <t>A fellowship training program that prepares physicians in the delivery of skilled medical care to patients suffering from allergic, asthmatic, and immunologic diseases. Requires completion of a prior residency program in internal medicine or pediatrics. This CIP code is not valid for IPEDS reporting.</t>
  </si>
  <si>
    <t>Allergy and Immunology Fellowship Program.</t>
  </si>
  <si>
    <t>Instructional content for this group of programs is defined in codes 61.0301 - 61.0399.</t>
  </si>
  <si>
    <t>Allergy and Immunology Residency/Fellowship Programs.</t>
  </si>
  <si>
    <t>Any multiple-pathway medical fellowship program not listed above.</t>
  </si>
  <si>
    <t>Multiple-Pathway Medical Fellowship Programs, Other.</t>
  </si>
  <si>
    <t>Examples: - Global Women's Health Fellowship, - Sex and Gender Fellowship, - Women's Health Fellowship</t>
  </si>
  <si>
    <t>A fellowship training program that prepares physicians to provide high-quality and culturally competent reproductive and gynecologic care to women, and to understand the interactions of biological, societal, behavioral, political, and environmental issues on the overall health of women. Requires prior completion of a residency program in emergency medicine, internal medicine, obstetrics-gynecology, or psychiatry. This CIP code is not valid for IPEDS reporting.</t>
  </si>
  <si>
    <t>Women's Health Fellowship Program.</t>
  </si>
  <si>
    <t>A fellowship training program that prepares physicians to practice medicine with limited resources in austere environments or to provide healthcare anywhere in which environmental conditions have physiologic insult to a patient. Requires prior completion of a medical residency program. This CIP code is not valid for IPEDS reporting.</t>
  </si>
  <si>
    <t>Wilderness Medicine Fellowship Program.</t>
  </si>
  <si>
    <t>A fellowship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residency program in emergency medicine or preventive medicine. This CIP code is not valid for IPEDS reporting.</t>
  </si>
  <si>
    <t>Undersea and Hyperbaric Medicine Fellowship Program.</t>
  </si>
  <si>
    <t>Examples: - Telehealth Residency Program</t>
  </si>
  <si>
    <t>A fellowship training program that prepares physicians to bring together technology and clinical medicine to enhance the overall delivery of medical care. Requires prior completion of an accredited medical residency program. This CIP code is not valid for IPEDS reporting.</t>
  </si>
  <si>
    <t>Telemedicine Fellowship Program.</t>
  </si>
  <si>
    <t>A fellowship training program that prepares physicians in the investigation, preservation, and restoration by medical, surgical or physical methods of all structures of the upper extremity which directly affect the form and function of the limb, wrist, and hand. Requires prior completion of a residency program in orthopedic surgery, plastic surgery, or general surgery. This CIP code is not valid for IPEDS reporting.</t>
  </si>
  <si>
    <t>Surgery of the Hand Fellowship Program.</t>
  </si>
  <si>
    <t>A fellowship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residency program in emergency medicine, family medicine, internal medicine, orthopedic surgery, pediatrics, or physical medicine and rehabilitation. This CIP code is not valid for IPEDS reporting.</t>
  </si>
  <si>
    <t>Sports Medicine Fellowship Program.</t>
  </si>
  <si>
    <t>A fellowship training program that prepares physicians in the diagnosis and management of clinical conditions that occur during sleep, that disturb sleep, or that are affected by disturbances in the wake-sleep cycle; in the analysis and interpretation of comprehensive polysomnography; and in the management of a sleep laboratory. Requires prior completion of a residency program in family medicine, internal medicine, neurology, child neurology, otolaryngology, pediatrics, or psychiatry. This CIP code is not valid for IPEDS reporting.</t>
  </si>
  <si>
    <t>Sleep Medicine Fellowship Program.</t>
  </si>
  <si>
    <t>A fellowship training program that prepares physicians to develop, implement, manage, and assess healthcare simulation-based activities and programs. Requires prior completion of an accredited medical residency program. This CIP code is not valid for IPEDS reporting.</t>
  </si>
  <si>
    <t>Simulation Fellowship Program.</t>
  </si>
  <si>
    <t>51.1403 - Pain Management.</t>
  </si>
  <si>
    <t>A fellowship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residency program in anesthesiology, neurology, child neurology, physical medicine and rehabilitation, or psychiatry. This CIP code is not valid for IPEDS reporting.</t>
  </si>
  <si>
    <t>Pain Medicine Fellowship Program.</t>
  </si>
  <si>
    <t>A fellowship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residency program in neurology, child neurology, or physical medicine and rehabilitation. This CIP code is not valid for IPEDS reporting.</t>
  </si>
  <si>
    <t>Neuromuscular Medicine Fellowship Program.</t>
  </si>
  <si>
    <t>A fellowship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residency program in emergency medicine, pediatrics, or preventive medicine. This CIP code is not valid for IPEDS reporting.</t>
  </si>
  <si>
    <t>Medical Toxicology Fellowship Program.</t>
  </si>
  <si>
    <t>51.3202 - Health Professions Education.</t>
  </si>
  <si>
    <t>A fellowship training program that prepares physicians to teach deliver, design, and evaluate courses and curricula for medical students, residents, and faculty. Requires prior completion of an accredited medical residency program. This CIP code is not valid for IPEDS reporting.</t>
  </si>
  <si>
    <t>Medical Education Fellowship Program.</t>
  </si>
  <si>
    <t>Examples: - Integrative Geriatric Fellowship Program, - Academic Integrative Health Fellowship Program, - Integrative Health and Medicine Fellowship Program, - Lifestyle Medicine Fellowship Program</t>
  </si>
  <si>
    <t>A fellowship training program that prepares physicians to practice medicine in a way that reaffirms the importance of the relationship between practitioner and patient; focuses on the whole person; is informed by evidence; and makes use of all appropriate therapeutic approaches, healthcare professionals, and disciplines to achieve optimal health and healing. Requires prior completion of an accredited medical residency program. This CIP code is not valid for IPEDS reporting.</t>
  </si>
  <si>
    <t>Integrative Medicine Fellowship Program.</t>
  </si>
  <si>
    <t>A fellowship training program that prepares physicians to prevent and relieve the suffering experienced by patients with life-limiting illnesses and to maximize the quality of life while addressing the physical, psychological, social, and spiritual needs of both patient and family throughout the course of the disease, including through the dying process and subsequent family grieving. Requires prior completion of a residency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</si>
  <si>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Hospice and Palliative Medicine Fellowship Program.</t>
  </si>
  <si>
    <t>A fellowship training program that prepares physicians to effect change within the health care system and advocate for the practice of medicine to ultimately shape the future health care landscape on both local and national levels. Requires prior completion of an accredited medical residency program. This CIP code is not valid for IPEDS reporting.</t>
  </si>
  <si>
    <t>Health Policy Fellowship Program.</t>
  </si>
  <si>
    <t>A fellowship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residency program in family medicine or internal medicine. This CIP code is not valid for IPEDS reporting.</t>
  </si>
  <si>
    <t>Geriatric Medicine Fellowship Program.</t>
  </si>
  <si>
    <t>A fellowship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residency program in anesthesiology, internal medicine, or obstetrics and gynecology. Note: critical care anesthesiology is no longer a medical subspecialty, but anesthesiologists may complete a subspecialty in critical care medicine. This CIP code is not valid for IPEDS reporting.</t>
  </si>
  <si>
    <t>Critical Care Medicine Fellowship Program.</t>
  </si>
  <si>
    <t>Instructional content for this group of programs is defined in codes 61.0202 - 61.0299.</t>
  </si>
  <si>
    <t>Multiple-Pathway Medical Fellowship Programs.</t>
  </si>
  <si>
    <t>Any combined medical residency or fellowship program not listed above.</t>
  </si>
  <si>
    <t>Combined Medical Residency/Fellowship Programs, Other.</t>
  </si>
  <si>
    <t>A combined educational program in reproductive endocrinology and infertility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</si>
  <si>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Reproductive Endocrinology and Infertility/Medical Genetics and Genomics Combined Specialty Program.</t>
  </si>
  <si>
    <t>A combined educational program in psychiatry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</si>
  <si>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Psychiatry/Neurology Combined Specialty Program.</t>
  </si>
  <si>
    <t>A combined educational program in pediatrics, psychology, and child-adolescent psychology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</si>
  <si>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Pediatrics/Psychology/Child-Adolescent Psychology Combined Specialty Program.</t>
  </si>
  <si>
    <t>A combined educational program in pediatrics and physical medicine and rehabilitation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</si>
  <si>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Pediatrics/Physical Medicine &amp; Rehabilitation Combined Specialty Program.</t>
  </si>
  <si>
    <t>A combined educational program in pediatrics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</si>
  <si>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Pediatrics/Medical Genetics and Genomics Combined Specialty Program.</t>
  </si>
  <si>
    <t>A combined educational program in pediatrics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</si>
  <si>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Pediatrics/Emergency Medicine Combined Specialty Program.</t>
  </si>
  <si>
    <t>A combined educational program in pediatrics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</si>
  <si>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Pediatrics/Anesthesiology Combined Specialty Program.</t>
  </si>
  <si>
    <t>A combined educational program in medical genetics and genomics and maternal-fetal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</si>
  <si>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Medical Genetics and Genomics/Maternal-Fetal Medicine Combined Specialty Program.</t>
  </si>
  <si>
    <t>A combined educational program in internal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</si>
  <si>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Medicine/Psychiatry Combined Specialty Program.</t>
  </si>
  <si>
    <t>A combined educational program in internal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</si>
  <si>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Medicine/Preventive Medicine Combined Specialty Program.</t>
  </si>
  <si>
    <t>A combined educational program in internal medicine and pediatrics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</si>
  <si>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Medicine/Pediatrics Combined Specialty Program.</t>
  </si>
  <si>
    <t>A combined educational program in internal medicine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</si>
  <si>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Medicine/Neurology Combined Specialty Program.</t>
  </si>
  <si>
    <t>A combined educational program in internal medicine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</si>
  <si>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Medicine/Medical Genetics and Genomics Combined Specialty Program.</t>
  </si>
  <si>
    <t>A combined educational program in internal medicine and family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</si>
  <si>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Medicine/Family Medicine Combined Specialty Program.</t>
  </si>
  <si>
    <t>A combined educational program in internal medicine, emergency medicine, and critical care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</si>
  <si>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Medicine/Critical Care Medicine Combined Specialty Program.</t>
  </si>
  <si>
    <t>A combined educational program in internal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</si>
  <si>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 Combined Specialty Program.</t>
  </si>
  <si>
    <t>A combined educational program in internal medicine and dermatology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</si>
  <si>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Medicine/Dermatology Combined Specialty Program.</t>
  </si>
  <si>
    <t>A combined educational program in internal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</si>
  <si>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Medicine/Anesthesiology Combined Specialty Program.</t>
  </si>
  <si>
    <t>A combined educational program in family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</si>
  <si>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Medicine/Psychiatry Combined Specialty Program.</t>
  </si>
  <si>
    <t>A combined educational program in family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</si>
  <si>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Medicine/Preventive Medicine Combined Specialty Program.</t>
  </si>
  <si>
    <t>A combined educational program in family medicine and osteopathic neuromusculoskeletal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</si>
  <si>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Medicine/Osteopathic Neuromusculoskeletal Medicine Combined Specialty Program.</t>
  </si>
  <si>
    <t>A combined educational program in family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</si>
  <si>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Medicine/Emergency Medicine Combined Specialty Program.</t>
  </si>
  <si>
    <t>A combined educational program in emergency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</si>
  <si>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Emergency Medicine/Anesthesiology Combined Specialty Program.</t>
  </si>
  <si>
    <t>A combined educational program in diagnostic radiology and nuclear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</si>
  <si>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Diagnostic Radiology/Nuclear Medicine Combined Specialty Program.</t>
  </si>
  <si>
    <t>A combined educational program in two or more closely related medical specialty or subspecialty programs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</si>
  <si>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Combined Medical Residency/Fellowship Program, General.</t>
  </si>
  <si>
    <t>Instructional content for this group of programs is defined in codes 61.0101 - 61.0199.</t>
  </si>
  <si>
    <t>Combined Medical Residency/Fellowship Programs.</t>
  </si>
  <si>
    <t>Programs that prepare allopathic physicians (MD), osteopathic physicians (DO), and podiatrists (DPM) for certification as practitioners of recognized medical specialties. These programs are approved and accredited by the Accreditation Council for Graduate Medical Education (ACGME) or the Council on Podiatric Medical Education (CPME) and require from one to seven years to complete, depending on the program. Residency programs that also result in the completion of an academic degree (e.g., MS, PhD), should be reported under one of the clinical sciences codes located in Series 26, 51.05, or 51.14, rather than in a residency code located in Series 61. These CIP Codes are not valid for IPEDS reporting.</t>
  </si>
  <si>
    <t>MEDICAL RESIDENCY/FELLOWSHIP PROGRAMS.</t>
  </si>
  <si>
    <t>Any health professions residency or fellowship program not listed above. This CIP code is not valid for IPEDS reporting.</t>
  </si>
  <si>
    <t>Health Professions Residency/Fellowship Programs, Other.</t>
  </si>
  <si>
    <t>Instructional content is defined in code 60.9999. These CIP codes are not valid for IPEDS reporting.</t>
  </si>
  <si>
    <t>Examples: - Physician Associate Residency/Fellowship Program, Other.</t>
  </si>
  <si>
    <t>Any residency or fellowship program for physician associates/assistants not listed above. This CIP code is not valid for IPEDS reporting.</t>
  </si>
  <si>
    <t>Physician Assistant Residency/Fellowship Program, Other.</t>
  </si>
  <si>
    <t>Examples: - Urology Physician Associate Residency/Fellowship Program.</t>
  </si>
  <si>
    <t>A residency or fellowship program for licensed physician associates/assistants that provides advanced training in urology. This CIP Code is not valid for IPEDS reporting.</t>
  </si>
  <si>
    <t>Urology Physician Assistant Residency/Fellowship Program.</t>
  </si>
  <si>
    <t>Examples: - Transplant Surgery Physician Associate Residency/Fellowship Program., - Abdominal Organ Transplantation Physician Associate Residency Program., - Abdominal Organ Transplantation Physician Assistant Residency Program.</t>
  </si>
  <si>
    <t>A residency or fellowship program for licensed physician associates/assistants that provides advanced training in transplant surgery. This CIP Code is not valid for IPEDS reporting.</t>
  </si>
  <si>
    <t>Transplant Surgery Physician Assistant Residency/Fellowship Program.</t>
  </si>
  <si>
    <t>Examples: - Pediatric Surgery Physician Associate Residency/Fellowship Program.</t>
  </si>
  <si>
    <t>A residency or fellowship program for licensed physician associates/assistants that provides advanced training in pediatric surgery. This CIP Code is not valid for IPEDS reporting.</t>
  </si>
  <si>
    <t>Pediatric Surgery Physician Assistant Residency/Fellowship Program.</t>
  </si>
  <si>
    <t>Examples: - Orthopedic Surgery Physician Associate Residency/Fellowship Program.</t>
  </si>
  <si>
    <t>A residency or fellowship program for licensed physician associates/assistants that provides advanced training in orthopedic surgery. This CIP Code is not valid for IPEDS reporting.</t>
  </si>
  <si>
    <t>Orthopedic Surgery Physician Assistant Residency/Fellowship Program.</t>
  </si>
  <si>
    <t>Examples: - Neurosurgery Physician Associate Residency/Fellowship Program.</t>
  </si>
  <si>
    <t>A residency or fellowship program for licensed physician associates/assistants that provides advanced training in neurosurgery. This CIP Code is not valid for IPEDS reporting.</t>
  </si>
  <si>
    <t>Neurosurgery Physician Assistant Residency/Fellowship Program.</t>
  </si>
  <si>
    <t>Examples: - Hospitalist Physician Associate Residency/Fellowship Program.</t>
  </si>
  <si>
    <t>A residency or fellowship program for licensed physician associates/assistants that provides advanced training in hospital medicine. This CIP Code is not valid for IPEDS reporting.</t>
  </si>
  <si>
    <t>Hospitalist Physician Assistant Residency/Fellowship Program.</t>
  </si>
  <si>
    <t>Examples: - Hepatobiliary Surgery Physician Associate Residency/Fellowship Program.</t>
  </si>
  <si>
    <t>A residency or fellowship program for licensed physician associates/assistants that provides advanced training in hepatobiliary surgery. This CIP Code is not valid for IPEDS reporting.</t>
  </si>
  <si>
    <t>Hepatobiliary Surgery Physician Assistant Residency/Fellowship Program.</t>
  </si>
  <si>
    <t>Examples: - Hematology-Oncology Physician Associate Residency/Fellowship Program.</t>
  </si>
  <si>
    <t>A residency or fellowship program for licensed physician associates/assistants that provides advanced training in hematology and oncology. This CIP Code is not valid for IPEDS reporting.</t>
  </si>
  <si>
    <t>Hematology-Oncology Physician Assistant Residency/Fellowship Program.</t>
  </si>
  <si>
    <t>Examples: - Geriatrics Physician Associate Residency/Fellowship Program.</t>
  </si>
  <si>
    <t>A residency or fellowship program for licensed physician associates/assistants that provides advanced training in geriatrics. This CIP Code is not valid for IPEDS reporting.</t>
  </si>
  <si>
    <t>Geriatrics Physician Assistant Residency/Fellowship Program.</t>
  </si>
  <si>
    <t>Examples: - Family Medicine Physician Associate Residency/Fellowship Program.</t>
  </si>
  <si>
    <t>A residency or fellowship program for licensed physician associates/assistants that provides advanced training in family medicine. This CIP Code is not valid for IPEDS reporting.</t>
  </si>
  <si>
    <t>Family Medicine Physician Assistant Residency/Fellowship Program.</t>
  </si>
  <si>
    <t>Examples: - ENT Surgery Physician Associate Residency/Fellowship Program.</t>
  </si>
  <si>
    <t>A residency or fellowship program for licensed physician associates/assistants that provides advanced training in ENT (ears, nose, and throat) surgery. This CIP Code is not valid for IPEDS reporting.</t>
  </si>
  <si>
    <t>ENT Surgery Physician Assistant Residency/Fellowship Program.</t>
  </si>
  <si>
    <t>Examples: - Emergency Medicine Physician Associate Residency/Fellowship Program.</t>
  </si>
  <si>
    <t>A residency or fellowship program for licensed physician associates/assistants that provides advanced training in emergency medicine. This CIP Code is not valid for IPEDS reporting.</t>
  </si>
  <si>
    <t>Emergency Medicine Physician Assistant Residency/Fellowship Program.</t>
  </si>
  <si>
    <t>Examples: - Critical Care and Trauma Surgery Physician Associate Residency/Fellowship Program.</t>
  </si>
  <si>
    <t>A residency or fellowship program for licensed physician associates/assistants that provides advanced training in critical care and trauma surgery. This CIP Code is not valid for IPEDS reporting.</t>
  </si>
  <si>
    <t>Critical Care and Trauma Surgery Physician Assistant Residency/Fellowship Program.</t>
  </si>
  <si>
    <t>Examples: - Critical Care Physician Associate Residency/Fellowship Program.</t>
  </si>
  <si>
    <t>A residency or fellowship program for licensed physician associates/assistants that provides advanced training in critical care medicine. This CIP Code is not valid for IPEDS reporting.</t>
  </si>
  <si>
    <t>Critical Care Physician Assistant Residency/Fellowship Program.</t>
  </si>
  <si>
    <t>Examples: - Cardiothoracic Surgery Physician Associate Residency/Fellowship Program.</t>
  </si>
  <si>
    <t>A residency or fellowship program for licensed physician associates/assistants that provides advanced training in cardiothoracic surgery. This CIP Code is not valid for IPEDS reporting.</t>
  </si>
  <si>
    <t>Cardiothoracic Surgery Physician Assistant Residency/Fellowship Program.</t>
  </si>
  <si>
    <t>Examples: - Cardiology Physician Associate Residency/Fellowship Program.</t>
  </si>
  <si>
    <t>A residency or fellowship program for licensed physician associates/assistants that provides advanced training in cardiology. This CIP Code is not valid for IPEDS reporting.</t>
  </si>
  <si>
    <t>Cardiology Physician Assistant Residency/Fellowship Program.</t>
  </si>
  <si>
    <t>Examples: - Acute Care Surgery Physician Associate Residency/Fellowship Program.</t>
  </si>
  <si>
    <t>A residency or fellowship program for licensed physician associates/assistants that provides advanced training in acute care surgery. This CIP Code is not valid for IPEDS reporting.</t>
  </si>
  <si>
    <t>Acute Care Surgery Physician Assistant Residency/Fellowship Program.</t>
  </si>
  <si>
    <t>Examples: - Acute Care Medicine Physician Associate Residency/Fellowship Program.</t>
  </si>
  <si>
    <t>A residency or fellowship program for licensed physician associates/assistants that provides advanced training in acute care medicine. This CIP Code is not valid for IPEDS reporting.</t>
  </si>
  <si>
    <t>Acute Care Medicine Physician Assistant Residency/Fellowship Program.</t>
  </si>
  <si>
    <t>Examples: - Combined Physician Associate Residency/Fellowship Program.</t>
  </si>
  <si>
    <t>A residency or fellowship program for licensed physician associates/assistants that provides advanced training in two or more medical or surgical specialties. This CIP Code is not valid for IPEDS reporting.</t>
  </si>
  <si>
    <t>Combined Physician Assistant Residency/Fellowship Program.</t>
  </si>
  <si>
    <t>Examples: - Physician Associate Residency/Fellowship Program, General.</t>
  </si>
  <si>
    <t>A residency or fellowship program for licensed physician associates/assistants that provides advanced training in medicine. This CIP Code is not valid for IPEDS reporting.</t>
  </si>
  <si>
    <t>Physician Assistant Residency/Fellowship Program, General.</t>
  </si>
  <si>
    <t>Instructional content for this group of programs is defined in codes 60.0901 - 60.0999. These CIP codes are not valid for IPEDS reporting.</t>
  </si>
  <si>
    <t>Physician Assistant Residency/Fellowship Programs.</t>
  </si>
  <si>
    <t>Any residency or fellowship program in pharmacy not listed above. This CIP code is not valid for IPEDS reporting.</t>
  </si>
  <si>
    <t>Pharmacy Residency Programs, Other.</t>
  </si>
  <si>
    <t>Examples: - Solid Organ Transplant Pharmacy Residency Program, - Transplantional/Immunology Pharmacy Residency Program</t>
  </si>
  <si>
    <t>A residency or fellowship program for licensed pharmacists that provides advanced training in transplantation pharmacy. This CIP Code is not valid for IPEDS reporting.</t>
  </si>
  <si>
    <t>Transplantation Pharmacy Residency/Fellowship Program.</t>
  </si>
  <si>
    <t>A residency or fellowship program for licensed pharmacists that provides advanced training in psychiatric pharmacy. This CIP Code is not valid for IPEDS reporting.</t>
  </si>
  <si>
    <t>Psychiatric Pharmacy Residency/Fellowship Program.</t>
  </si>
  <si>
    <t>Examples: - Pharmacoeconomics and Outcomes Research Pharmacy Residency Program</t>
  </si>
  <si>
    <t>A residency or fellowship program for licensed pharmacists that provides advanced training in pharmacy informatics. This CIP Code is not valid for IPEDS reporting.</t>
  </si>
  <si>
    <t>Pharmacy Informatics Pharmacy Residency/Fellowship Program.</t>
  </si>
  <si>
    <t>A residency or fellowship program for licensed pharmacists that provides advanced training in pharmacotherapy. This CIP Code is not valid for IPEDS reporting.</t>
  </si>
  <si>
    <t>Pharmacotherapy Pharmacy Residency/Fellowship Program.</t>
  </si>
  <si>
    <t>A residency or fellowship program for licensed pharmacists that provides advanced training in pediatric pharmacy. This CIP Code is not valid for IPEDS reporting.</t>
  </si>
  <si>
    <t>Pediatric Pharmacy Residency/Fellowship Program.</t>
  </si>
  <si>
    <t>A residency or fellowship program for licensed pharmacists that provides advanced training in palliative care and pain management. This CIP Code is not valid for IPEDS reporting.</t>
  </si>
  <si>
    <t>Palliative Care/Pain Management Pharmacy Residency/Fellowship Program.</t>
  </si>
  <si>
    <t>A residency or fellowship program for licensed pharmacists that provides advanced training in oncology pharmacy. This CIP Code is not valid for IPEDS reporting.</t>
  </si>
  <si>
    <t>Oncology Pharmacy Residency/Fellowship Program.</t>
  </si>
  <si>
    <t>A residency or fellowship program for licensed pharmacists that provides advanced training in nutrition support. This CIP Code is not valid for IPEDS reporting.</t>
  </si>
  <si>
    <t>Nutrition Support Pharmacy Residency/Fellowship Program.</t>
  </si>
  <si>
    <t>A residency or fellowship program for licensed pharmacists that provides advanced training in nuclear pharmacy. This CIP Code is not valid for IPEDS reporting.</t>
  </si>
  <si>
    <t>Nuclear Pharmacy Residency/Fellowship Program.</t>
  </si>
  <si>
    <t>A residency or fellowship program for licensed pharmacists that provides advanced training in neurology pharmacy. This CIP Code is not valid for IPEDS reporting.</t>
  </si>
  <si>
    <t>Neurology Pharmacy Residency/Fellowship Program.</t>
  </si>
  <si>
    <t>A residency or fellowship program for licensed pharmacists that provides advanced training in nephrology pharmacy. This CIP Code is not valid for IPEDS reporting.</t>
  </si>
  <si>
    <t>Nephrology Pharmacy Residency/Fellowship Program.</t>
  </si>
  <si>
    <t>A residency or fellowship program for licensed pharmacists that provides advanced training in neonatal pharmacy. This CIP Code is not valid for IPEDS reporting.</t>
  </si>
  <si>
    <t>Neonatal Pharmacy Residency/Fellowship Program.</t>
  </si>
  <si>
    <t>A residency or fellowship program for licensed pharmacists that provides advanced training in medication-use safety. This CIP Code is not valid for IPEDS reporting.</t>
  </si>
  <si>
    <t>Medication-Use Safety Pharmacy Residency/Fellowship Program.</t>
  </si>
  <si>
    <t>A residency or fellowship program for licensed pharmacists that provides advanced training in medication systems and operations. This CIP Code is not valid for IPEDS reporting.</t>
  </si>
  <si>
    <t>Medication Systems and Operations Pharmacy Residency/Fellowship Program.</t>
  </si>
  <si>
    <t>A residency or fellowship program for licensed pharmacists that provides advanced training in managed care pharmacy. This CIP Code is not valid for IPEDS reporting.</t>
  </si>
  <si>
    <t>Managed Care Pharmacy Residency/Fellowship Program.</t>
  </si>
  <si>
    <t>A residency or fellowship program for licensed pharmacists that provides advanced training in investigational drugs and research. This CIP Code is not valid for IPEDS reporting.</t>
  </si>
  <si>
    <t>Investigational Drugs and Research Pharmacy Residency/Fellowship Program.</t>
  </si>
  <si>
    <t>A residency or fellowship program for licensed pharmacists that provides advanced training in internal medicine pharmacy. This CIP Code is not valid for IPEDS reporting.</t>
  </si>
  <si>
    <t>Internal Medicine Pharmacy Residency/Fellowship Program.</t>
  </si>
  <si>
    <t>Examples: - HIV Pharmacy Residency Program</t>
  </si>
  <si>
    <t>A residency or fellowship program for licensed pharmacists that provides advanced training in infectious diseases pharmacy. This CIP Code is not valid for IPEDS reporting.</t>
  </si>
  <si>
    <t>Infectious Diseases Pharmacy Residency/Fellowship Program.</t>
  </si>
  <si>
    <t>A residency or fellowship program for licensed pharmacists that provides advanced training in health system pharmacy administration and leadership. This CIP Code is not valid for IPEDS reporting.</t>
  </si>
  <si>
    <t>Health System Pharmacy Administration and Leadership Residency/Fellowship Program.</t>
  </si>
  <si>
    <t>A residency or fellowship program for licensed pharmacists that provides advanced training in health system medication management. This CIP Code is not valid for IPEDS reporting.</t>
  </si>
  <si>
    <t>Health System Medication Management Pharmacy Residency/Fellowship Program.</t>
  </si>
  <si>
    <t>A residency or fellowship program for licensed pharmacists that provides advanced training in geriatric pharmacy. This CIP Code is not valid for IPEDS reporting.</t>
  </si>
  <si>
    <t>Geriatric Pharmacy Residency/Fellowship Program.</t>
  </si>
  <si>
    <t>A residency or fellowship program for licensed pharmacists that provides advanced training in family medicine pharmacy. This CIP Code is not valid for IPEDS reporting.</t>
  </si>
  <si>
    <t>Family Medicine Pharmacy Residency/Fellowship Program.</t>
  </si>
  <si>
    <t>A residency or fellowship program for licensed pharmacists that provides advanced training in emergency medicine pharmacy. This CIP Code is not valid for IPEDS reporting.</t>
  </si>
  <si>
    <t>Emergency Medicine Pharmacy Residency/Fellowship Program.</t>
  </si>
  <si>
    <t>A residency or fellowship program for licensed pharmacists that provides advanced training in drug information. This CIP Code is not valid for IPEDS reporting.</t>
  </si>
  <si>
    <t>Drug Information Pharmacy Residency/Fellowship Program</t>
  </si>
  <si>
    <t>A residency or fellowship program for licensed pharmacists that provides advanced training in critical care pharmacy. This CIP Code is not valid for IPEDS reporting.</t>
  </si>
  <si>
    <t>Critical Care Pharmacy Residency/Fellowship Program.</t>
  </si>
  <si>
    <t>A residency or fellowship program for licensed pharmacists that provides advanced training in corporate pharmacy leadership. This CIP Code is not valid for IPEDS reporting.</t>
  </si>
  <si>
    <t>Corporate Pharmacy Leadership Residency/Fellowship Program.</t>
  </si>
  <si>
    <t>A residency or fellowship program for licensed pharmacists that provides advanced training in community or community-based pharmacy. This CIP Code is not valid for IPEDS reporting.</t>
  </si>
  <si>
    <t>Community/Community-Based Pharmacy Residency/Fellowship Program.</t>
  </si>
  <si>
    <t>Examples: - Biologics/Pharmacogenomics Pharmacy Residency Program</t>
  </si>
  <si>
    <t>A residency or fellowship program for licensed pharmacists that provides advanced training in clinical pharmacogenomics. This CIP Code is not valid for IPEDS reporting.</t>
  </si>
  <si>
    <t>Clinical Pharmacogenomics Pharmacy Residency/Fellowship Program.</t>
  </si>
  <si>
    <t>A residency or fellowship program for licensed pharmacists that provides advanced training in cardiology pharmacy. This CIP Code is not valid for IPEDS reporting.</t>
  </si>
  <si>
    <t>Cardiology Pharmacy Residency/Fellowship Program.</t>
  </si>
  <si>
    <t>A residency or fellowship program for licensed pharmacists that provides advanced training in ambulatory care pharmacy. This CIP Code is not valid for IPEDS reporting.</t>
  </si>
  <si>
    <t>Ambulatory Care Pharmacy Residency/Fellowship Program.</t>
  </si>
  <si>
    <t>A residency or fellowship program for licensed pharmacists that provides advanced training in two or more pharmacy specialties. This CIP Code is not valid for IPEDS reporting.</t>
  </si>
  <si>
    <t>Combined Pharmacy Residency/Fellowship Program.</t>
  </si>
  <si>
    <t>A residency or fellowship program for licensed pharmacists that provides advanced training in pharmacy. This CIP Code is not valid for IPEDS reporting.</t>
  </si>
  <si>
    <t>Pharmacy Residency/Fellowship Program, General.</t>
  </si>
  <si>
    <t>Instructional content for this group of programs is defined in codes 60.0801 - 60.0899. These CIP codes are not valid for IPEDS reporting.</t>
  </si>
  <si>
    <t>Pharmacy Residency/Fellowship Programs.</t>
  </si>
  <si>
    <t>Any residency or fellowship program for nurse practitioners not listed above. This CIP code is not valid for IPEDS reporting.</t>
  </si>
  <si>
    <t>Nurse Practitioner Residency/Fellowship Program, Other.</t>
  </si>
  <si>
    <t>A residency or fellowship program for licensed nurse practitioners that provides advanced didactic and clinical training in wound care. This CIP Code is not valid for IPEDS reporting.</t>
  </si>
  <si>
    <t>Wound Care Nurse Practitioner Residency/Fellowship Program.</t>
  </si>
  <si>
    <t>A residency or fellowship program for licensed nurse practitioners that provides advanced didactic and clinical training in women's health. This CIP Code is not valid for IPEDS reporting.</t>
  </si>
  <si>
    <t>Women's Health Nurse Practitioner Residency/Fellowship Program.</t>
  </si>
  <si>
    <t>A residency or fellowship program for licensed nurse practitioners that provides advanced didactic and clinical training in urology. This CIP Code is not valid for IPEDS reporting.</t>
  </si>
  <si>
    <t>Urology Nurse Practitioner Residency/Fellowship Program.</t>
  </si>
  <si>
    <t>A residency or fellowship program for licensed nurse practitioners that provides advanced didactic and clinical training in urgent care medicine. This CIP Code is not valid for IPEDS reporting.</t>
  </si>
  <si>
    <t>Urgent Care Nurse Practitioner Residency/Fellowship Program.</t>
  </si>
  <si>
    <t>A residency or fellowship program for licensed nurse practitioners that provides advanced didactic and clinical training in trauma and critical care medicine. This CIP Code is not valid for IPEDS reporting.</t>
  </si>
  <si>
    <t>Trauma and Critical Care Nurse Practitioner Residency/Fellowship Program.</t>
  </si>
  <si>
    <t>A residency or fellowship program for licensed nurse practitioners that provides advanced didactic and clinical training in transplantology. This CIP Code is not valid for IPEDS reporting.</t>
  </si>
  <si>
    <t>Transplantation Nurse Practitioner Residency/Fellowship Program.</t>
  </si>
  <si>
    <t>A residency or fellowship program for licensed nurse practitioners that provides advanced didactic and clinical training in surgical wound care and reconstruction. This CIP Code is not valid for IPEDS reporting.</t>
  </si>
  <si>
    <t>Surgical Wound and Reconstruction Nurse Practitioner Residency/Fellowship Program.</t>
  </si>
  <si>
    <t>A residency or fellowship program for licensed nurse practitioners that provides advanced didactic and clinical training in surgical and critical care medicine. This CIP Code is not valid for IPEDS reporting.</t>
  </si>
  <si>
    <t>Surgical and Critical Care Nurse Practitioner Residency/Fellowship Program.</t>
  </si>
  <si>
    <t>A residency or fellowship program for licensed nurse practitioners that provides advanced didactic and clinical training in sleep medicine. This CIP Code is not valid for IPEDS reporting.</t>
  </si>
  <si>
    <t>Sleep Medicine Nurse Practitioner Residency/Fellowship Program.</t>
  </si>
  <si>
    <t>A residency or fellowship program for licensed nurse practitioners that provides advanced didactic and clinical training in rural health. This CIP Code is not valid for IPEDS reporting.</t>
  </si>
  <si>
    <t>Rural Health Nurse Practitioner Residency/Fellowship Program.</t>
  </si>
  <si>
    <t>A residency or fellowship program for licensed nurse practitioners that provides advanced didactic and clinical training in rheumatology. This CIP Code is not valid for IPEDS reporting.</t>
  </si>
  <si>
    <t>Rheumatology Nurse Practitioner Residency/Fellowship Program.</t>
  </si>
  <si>
    <t>A residency or fellowship program for licensed nurse practitioners that provides advanced didactic and clinical training in pulmonology. This CIP Code is not valid for IPEDS reporting.</t>
  </si>
  <si>
    <t>Pulmonary Nurse Practitioner Residency/Fellowship Program.</t>
  </si>
  <si>
    <t>A residency or fellowship program for licensed nurse practitioners that provides advanced didactic and clinical training in public or community health. This CIP Code is not valid for IPEDS reporting.</t>
  </si>
  <si>
    <t>Public/Community Health Nurse Practitioner Residency/Fellowship Program.</t>
  </si>
  <si>
    <t>A residency or fellowship program for licensed nurse practitioners that provides advanced didactic and clinical training in psychiatric and mental health. This CIP Code is not valid for IPEDS reporting.</t>
  </si>
  <si>
    <t>Psychiatric/Mental Health Nurse Practitioner Residency/Fellowship Program.</t>
  </si>
  <si>
    <t>A residency or fellowship program for licensed nurse practitioners that provides advanced didactic and clinical training in pediatric rehabilitation. This CIP Code is not valid for IPEDS reporting.</t>
  </si>
  <si>
    <t>Pediatric Rehabilitation Nurse Practitioner Residency/Fellowship Program.</t>
  </si>
  <si>
    <t>A residency or fellowship program for licensed nurse practitioners that provides advanced didactic and clinical training in pediatrics. This CIP Code is not valid for IPEDS reporting.</t>
  </si>
  <si>
    <t>Pediatric Nurse Practitioner Residency/Fellowship Program.</t>
  </si>
  <si>
    <t>A residency or fellowship program for licensed nurse practitioners that provides advanced didactic and clinical training in pediatric hematology and oncology. This CIP Code is not valid for IPEDS reporting.</t>
  </si>
  <si>
    <t>Pediatric Hematology-Oncology Nurse Practitioner Residency/Fellowship Program.</t>
  </si>
  <si>
    <t>A residency or fellowship program for licensed nurse practitioners that provides advanced didactic and clinical training in palliative care. This CIP Code is not valid for IPEDS reporting.</t>
  </si>
  <si>
    <t>Palliative Care Nurse Practitioner Residency/Fellowship Program.</t>
  </si>
  <si>
    <t>A residency or fellowship program for licensed nurse practitioners that provides advanced didactic and clinical training in pain management. This CIP Code is not valid for IPEDS reporting.</t>
  </si>
  <si>
    <t>Pain Management Nurse Practitioner Residency/Fellowship Program.</t>
  </si>
  <si>
    <t>A residency or fellowship program for licensed nurse practitioners that provides advanced didactic and clinical training in orthopedic surgery. This CIP Code is not valid for IPEDS reporting.</t>
  </si>
  <si>
    <t>Orthopedic Surgery Nurse Practitioner Residency/Fellowship Program.</t>
  </si>
  <si>
    <t>A residency or fellowship program for licensed nurse practitioners that provides advanced didactic and clinical training in orthopedics. This CIP Code is not valid for IPEDS reporting.</t>
  </si>
  <si>
    <t>Orthopedic Nurse Practitioner Residency/Fellowship Program.</t>
  </si>
  <si>
    <t>A residency or fellowship program for licensed nurse practitioners that provides advanced didactic and clinical training in occupational health. This CIP Code is not valid for IPEDS reporting.</t>
  </si>
  <si>
    <t>Occupational Health Nurse Practitioner Residency/Fellowship Program.</t>
  </si>
  <si>
    <t>A residency or fellowship program for licensed nurse practitioners that provides advanced didactic and clinical training in obstetrics and gynecology. This CIP Code is not valid for IPEDS reporting.</t>
  </si>
  <si>
    <t>Obstetrics and Gynecology Nurse Practitioner Residency/Fellowship Program.</t>
  </si>
  <si>
    <t>A residency or fellowship program for licensed nurse practitioners that provides advanced didactic and clinical training in neuroscience. This CIP Code is not valid for IPEDS reporting.</t>
  </si>
  <si>
    <t>Neuroscience Nurse Practitioner Residency/Fellowship Program.</t>
  </si>
  <si>
    <t>A residency or fellowship program for licensed nurse practitioners that provides advanced didactic and clinical training in neurology. This CIP Code is not valid for IPEDS reporting.</t>
  </si>
  <si>
    <t>Neurology Nurse Practitioner Residency/Fellowship Program.</t>
  </si>
  <si>
    <t>A residency or fellowship program for licensed nurse practitioners that provides advanced didactic and clinical training in nephrology. This CIP Code is not valid for IPEDS reporting.</t>
  </si>
  <si>
    <t>Nephrology Nurse Practitioner Residency/Fellowship Program.</t>
  </si>
  <si>
    <t>A residency or fellowship program for licensed nurse practitioners that provides advanced didactic and clinical training in neonatology. This CIP Code is not valid for IPEDS reporting.</t>
  </si>
  <si>
    <t>Neonatal Nurse Practitioner Residency/Fellowship Program.</t>
  </si>
  <si>
    <t>A residency or fellowship program for licensed nurse practitioners that provides advanced didactic and clinical training in infectious diseases. This CIP Code is not valid for IPEDS reporting.</t>
  </si>
  <si>
    <t>Infectious Diseases Nurse Practitioner Residency/Fellowship Program.</t>
  </si>
  <si>
    <t>A residency or fellowship program for licensed nurse practitioners that provides advanced didactic and clinical training in hospital medicine. This CIP Code is not valid for IPEDS reporting.</t>
  </si>
  <si>
    <t>Hospital Medicine Nurse Practitioner Residency/Fellowship Program.</t>
  </si>
  <si>
    <t>A residency or fellowship program for licensed nurse practitioners that provides advanced didactic and clinical training in hospice and palliative medicine. This CIP Code is not valid for IPEDS reporting.</t>
  </si>
  <si>
    <t>Hospice and Palliative Medicine Nurse Practitioner Residency/Fellowship Program.</t>
  </si>
  <si>
    <t>A residency or fellowship program for licensed nurse practitioners that provides advanced didactic and clinical training in home-based primary care. This CIP Code is not valid for IPEDS reporting.</t>
  </si>
  <si>
    <t>Home-Based Primary Care Nurse Practitioner Residency/Fellowship Program.</t>
  </si>
  <si>
    <t>A residency or fellowship program for licensed nurse practitioners that provides advanced didactic and clinical training in hepatology. This CIP Code is not valid for IPEDS reporting.</t>
  </si>
  <si>
    <t>Hepatology Nurse Practitioner Residency/Fellowship Program.</t>
  </si>
  <si>
    <t>A residency or fellowship program for licensed nurse practitioners that provides advanced didactic and clinical training in hematology and oncology. This CIP Code is not valid for IPEDS reporting.</t>
  </si>
  <si>
    <t>Hematology-Oncology Nurse Practitioner Residency/Fellowship Program.</t>
  </si>
  <si>
    <t>A residency or fellowship program for licensed nurse practitioners that provides advanced didactic and clinical training in global health. This CIP Code is not valid for IPEDS reporting.</t>
  </si>
  <si>
    <t>Global Health Nurse Practitioner Residency/Fellowship Program.</t>
  </si>
  <si>
    <t>A residency or fellowship program for licensed nurse practitioners that provides advanced didactic and clinical training in gerontology. This CIP Code is not valid for IPEDS reporting.</t>
  </si>
  <si>
    <t>Gerontology Nurse Practitioner Residency/Fellowship Program.</t>
  </si>
  <si>
    <t>A residency or fellowship program for licensed nurse practitioners that provides advanced didactic and clinical training in genetic counseling and disorders. This CIP Code is not valid for IPEDS reporting.</t>
  </si>
  <si>
    <t>Genetics Nurse Practitioner Residency/Fellowship Program.</t>
  </si>
  <si>
    <t>A residency or fellowship program for licensed nurse practitioners that provides advanced didactic and clinical training in gastroenterology. This CIP Code is not valid for IPEDS reporting.</t>
  </si>
  <si>
    <t>Gastroenterology Nurse Practitioner Residency/Fellowship Program.</t>
  </si>
  <si>
    <t>A residency or fellowship program for licensed nurse practitioners that provides advanced didactic and clinical training in gastroenterology and hepatology. This CIP Code is not valid for IPEDS reporting.</t>
  </si>
  <si>
    <t>Gastroenterology and Hepatology Nurse Practitioner Residency/Fellowship Program.</t>
  </si>
  <si>
    <t>A residency or fellowship program for licensed nurse practitioners that provides advanced didactic and clinical training in family medicine. This CIP Code is not valid for IPEDS reporting.</t>
  </si>
  <si>
    <t>Family Medicine Nurse Practitioner Residency/Fellowship Program.</t>
  </si>
  <si>
    <t>A residency or fellowship program for licensed nurse practitioners that provides advanced didactic and clinical training in endocrinology. This CIP Code is not valid for IPEDS reporting.</t>
  </si>
  <si>
    <t>Endocrinology Nurse Practitioner Residency/Fellowship Program.</t>
  </si>
  <si>
    <t>A residency or fellowship program for licensed nurse practitioners that provides advanced didactic and clinical training in emergency medicine. This CIP Code is not valid for IPEDS reporting.</t>
  </si>
  <si>
    <t>Emergency Medicine Nurse Practitioner Residency/Fellowship Program.</t>
  </si>
  <si>
    <t>A residency or fellowship program for licensed nurse practitioners that provides advanced didactic and clinical training in diabetology and metabolic disorders. This CIP Code is not valid for IPEDS reporting.</t>
  </si>
  <si>
    <t>Diabetes Nurse Practitioner Residency/Fellowship Program.</t>
  </si>
  <si>
    <t>A residency or fellowship program for licensed nurse practitioners that provides advanced didactic and clinical training in developmental and behavioral pediatrics. This CIP Code is not valid for IPEDS reporting.</t>
  </si>
  <si>
    <t>Developmental and Behavioral Pediatrics Nurse Practitioner Residency/Fellowship Program.</t>
  </si>
  <si>
    <t>A residency or fellowship program for licensed nurse practitioners that provides advanced didactic and clinical training in dermatology. This CIP Code is not valid for IPEDS reporting.</t>
  </si>
  <si>
    <t>Dermatology Nurse Practitioner Residency/Fellowship Program.</t>
  </si>
  <si>
    <t>A residency or fellowship program for licensed nurse practitioners that provides advanced didactic and clinical training in clinical informatics. This CIP Code is not valid for IPEDS reporting.</t>
  </si>
  <si>
    <t>Clinical Informatics Nurse Practitioner Residency/Fellowship Program.</t>
  </si>
  <si>
    <t>A residency or fellowship program for licensed nurse practitioners that provides advanced didactic and clinical training in cardiology and cardiovascular medicine. This CIP Code is not valid for IPEDS reporting.</t>
  </si>
  <si>
    <t>Cardiology/Cardiovascular Nurse Practitioner Residency/Fellowship Program.</t>
  </si>
  <si>
    <t>A residency or fellowship program for licensed nurse practitioners that provides advanced didactic and clinical training in adult/gerontology critical care medicine. This CIP Code is not valid for IPEDS reporting.</t>
  </si>
  <si>
    <t>Adult/Gerontology Critical Care Nurse Practitioner Residency/Fellowship Program.</t>
  </si>
  <si>
    <t>A residency or fellowship program for licensed nurse practitioners that provides advanced didactic and clinical training in adult/gerontology acute care medicine. This CIP Code is not valid for IPEDS reporting.</t>
  </si>
  <si>
    <t>Adult/Gerontology Acute Care Nurse Practitioner Residency/Fellowship Program.</t>
  </si>
  <si>
    <t>A residency or fellowship program for licensed nurse practitioners that provides advanced didactic and clinical training in acute care medicine. This CIP Code is not valid for IPEDS reporting.</t>
  </si>
  <si>
    <t>Acute Care Nurse Practitioner Residency/Fellowship Program.</t>
  </si>
  <si>
    <t>A residency or fellowship program for licensed nurse practitioners that provides advanced didactic and clinical training in two or more nursing specialties. This CIP Code is not valid for IPEDS reporting.</t>
  </si>
  <si>
    <t>Combined Nurse Practitioner Residency/Fellowship Program.</t>
  </si>
  <si>
    <t>A residency or fellowship program for licensed nurse practitioners that provides advanced didactic and clinical training in nursing. This CIP Code is not valid for IPEDS reporting.</t>
  </si>
  <si>
    <t>Nurse Practitioner Residency/Fellowship Program, General.</t>
  </si>
  <si>
    <t>Instructional content for this group of programs is defined in codes 60.0701 - 60.0799. These CIP codes are not valid for IPEDS reporting.</t>
  </si>
  <si>
    <t>Nurse Practitioner Residency/Fellowship Programs.</t>
  </si>
  <si>
    <t>Deleted, Report under 61.2201</t>
  </si>
  <si>
    <t>Moved from 60.06 to 61.22</t>
  </si>
  <si>
    <t>Deleted, Report under 61</t>
  </si>
  <si>
    <t>Moved from 60.0584 to 61.1107</t>
  </si>
  <si>
    <t>Moved from 60.0583 to 61.2612</t>
  </si>
  <si>
    <t>Moved from 60.0582 to 61.0216</t>
  </si>
  <si>
    <t>Moved from 60.0581 to 61.0818</t>
  </si>
  <si>
    <t>Moved from 60.0580 to 61.2611</t>
  </si>
  <si>
    <t>Moved from 60.0579 to 61.2706</t>
  </si>
  <si>
    <t>Moved from 60.0578 to 61.0214</t>
  </si>
  <si>
    <t>Moved from 60.0577 to 61.0213</t>
  </si>
  <si>
    <t>Moved from 60.0576 to 61.2002</t>
  </si>
  <si>
    <t>Moved from 60.0575 to 61.0212</t>
  </si>
  <si>
    <t>Moved from 60.0574 to 61.0816</t>
  </si>
  <si>
    <t>Moved from 60.0573 to 61.1304</t>
  </si>
  <si>
    <t>Moved from 60.0572 to 61.1815</t>
  </si>
  <si>
    <t>Moved from 60.0571 to 61.0814</t>
  </si>
  <si>
    <t>Moved from 60.0570 to 61.2404</t>
  </si>
  <si>
    <t>Moved from 60.0569 to 61.2103</t>
  </si>
  <si>
    <t>Deleted, Report under 61.0199</t>
  </si>
  <si>
    <t>Moved from 60.0567 to 61.2802</t>
  </si>
  <si>
    <t>Moved from 60.0566 to 61.1917</t>
  </si>
  <si>
    <t>Moved from 60.0565 to 61.2705</t>
  </si>
  <si>
    <t>Moved from 60.0564 to 61.1915</t>
  </si>
  <si>
    <t>Moved from 60.0563 to 61.2003</t>
  </si>
  <si>
    <t>Moved from 60.0562 to 61.2609</t>
  </si>
  <si>
    <t>Moved from 60.0561 to 61.1914</t>
  </si>
  <si>
    <t>Moved from 60.0560 to 61.1814</t>
  </si>
  <si>
    <t>Moved from 60.0559 to 61.1703</t>
  </si>
  <si>
    <t>Moved from 60.0558 to 61.1505</t>
  </si>
  <si>
    <t>Moved from 60.0557 to 61.1913</t>
  </si>
  <si>
    <t>Moved from 60.0556 to 61.1912</t>
  </si>
  <si>
    <t>Moved from 60.0555 to 61.1911</t>
  </si>
  <si>
    <t>Moved from 60.0554 to 61.1910</t>
  </si>
  <si>
    <t>Moved from 60.0553 to 61.1909</t>
  </si>
  <si>
    <t>Moved from 60.0552 to 61.1908</t>
  </si>
  <si>
    <t>Moved from 60.0551 to 61.0503</t>
  </si>
  <si>
    <t>Moved from 60.0550 to 61.1907</t>
  </si>
  <si>
    <t>Moved from 60.0549 to 61.1906</t>
  </si>
  <si>
    <t>Moved from 60.0548 to 61.0210</t>
  </si>
  <si>
    <t>Moved from 60.0547 to 61.1504</t>
  </si>
  <si>
    <t>Moved from 60.0546 to 61.1503</t>
  </si>
  <si>
    <t>Moved from 60.0545 to 61.2608</t>
  </si>
  <si>
    <t>Moved from 60.0544 to 61.1702</t>
  </si>
  <si>
    <t>Moved from 60.0543 to 61.2607</t>
  </si>
  <si>
    <t>Moved from 60.0542 to 61.1813</t>
  </si>
  <si>
    <t>Moved from 60.0541 to 61.0209</t>
  </si>
  <si>
    <t>Moved from 60.0540 to 61.1106</t>
  </si>
  <si>
    <t>Moved from 60.0539 to 61.0812</t>
  </si>
  <si>
    <t>Moved from 60.0538 to 61.1905</t>
  </si>
  <si>
    <t>Moved from 60.0537 to 61.1502</t>
  </si>
  <si>
    <t>Moved from 60.0536 to 61.1812</t>
  </si>
  <si>
    <t>Moved from 60.0535 to 61.0208</t>
  </si>
  <si>
    <t>Moved from 60.0534 to 61.0813</t>
  </si>
  <si>
    <t>Moved from 60.0533 to 61.2605</t>
  </si>
  <si>
    <t>Moved from 60.0532 to 61.1811</t>
  </si>
  <si>
    <t>Moved from 60.0531 to 61.0904</t>
  </si>
  <si>
    <t>Moved from 60.0530 to 61.1303</t>
  </si>
  <si>
    <t>Moved from 60.0529 to 61.1810</t>
  </si>
  <si>
    <t>Moved from 60.0528 to 61.0811</t>
  </si>
  <si>
    <t>Moved from 60.0527 to 61.0810</t>
  </si>
  <si>
    <t>Moved from 60.0526 to 61.1809</t>
  </si>
  <si>
    <t>Moved from 60.0525 to 61.0205</t>
  </si>
  <si>
    <t>Moved from 60.0524 to 61.0808</t>
  </si>
  <si>
    <t>Moved from 60.0523 to 61.1808</t>
  </si>
  <si>
    <t>Moved from 60.0522 to 61.1302</t>
  </si>
  <si>
    <t>Moved from 60.0521 to 61.2406</t>
  </si>
  <si>
    <t>Moved from 60.0520 to 61.0203</t>
  </si>
  <si>
    <t>Moved from 60.0519 to 61.0807</t>
  </si>
  <si>
    <t>Moved from 60.0518 to 61.2405</t>
  </si>
  <si>
    <t>Moved from 60.0517 to 61.1807</t>
  </si>
  <si>
    <t>Moved from 60.0516 to 61.0806</t>
  </si>
  <si>
    <t>Moved from 60.0515 to 61.2604</t>
  </si>
  <si>
    <t>Moved from 60.0514 to 61.1904</t>
  </si>
  <si>
    <t>Moved from 60.0513 to 61.0502</t>
  </si>
  <si>
    <t>Moved from 60.0512 to 61.1806</t>
  </si>
  <si>
    <t>Moved from 60.0511 to 61.0202</t>
  </si>
  <si>
    <t>Moved from 60.0510 to 61.2704</t>
  </si>
  <si>
    <t>Moved from 60.0509 to 61.1103</t>
  </si>
  <si>
    <t>Moved from 60.0508 to 61.0805</t>
  </si>
  <si>
    <t>Moved from 60.0507 to 61.2403</t>
  </si>
  <si>
    <t>Moved from 60.0506 to 61.1903</t>
  </si>
  <si>
    <t>Moved from 60.0505 to 61.1805</t>
  </si>
  <si>
    <t>Moved from 60.0504 to 61.0804</t>
  </si>
  <si>
    <t>Moved from 60.0503 to 61.1804</t>
  </si>
  <si>
    <t>Moved from 60.0502 to 61.1902</t>
  </si>
  <si>
    <t>Moved from 60.0501 to 61.2402</t>
  </si>
  <si>
    <t>Moved from 60.0434 to 61.2708</t>
  </si>
  <si>
    <t>Moved from 60.0433 to 61.2801</t>
  </si>
  <si>
    <t>Moved from 60.0432 to 61.2707</t>
  </si>
  <si>
    <t>Moved from 60.0431 to 61.2610</t>
  </si>
  <si>
    <t>Moved from 60.0430 to 61.2501</t>
  </si>
  <si>
    <t>Moved from 60.0429 to 61.2301</t>
  </si>
  <si>
    <t>Moved from 60.0428 to 61.2401</t>
  </si>
  <si>
    <t>Moved from 60.0427 to 61.2101</t>
  </si>
  <si>
    <t>Moved from 60.0426 to 61.2001</t>
  </si>
  <si>
    <t>Moved from 60.0425 to 61.1901</t>
  </si>
  <si>
    <t>Moved from 60.0424 to 61.1801</t>
  </si>
  <si>
    <t>Moved from 60.0423 to 61.1701</t>
  </si>
  <si>
    <t>Moved from 60.0422 to 61.1501</t>
  </si>
  <si>
    <t>Moved from 60.0421 to 61.1401</t>
  </si>
  <si>
    <t>Moved from 60.0420 to 61.2303</t>
  </si>
  <si>
    <t>Moved from 60.0419 to 61.1301</t>
  </si>
  <si>
    <t>Moved from 60.0418 to 61.1201</t>
  </si>
  <si>
    <t>Moved from 60.0417 to 61.1101</t>
  </si>
  <si>
    <t>Moved from 60.0416 to 61.1001</t>
  </si>
  <si>
    <t>Moved from 60.0415 to 61.0801</t>
  </si>
  <si>
    <t>Moved from 60.0414 to 61.2701</t>
  </si>
  <si>
    <t>Moved from 60.0413 to 61.0701</t>
  </si>
  <si>
    <t>Moved from 60.0412 to 61.0601</t>
  </si>
  <si>
    <t>Moved from 60.0411 to 61.2601</t>
  </si>
  <si>
    <t>Moved from 60.0410 to 61.0501</t>
  </si>
  <si>
    <t>Moved from 60.0409 to 61.2702</t>
  </si>
  <si>
    <t>Deleted, Report under 61.0903</t>
  </si>
  <si>
    <t>Moved from 60.0407 to 61.0902</t>
  </si>
  <si>
    <t>Moved from 60.0405 to 61.0901</t>
  </si>
  <si>
    <t>Moved from 60.0404 to 61.1102</t>
  </si>
  <si>
    <t>Moved from 60.0403 to 61.0401</t>
  </si>
  <si>
    <t>Moved from 60.0402 to 61.0301</t>
  </si>
  <si>
    <t>Moved from 60.0401 to 61.2302</t>
  </si>
  <si>
    <t>Any residency or fellowship training program in veterinary medicine not listed above. This CIP code is not valid for IPEDS reporting.</t>
  </si>
  <si>
    <t>Veterinary Residency/Fellowship Program, Other.</t>
  </si>
  <si>
    <t>Veterinary Residency/Fellowship Programs.</t>
  </si>
  <si>
    <t>Any dental residency or fellowship specialty program not listed above. This CIP code is not valid for IPEDS reporting.</t>
  </si>
  <si>
    <t>Dental Residency/Fellowship Program, Other.</t>
  </si>
  <si>
    <t>A fellowship training program that prepares dentists in the surgical and restorative aspects of implant dentistry. This CIP code is not valid for IPEDS reporting.</t>
  </si>
  <si>
    <t>Implantology Fellowship Program.</t>
  </si>
  <si>
    <t>Dental Residency/Fellowship Programs.</t>
  </si>
  <si>
    <t>Programs that prepare dentists (DDS, DMD), nurse practitioners, pharmacists (PharmD), physician assistants, and veterinarians (DVM) for certification as practitioners of recognized specialties in their respective professions. These programs are approved and accredited by designated professional associations. Residency or fellowship programs that also result in the completion of an academic degree (e.g., MS, PhD), should be reported under the appropriate CIP code, rather than in a residency code located in Series 60. These CIP codes are not valid for IPEDS reporting.</t>
  </si>
  <si>
    <t>HEALTH PROFESSIONS RESIDENCY/FELLOWSHIP PROGRAMS.</t>
  </si>
  <si>
    <t>Reserved for use by Statistics Canada. This CIP code is not valid for IPEDS reporting.</t>
  </si>
  <si>
    <t>Reserved.</t>
  </si>
  <si>
    <t>Instructional content is defined in code 55.9999.</t>
  </si>
  <si>
    <t>Instructional content for this group of programs is defined in codes 55.1401 - 55.1499.</t>
  </si>
  <si>
    <t>Instructional content for this group of programs is defined in codes 55.1301 - 55.1399.</t>
  </si>
  <si>
    <t>Instructional content is defined in code 55.0101.</t>
  </si>
  <si>
    <t>Reserved for use by Statistics Canada. These CIP codes are not valid for IPEDS reporting.</t>
  </si>
  <si>
    <t>RESERVED.</t>
  </si>
  <si>
    <t>30.4501 - History and Language/Literature., 30.4601 - History and Political Science.</t>
  </si>
  <si>
    <t>30.1501 - Science, Technology and Society., 51.3205 - History of Medicine.</t>
  </si>
  <si>
    <t>Any program in construction management not listed above.</t>
  </si>
  <si>
    <t>Construction Management, Other.</t>
  </si>
  <si>
    <t>A program that prepares individuals to apply project management knowledge, skills, tools, and techniques in the construction and facility management industries. Includes instruction in facilities operations and maintenance, construction estimating, OSHA standards, sustainability, drafting, construction plans, project planning, risk management, cost and time management, contracts and procurement, accounting, statistics, decision making, and human resources.</t>
  </si>
  <si>
    <t>Construction Project Management.</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</si>
  <si>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</si>
  <si>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Construction Management, General.</t>
  </si>
  <si>
    <t>Instructional content for this group of programs is defined in codes 52.2001 - 52.2099.</t>
  </si>
  <si>
    <t>Examples: - Digital Innovation in Marketing</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</si>
  <si>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</si>
  <si>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Digital Marketing.</t>
  </si>
  <si>
    <t>Examples: - Social Media Marketing</t>
  </si>
  <si>
    <t>27.0501 - Statistics, General., 30.7102 - Business Analytics.</t>
  </si>
  <si>
    <t>A program of study that focuses on assisting individuals achieve career goals or assisting business leaders achieve organizational change. Includes instruction in executive coaching, group dynamics, leadership, management, organizational behavior, organizational communication, and team building.</t>
  </si>
  <si>
    <t>Executive/Career Coaching.</t>
  </si>
  <si>
    <t>42.2804 - Industrial and Organizational Psychology., 09.0901 - Organizational Communication, General.</t>
  </si>
  <si>
    <t>01.1003 - Brewing Science., 01.1005 - Zymology/Fermentation Science.</t>
  </si>
  <si>
    <t>A program that prepares individuals to plan, manage, and market breweries and brewpubs. Includes instruction in brewing science, food services management, logistics and distribution, business networking, personnel management, business planning and capitalization, brewing industry operations, marketing, alcohol and liquor law and regulations, finance, and ethics.</t>
  </si>
  <si>
    <t>Brewery/Brewpub Operations/Management.</t>
  </si>
  <si>
    <t>12.0601 - Casino Operations and Services, General.</t>
  </si>
  <si>
    <t>A program that prepares individuals to manage casinos and gaming establishments. Includes instruction in business and financial management; casino operations; casino security and surveillance; hospitality, facilities, and personnel management; and principles of the gaming industry, ethics, and gaming law.</t>
  </si>
  <si>
    <t>Examples: - Spa Management, - Resort and Attraction Management</t>
  </si>
  <si>
    <t>03.0207 - Environmental/Natural Resource Recreation and Tourism.</t>
  </si>
  <si>
    <t>A program that focuses on the strategies used to define and manage acceptable financial risk for companies. Includes instruction in banking and bank regulations, derivative securities, interest rate and credit markets, financial engineering of systematic risk, and equity, bond, futures, and options markets.</t>
  </si>
  <si>
    <t>Financial Risk Management.</t>
  </si>
  <si>
    <t>13.0413 - Education Entrepreneurship.</t>
  </si>
  <si>
    <t>A program that focuses on blending entrepreneurial ideas and management skills for issue advocacy and social change. Includes instruction in philanthropy, business modeling, design, entrepreneurship, finance, investing, resource management, project management, prototype development, and marketing.</t>
  </si>
  <si>
    <t>Social Entrepreneurship.</t>
  </si>
  <si>
    <t>Any program in business or corporate communications not included above.</t>
  </si>
  <si>
    <t>Business/Corporate Communications, Other.</t>
  </si>
  <si>
    <t>A program that prepares individuals to develop and write grant proposals to support an organization or cause. Includes instruction in identifying grant opportunities, developing an effective proposal, budget justifications, and developing a working relationship with the funder.</t>
  </si>
  <si>
    <t>Grantsmanship.</t>
  </si>
  <si>
    <t>A program that prepares individuals to function in an organization as a composer, editor, and proofreader of business or business-related communications.</t>
  </si>
  <si>
    <t>Business/Corporate Communications, General.</t>
  </si>
  <si>
    <t>Instructional content for this group of programs is defined in codes 52.0501 - 52.0599.</t>
  </si>
  <si>
    <t>51.0712 - Medical Reception/Receptionist., 01.8203 - Veterinary Reception/Receptionist.</t>
  </si>
  <si>
    <t>A program that prepares individuals to develop science, technical, and business skills required for management of people and systems in technology-based industries, government agencies, and non-profit organizations. Includes instruction in computer applications, general management principles, production and operations management, project management, quality control, safety and health issues, and statistics.</t>
  </si>
  <si>
    <t>Science/Technology Management.</t>
  </si>
  <si>
    <t>A program that focuses on the principles of business risk measurement, mitigation, and management. Includes instruction in business analytics, foundations of insurance and risk management, investments, life and health insurance, loss prevention, property and liability insurance risk assessment, risk control, risk financing, and security.</t>
  </si>
  <si>
    <t>Risk Management.</t>
  </si>
  <si>
    <t>51.0720 - Regulatory Science/Affairs.</t>
  </si>
  <si>
    <t>A program designed to prepare formally trained, advanced-level personnel for research administration leadership positions at colleges and universities, government agencies, hospitals, nonprofit agencies, and in industry. Includes instruction in bioethics, biostatistics, ethical, legal and regulatory consideration in clinical investigation, financial analysis, grant writing, managing and monitoring clinical trials, project management, strategic planning, and team building.</t>
  </si>
  <si>
    <t>Research Administration.</t>
  </si>
  <si>
    <t>Examples: - Leadership Studies, - Nonprofit Leadership Studies</t>
  </si>
  <si>
    <t>Examples: - Mobility Management, - Air Mobility, - Sea Mobility, - Freight Forwarding, - Customs Broker, - Transportation Administration and Management</t>
  </si>
  <si>
    <t>44.0403 - Transportation and Infrastructure Planning/Studies.</t>
  </si>
  <si>
    <t>A program that focuses on the theory, policy, law, and practices required to administrate and operate public transportation facilities, networks, services, and systems. Includes instruction in demand analysis and forecasting, environmental planning, facilities design and construction, geographic information systems (GIS), logistics, multi- and intermodal transportation systems, project management, public administration, public policy, transportation economics, transportation law, transportation operations, transportation systems, and transportation technologies.</t>
  </si>
  <si>
    <t>39.0801 - Religious Institution Administration and Management.</t>
  </si>
  <si>
    <t>Instructional content for this group of programs is defined in codes 51.9980 - 51.9999.</t>
  </si>
  <si>
    <t>A program that prepares individuals to apply the law and forensic science to nursing practice and collaborate with other professionals for the care of victims and the prosecution of criminals. Includes instruction in advanced physical assessment, evidence collection and preservation, forensic anthropology, legal testimony, medicolegal investigation, pathophysiology, pathohistology, pharmacology, and violence prevention.</t>
  </si>
  <si>
    <t>Forensic Nursing.</t>
  </si>
  <si>
    <t>Moved from 51.3817 to 51.3203</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</si>
  <si>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</si>
  <si>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A program that focuses on the holistic interconnectedness of physical, psychological, social, spiritual, and environmental well-being and that integrates aspects of alternative, complementary, and conventional medicine to alleviate illness and promote, maintain, and optimize wellness. Includes instruction in anatomy and physiology, alternative diagnostic and healing methods, aromatherapy, biofeedback, energy medicine, environmental psychology, ethics, health coaching, herbal medicine, mind-body medicine, mindfulness, nutrition, somatic bodywork, and stress management.</t>
  </si>
  <si>
    <t>Holistic/Integrative Health.</t>
  </si>
  <si>
    <t>54.0104 - History and Philosophy of Science and Technology., 30.1501 - Science, Technology and Society., 45.0203 - Medical Anthropology.</t>
  </si>
  <si>
    <t>Any instructional program in health professions education, ethics, and humanities not listed above.</t>
  </si>
  <si>
    <t>Health Professions Education, Ethics, and Humanities, Other.</t>
  </si>
  <si>
    <t>Examples: - Theatre for Health, - Visual Arts in Medicine, - Dance in Medicine, - Music in Medicine, - Arts and Health, - Arts in Healthcare, - Arts in Public Health</t>
  </si>
  <si>
    <t>A program that focuses on the design, implementation, and management of programs that use the visual and performing arts in support of health and wellness among diverse individuals and communities. Includes instruction in dance, literary arts, music, theatre, healthcare systems, program administration, and public health.</t>
  </si>
  <si>
    <t>Arts in Medicine/Health.</t>
  </si>
  <si>
    <t>54.0104 - History and Philosophy of Science and Technology., 30.1501 - Science, Technology and Society.</t>
  </si>
  <si>
    <t>A program that focuses on the historical evolution and socio-economic context of medical theories, education, practices, and technologies; and on the history of diseases, therapeutics, patients, and healers. Includes instruction in the concepts and methods of the historiography of medicine; the history of science, medicine, and technology; and of research methods in the history of medicine.</t>
  </si>
  <si>
    <t>History of Medicine.</t>
  </si>
  <si>
    <t>Examples: - Narrative Medicine</t>
  </si>
  <si>
    <t>A program that explores the ethical, historical, literary, philosophical, and religious dimensions of medicine or health. Includes instruction in art, cultural studies, economics, ethics, history, literature, medical anthropology, philosophy, religion and spiritual thought, science and technology, visual art, and writing.</t>
  </si>
  <si>
    <t>Medical/Health Humanities.</t>
  </si>
  <si>
    <t>Examples: - Teaching Certificate for Pharmacists, - Medical Education Teaching</t>
  </si>
  <si>
    <t>61.0207 - Medical Education Fellowship Program.</t>
  </si>
  <si>
    <t>A program that focuses on education and administration leadership skills for clinical educators across health professions and specialties. Includes instruction in academic leadership, assessment, clinical decision making, curriculum development, ethics, primary care education, program evaluation, research methods, and statistics.</t>
  </si>
  <si>
    <t>Health Professions Education.</t>
  </si>
  <si>
    <t>A program that focuses on the application of ethics, religion, jurisprudence, and the social sciences to the analysis of health care issues, clinical decision 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</si>
  <si>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Instructional content for this group of programs is defined in codes 51.3201 - 51.3299.</t>
  </si>
  <si>
    <t>Health Professions Education, Ethics, and Humanities.</t>
  </si>
  <si>
    <t>Examples: - Biomedical Informatics, - Health Informatics, - Dental Informatics, - Nursing Informatics</t>
  </si>
  <si>
    <t>A program that prepares individuals to assist in rehabilitation services under the supervision of physical therapists, and to perform routine functions in support of physical therapy and rehabilitation. Includes instruction in applied kinesiology, basic function of the human body, communication skills, principles and procedures of physical therapy, physical therapy modalities, and professional ethics.</t>
  </si>
  <si>
    <t>Physical Therapy Technician/Aide.</t>
  </si>
  <si>
    <t>A program that prepares individuals to assist in rehabilitation services under the supervision of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</si>
  <si>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Moved from 51.2599 to 01.8199</t>
  </si>
  <si>
    <t>Moved from 51.2511 to 01.8106</t>
  </si>
  <si>
    <t>Moved from 51.2510 to 01.8110</t>
  </si>
  <si>
    <t>Moved from 51.2509 to 01.8102</t>
  </si>
  <si>
    <t>Moved from 51.2508 to 01.8104</t>
  </si>
  <si>
    <t>Moved from 51.2507 to 01.8103</t>
  </si>
  <si>
    <t>Moved from 51.2506 to 01.8111</t>
  </si>
  <si>
    <t>Moved from 51.2505 to 01.8108</t>
  </si>
  <si>
    <t>Moved from 51.2504 to 01.8107</t>
  </si>
  <si>
    <t>Moved from 51.2503 to 01.8109</t>
  </si>
  <si>
    <t>Moved from 51.2502 to 01.8105</t>
  </si>
  <si>
    <t>Moved from 51.2501 to 01.8101</t>
  </si>
  <si>
    <t>Moved from 51.25 to 01.81</t>
  </si>
  <si>
    <t>Moved from 51.2401 to 01.8001</t>
  </si>
  <si>
    <t>Moved from 51.24 to 01.80</t>
  </si>
  <si>
    <t>A program that prepares individuals to be a Registered Play Therapist (RPT) or a School Based-Registered Play Therapist (SB-RPT). Includes instruction in child development, theories of personality, psychotherapy, child and adolescent psychopathology, and ethics.</t>
  </si>
  <si>
    <t>Play Therapy/Therapist.</t>
  </si>
  <si>
    <t>A program that focuses on plant science and horticulture techniques to achieve measurable physical and mental health outcomes for individuals with physical or mental challenges. Includes instruction in abnormal psychology, adult development and aging, botany, facilities design, horticultural therapy, plant pathology, people-plant relationships, and psychology.</t>
  </si>
  <si>
    <t>Horticulture Therapy/Therapist.</t>
  </si>
  <si>
    <t>50.0599 - Dramatic/Theatre Arts and Stagecraft, Other.</t>
  </si>
  <si>
    <t>A program that prepares individuals, in association with a rehabilitation team or in private practice, to use dramatic play, theater, role play, psychodrama, and dramatic ritual in therapeutic relationships to address the physical, psychological, cognitive, emotional, and social needs of clients. Includes instruction in drama theory and performance, human growth and development, biomedical sciences, abnormal psychology, disabling conditions, patient assessment and diagnosis, treatment plan development and implementation, clinical evaluation, record-keeping, and professional standards and ethics.</t>
  </si>
  <si>
    <t>Drama Therapy/Therapist.</t>
  </si>
  <si>
    <t>31.0505 - Exercise Science and Kinesiology.</t>
  </si>
  <si>
    <t>Examples: - Doctor of Physical Therapy (DPT)</t>
  </si>
  <si>
    <t>A program that prepares individuals to evaluate, examine, diagnose, and alleviate physical functional impairments and limitations caused by injury or disease through the design and implementation of therapeutic interventions to promote fitness and health. Includes instruction in anatomy, behavioral sciences, biology, biomechanics, biophysical agents, care plan development and documentation, cellular histology, clinical evaluation and measurement, clinical reasoning, communication, exercise physiology, kinesiology, neuroscience, pharmacology, pathology, physiology, professional standards and ethics, rehabilitation psychology, and therapeutic exercise.</t>
  </si>
  <si>
    <t>A program that prepares individuals, in association with a rehabilitation team or in private practice, to use music in therapeutic relationships to address the physical, psychological, cognitive, emotional, and social needs of clients.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</si>
  <si>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A program that prepares individuals to work with people who have learning disabilities, mental illness, and physical disabilities in a clinical, educational, or institutional setting. Includes instruction in abnormal psychology, assistive technology, case management, counseling techniques, cultural diversity, disability assessment and measurement, ethics, psychological and physiological aspects of disability, rehabilitation services, rehabilitation science, and vocational counseling.</t>
  </si>
  <si>
    <t>Rehabilitation and Therapeutic Professions, General.</t>
  </si>
  <si>
    <t>Instructional content for this group of programs is defined in codes 51.2300 - 51.2399.</t>
  </si>
  <si>
    <t>A program that prepares individuals to respond to the complex social, legal, ethical, and public health policy implications generated by genetic research. Includes instruction in biochemical genetics of complex diseases, bioethics, chromosomes and human disease, genetic counseling, genetic epidemiology, gene mapping, human population genetics, and the molecular basis of human inherited disease.</t>
  </si>
  <si>
    <t>Public Health Genetics.</t>
  </si>
  <si>
    <t>A program that focuses on the application of transformative mechanisms and evidence-based protocols to reduce preventable patient harm and improve clinical outcomes. Includes instruction in healthcare quality, patient safety, research methods, program evaluation, epidemiology, legal and regulatory compliance, systems thinking, human factors engineering, and risk management.</t>
  </si>
  <si>
    <t>Patient Safety and Healthcare Quality.</t>
  </si>
  <si>
    <t>26.0509 - Infectious Disease and Global Health.</t>
  </si>
  <si>
    <t>Moved from 51.2101 to 51.1203</t>
  </si>
  <si>
    <t>Deleted, Report under 51.1203</t>
  </si>
  <si>
    <t>Moved from 51.1901 to 51.1202</t>
  </si>
  <si>
    <t>Deleted, Report under 51.1202</t>
  </si>
  <si>
    <t>A program that focuses on understanding elements of traumatic exposure, trauma-sensitive care, and crisis intervention. Includes instruction in disaster response, grief and loss counseling, crisis intervention and management, trauma counseling, neurobiology of trauma, PTSD and combat-related trauma, relational trauma and treatment of trauma-related disorders.</t>
  </si>
  <si>
    <t>Trauma Counseling.</t>
  </si>
  <si>
    <t>A program of study that prepares individuals to work with patients in hospice and palliative care and focuses on the physical, psychological, spiritual, and social needs of patients and families affected by advanced illness. Includes instruction in aging, thanatology, pharmacology, complementary and integrative therapies, pathophysiology, and ethics.</t>
  </si>
  <si>
    <t>Hospice and Palliative Care.</t>
  </si>
  <si>
    <t>A program that prepares individuals to work with patients and their families who are experiencing emotional, physical, relational and spiritual difficulties related to acute and chronic illnesses. Includes instruction in cultural context, ethics, family dynamics, family therapy, gender, human development, marriage counseling, psychopathology, research design and methods, sexuality, and systems thinking.</t>
  </si>
  <si>
    <t>Medical Family Therapy/Therapist.</t>
  </si>
  <si>
    <t>A program that prepares individuals to provide mental health services to infants, toddlers, and preschoolers and their families. Includes instruction in developmental psychology, cognitive and biological development, social and emotional development, research methods, and ethics.</t>
  </si>
  <si>
    <t>Infant/Toddler Mental Health Services.</t>
  </si>
  <si>
    <t>Any program in medical clinical sciences or graduate medical studies not listed above.</t>
  </si>
  <si>
    <t>Medical Clinical Sciences/Graduate Medical Studies, Other.</t>
  </si>
  <si>
    <t>Examples: - Diploma in Tropical Medicine, - Diploma in Tropical Medicine and Public Health, - Master of Tropical Medicine (MTM), - Clinical Tropical Medicine and Travelers' Health, - Graduate Certificate in Tropical Medicine, - Tropical Medicine and Global Health</t>
  </si>
  <si>
    <t>A program that prepares clinicians to prevent and control vector-borne and tropical infectious diseases. Includes instruction in microbiology, parasitology, mycology, virology, vector biology, vaccinology, laboratory diagnosis, travelers' health, epidemiology, and disease management.</t>
  </si>
  <si>
    <t>Tropical Medicine.</t>
  </si>
  <si>
    <t>A program that prepares clinicians to evaluate, diagnose, and treat of a wide variety of temporomandibular disorders (TMD) and orofacial pain disorders as well as the treatment of sleep apnea and snoring with intraoral appliances. Includes instruction in head and neck anatomy, physical diagnosis and evaluation, orofacial pain, neurobiology of pain and analgesia, and diagnostic radiography.</t>
  </si>
  <si>
    <t>Temporomandibular Disorders and Orofacial Pain.</t>
  </si>
  <si>
    <t>61.0210 - Pain Medicine Fellowship Program.</t>
  </si>
  <si>
    <t>A post-residency program of study that prepares physicians in the diagnosis, management, and treatment of acute and chronic pain. Includes instruction in anesthesiology, pain assessment, pain classification and diagnosis, pain neuroscience, palliative and end-of-life care, physical medicine and rehabilitation, psychiatry of pain, pain pharmacology, public policy, and legal issues of pain management.</t>
  </si>
  <si>
    <t>Pain Management.</t>
  </si>
  <si>
    <t>A program of study that prepares clinicians to direct a broad range of scientific or clinical or translational studies, translate scientific knowledge into clinical practice, and bridge clinical science with laboratory investigations. Includes instruction in bioinformatics, Information technology, biostatistics, epidemiology, grant writing, management and analysis of clinical data, clinical and translational research law and policy, responsible conduct of research, and scientific writing.</t>
  </si>
  <si>
    <t>Clinical and Translational Science.</t>
  </si>
  <si>
    <t>Medical Science/Scientist.</t>
  </si>
  <si>
    <t>Instructional content for this group of programs is defined in codes 51.1401 - 51.1499.</t>
  </si>
  <si>
    <t>Any program in medicine not listed above.</t>
  </si>
  <si>
    <t>Medicine, Other.</t>
  </si>
  <si>
    <t>Examples: - Osteopathy, - Osteopathic Medicine (DO)</t>
  </si>
  <si>
    <t>Examples: - Medicine (MD), - Allopathic Medicine</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</si>
  <si>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</si>
  <si>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Instructional content for this group of programs is defined in codes 51.1201 - 51.1299.</t>
  </si>
  <si>
    <t>01.1302 - Pre-Veterinary Studies.</t>
  </si>
  <si>
    <t>A program that prepares individuals for admission to a professional physician assistant program.</t>
  </si>
  <si>
    <t>Pre-Physician Assistant.</t>
  </si>
  <si>
    <t>A program that prepares individuals for admission to a professional art therapy program.</t>
  </si>
  <si>
    <t>Pre-Art Therapy.</t>
  </si>
  <si>
    <t>Moved from 51.1104 to 01.1302</t>
  </si>
  <si>
    <t>41.0101 - Biology/Biotechnology Technology/Technician., 51.0802 - Clinical/Medical Laboratory Assistant.</t>
  </si>
  <si>
    <t>A program that prepares individuals, under the supervision of physicians, to cast, splint, and brace orthopedic injuries. Includes instruction in patient assessment; casting, splinting, and orthopedic appliances; radiographic interpretation; traction; and wound care.</t>
  </si>
  <si>
    <t>Orthopedic Technology/Technician.</t>
  </si>
  <si>
    <t>A program that prepares individuals, under the supervision of physicians, to become neuromonitoring technicians who analyze, monitor, and record nervous system function to promote the effective treatment of pathological conditions. Includes instruction in EEG technology, EMG technology, anatomy, and neuroanatomy.</t>
  </si>
  <si>
    <t>Intraoperative Neuromonitoring Technology/Technician.</t>
  </si>
  <si>
    <t>A program that prepares individuals, under the supervision of physicians, to operate hyperbaric (recompression) chambers for the treatment of disease. Includes instruction in patient assessment and management, hyperbaric safety, physics of hyperbaric and hypobaric exposures, physiology, hyperbaric chamber operation, and air decompression procedures.</t>
  </si>
  <si>
    <t>Hyperbaric Medicine Technology/Technician.</t>
  </si>
  <si>
    <t>Mammography Technology/Technician.</t>
  </si>
  <si>
    <t>26.0908 - Exercise Physiology and Kinesiology., 31.0505 - Exercise Science and Kinesiology., 31.0507 - Physical Fitness Technician.</t>
  </si>
  <si>
    <t>Physician Associate/Assistant.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</si>
  <si>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</si>
  <si>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</si>
  <si>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Chiropractic Technician/Assistant.</t>
  </si>
  <si>
    <t>Moved from 51.0808 to 01.8301</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</si>
  <si>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</si>
  <si>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Physical Therapy Assistant.</t>
  </si>
  <si>
    <t>Examples: - Information Governance in Healthcare</t>
  </si>
  <si>
    <t>A program that prepares individuals for careers in designing, implementing, and administering comprehensive privacy and security protection programs in all types of healthcare organizations. Includes instruction in health information ethics, healthcare information privacy and security, healthcare compliance, healthcare information security and disaster recovery, and healthcare privacy law.</t>
  </si>
  <si>
    <t>Healthcare Information Privacy Assurance and Security.</t>
  </si>
  <si>
    <t>A program that prepares individuals to innovate solutions and lead change within a healthcare organization. Includes instruction in innovation management, medical device development, evidence-based practice, systems thinking, information technology, healthcare policy and finance, organizational change, and leadership.</t>
  </si>
  <si>
    <t>Healthcare Innovation.</t>
  </si>
  <si>
    <t>Examples: - Cancer Data Management</t>
  </si>
  <si>
    <t>A program that prepares individuals to find, interpret, and record demographic and medical information on individuals for healthcare agencies and disease registries. Includes instruction in anatomy, data management, disease registry organization and operations, epidemiology, ethics, fundamentals of disease coding and staging, medical terminology, pathophysiology, pharmacology, physiology, quality management, and statistics.</t>
  </si>
  <si>
    <t>Disease Registry Data Management.</t>
  </si>
  <si>
    <t>52.0214 - Research Administration.</t>
  </si>
  <si>
    <t>A program that prepares individuals to manage the regulatory process for companies innovating and developing cutting edge products in science, biotechnology, pharmaceuticals, and medicine. Includes instruction in regulatory affairs, clinical documentation, human and animal subject protection, Food and Drug Administration (FDA) regulations, data management and analysis, good manufacturing practices, and quality management.</t>
  </si>
  <si>
    <t>Regulatory Science/Affairs.</t>
  </si>
  <si>
    <t>Examples: - Dental Secretary</t>
  </si>
  <si>
    <t>22.0303 - Court Reporting and Captioning/Court Reporter., 10.0204 - Voice Writing Technology/Technician.</t>
  </si>
  <si>
    <t>A program that focuses on dental implantology. Includes instruction in diagnosis and treatment planning, surgical protocols, implant placement, sinus grafting, guided bone regeneration, soft tissue grafting, prosthetic protocols, prosthesis design, and aftercare.</t>
  </si>
  <si>
    <t>Implantology/Implant Dentistry.</t>
  </si>
  <si>
    <t>A program that focuses on the advanced study of the therapeutic and preventive care of the oral health of geriatric patients. Includes instruction in aging, preventive medicine, diet therapy and counseling, geriatric restorative procedures, pulp therapy, trauma management, anesthesia, treatment planning, and patient management.</t>
  </si>
  <si>
    <t>Geriatric Dentistry.</t>
  </si>
  <si>
    <t>A program that focuses on the use of digital and CAD/CAM technology in dental treatment. Includes instruction in digital diagnostic and treatment planning techniques, CAD/CAM restoration, and patient management.</t>
  </si>
  <si>
    <t>Digital Dentistry.</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</si>
  <si>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and the treatment of handicapped patients.</t>
  </si>
  <si>
    <t>51.0816 - Speech-Language Pathology Assistant., 51.0918 - Hearing Instrument Specialist., 05.0211 - Deaf Studies., 16.1601 - American Sign Language (ASL).</t>
  </si>
  <si>
    <t>Examples: - Communication Disorders</t>
  </si>
  <si>
    <t>Examples: - Health and Wellness, - Health Promotion and Wellness, - Wellness, Health Promotion and Injury Prevention</t>
  </si>
  <si>
    <t>31.0501 - Sports, Kinesiology, and Physical Education/Fitness, General.</t>
  </si>
  <si>
    <t>Examples: - Community Arts Practice, - Socially-Engaged Practice in Design and the Arts, - Socially-Engaged Art, - Socially-Engaged Studio Art, - Art and Social Practice</t>
  </si>
  <si>
    <t>A program that focuses on using the arts to promote activism, civic dialog, community development, ecological and environmental awareness, or social justice. Includes instruction in community organizing, cultural criticism, social practice, studio art, and visual and performing arts.</t>
  </si>
  <si>
    <t>Community/Environmental/Socially-Engaged Art.</t>
  </si>
  <si>
    <t>Instructional content is defined in code 50.1101.</t>
  </si>
  <si>
    <t>Arts, Entertainment, and Media Management, General.</t>
  </si>
  <si>
    <t>Arts, Entertainment, and Media Management.</t>
  </si>
  <si>
    <t>A program that focuses on sound as a form of cultural expression, and its relationship to other disciplines such as computer programming, performance, and video. Includes instruction in acoustics; arranging, composing, and editing music; music theory; musicology; orchestration and scoring; and sound design.</t>
  </si>
  <si>
    <t>Sound Arts.</t>
  </si>
  <si>
    <t>A program that focuses on the development of individual artistic expression and technical skills necessary for fabricating refined metal works. Includes instruction in aesthetics, anodizing, art history, casting, design, electroforming, enameling, metalsmithing, sculpture, two and three-dimensional design, wax carving, and welding.</t>
  </si>
  <si>
    <t>Metal Arts.</t>
  </si>
  <si>
    <t>A program that prepares individuals creatively and technically to express emotions, ideas, or inner visions by fashioning jewelry from gems, other stones, and precious metals. Includes instruction in design concepts, electroforming, enameling, gemology, lapidary technique and art, metal and non-metal casting and molding, metal coloring, metalsmithing and finishing, personal style development, photo etching, and stone cutting and polishing.</t>
  </si>
  <si>
    <t>Jewelry Arts.</t>
  </si>
  <si>
    <t>Examples: - Video Studies</t>
  </si>
  <si>
    <t>A program in the visual arts that focuses on the study of the history, development, theory, and criticism of the film/media arts, as well as the basic principles of filmmaking and film production.</t>
  </si>
  <si>
    <t>Film/Cinema/Media Studies.</t>
  </si>
  <si>
    <t>51.2315 - Drama Therapy/Therapist.</t>
  </si>
  <si>
    <t>A program of study that focuses on integrating the studies of dance and theatre arts to provide perspectives in all facets of production, performance, and critical engagement. Includes instruction in acting, aesthetics, choreography, costume design, criticism, dance, improvisation, music analysis, playwriting, theatre performance history, scene design, stage lighting, and technical theatre.</t>
  </si>
  <si>
    <t>Theatre and Dance.</t>
  </si>
  <si>
    <t>Examples: - Comedic Arts, - Comedy Studies</t>
  </si>
  <si>
    <t>A program that focuses on the historical, cultural, and theoretical dimensions of comedy as an art form, and the writing, performance, and production of comedy. Includes instruction in comedic storytelling, comedy production, comedy writing, history of comedy, improvisation, and sketch writing.</t>
  </si>
  <si>
    <t>Comedy Writing and Performance.</t>
  </si>
  <si>
    <t>11.0804 - Modeling, Virtual Environments and Simulation., 11.0204 - Computer Game Programming.</t>
  </si>
  <si>
    <t>A program that prepares individuals to operate forklifts in a variety of work environments. Includes instruction in accident prevention, forklift operation, materials handling, and worksite safety.</t>
  </si>
  <si>
    <t>Forklift Operation/Operator.</t>
  </si>
  <si>
    <t>Mobil Crane Operator/Operation.</t>
  </si>
  <si>
    <t>Examples: - Unmanned Aircraft Systems (UAS)</t>
  </si>
  <si>
    <t>36.0207 - Remote Aircraft Pilot (Personal).</t>
  </si>
  <si>
    <t>A program that prepares individuals to apply technical knowledge and skills to fly unmanned aircraft system (UAS) for commercial, professional, 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t>
  </si>
  <si>
    <t>Remote Aircraft Pilot.</t>
  </si>
  <si>
    <t>15.0806 - Marine Engineering Technology/Technician.</t>
  </si>
  <si>
    <t>A program that prepares individuals to apply technical knowledge and skills to construct and repair traditional and modern wooden boats. Includes instruction in budgeting, drafting, fairing, lofting, joinery, planking, spars and rigging, and woodworking.</t>
  </si>
  <si>
    <t>Wooden Boatbuilding Technology/Technician.</t>
  </si>
  <si>
    <t>Any instructional program in mechanic and repair technologies not listed above.</t>
  </si>
  <si>
    <t>15.1799 - Energy Systems Technologies/Technicians, Other.</t>
  </si>
  <si>
    <t>Any instructional program in energy systems maintenance and repair technologies not listed above.</t>
  </si>
  <si>
    <t>Energy Systems Maintenance and Repair Technologies/Technicians, Other.</t>
  </si>
  <si>
    <t>15.1706 - Geothermal Energy Technology/Technician.</t>
  </si>
  <si>
    <t>A program that prepares individuals to apply technical knowledge and skills to assemble, install, operate, maintain, and repair geothermal energy systems. Includes instruction in installing, maintaining and testing various types of equipment.</t>
  </si>
  <si>
    <t>Geothermal Energy System Installation and Repair Technology/Technician.</t>
  </si>
  <si>
    <t>15.1705 - Hydroelectric Energy Technology/Technician.</t>
  </si>
  <si>
    <t>A program that prepares individuals to apply technical knowledge and skills to assemble, install, operate, maintain, and repair hydroelectric energy systems. Includes instruction in installing, maintaining and testing various types of equipment.</t>
  </si>
  <si>
    <t>Hydroelectric Energy System Installation and Repair Technology/Technician.</t>
  </si>
  <si>
    <t>15.1704 - Wind Energy Technology/Technician.</t>
  </si>
  <si>
    <t>A program that prepares individuals to apply technical knowledge and skills to assemble, install, operate, maintain, and repair wind energy systems. Includes instruction in installing, maintaining and testing various types of equipment.</t>
  </si>
  <si>
    <t>Wind Energy System Installation and Repair Technology/Technician.</t>
  </si>
  <si>
    <t>Examples: - Solar Photovoltaic Installation</t>
  </si>
  <si>
    <t>15.1703 - Solar Energy Technology/Technician.</t>
  </si>
  <si>
    <t>A program that prepares individuals to apply technical knowledge and skills to assemble, install, operate, maintain, and repair solar energy systems. Includes instruction in installing, maintaining and testing various types of equipment.</t>
  </si>
  <si>
    <t>Solar Energy System Installation and Repair Technology/Technician.</t>
  </si>
  <si>
    <t>15.1701 - Energy Systems Technology/Technician.</t>
  </si>
  <si>
    <t>A program that prepares individuals to apply technical knowledge and skills to assemble, install, operate, maintain, and repair energy systems. Includes instruction in installing, maintaining and testing various types of equipment.</t>
  </si>
  <si>
    <t>Energy Systems Installation and Repair Technology/Technician.</t>
  </si>
  <si>
    <t>Instructional content for this group of programs is defined in codes 47.0701 - 47.0799.</t>
  </si>
  <si>
    <t>Energy Systems Maintenance and Repair Technologies/Technicians.</t>
  </si>
  <si>
    <t>Any instructional program in vehicle maintenance and repair technologies not listed above.</t>
  </si>
  <si>
    <t>Vehicle Maintenance and Repair Technologies/Technicians, Other.</t>
  </si>
  <si>
    <t>Vehicle Maintenance and Repair Technology/Technician, General.</t>
  </si>
  <si>
    <t>Vehicle Maintenance and Repair Technologies/Technicians.</t>
  </si>
  <si>
    <t>Any instructional program in precision systems maintenance and repair not listed above.</t>
  </si>
  <si>
    <t>Precision Systems Maintenance and Repair Technologies/Technicians, Other.</t>
  </si>
  <si>
    <t>Precision Systems Maintenance and Repair Technologies/Technicians.</t>
  </si>
  <si>
    <t>Any instructional program in heavy or industrial equipment maintenance technologies not listed above.</t>
  </si>
  <si>
    <t>Heavy/Industrial Equipment Maintenance Technologies/Technicians, Other.</t>
  </si>
  <si>
    <t>Industrial Mechanics and Maintenance Technology/Technician.</t>
  </si>
  <si>
    <t>Heavy/Industrial Equipment Maintenance Technologies/Technicians.</t>
  </si>
  <si>
    <t>Any instructional program in electrical and electronics equipment installation and repair technologies not listed above.</t>
  </si>
  <si>
    <t>Electrical/Electronics Maintenance and Repair Technologies/Technicians, Other.</t>
  </si>
  <si>
    <t>15.1202 - Computer/Computer Systems Technology/Technician.</t>
  </si>
  <si>
    <t>Communications Systems Installation and Repair Technology/Technician.</t>
  </si>
  <si>
    <t>Electrical/Electronics Equipment Installation and Repair Technology/Technician, General.</t>
  </si>
  <si>
    <t>Electrical/Electronics Maintenance and Repair Technologies/Technicians.</t>
  </si>
  <si>
    <t>Building Construction Technology/Technician.</t>
  </si>
  <si>
    <t>52.2001 - Construction Management, General.</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</si>
  <si>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</si>
  <si>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15.0303 - Electrical, Electronic, and Communications Engineering Technology/Technician.</t>
  </si>
  <si>
    <t>A program that focuses on human cultures and their adaptation to physical environments. Includes instruction in archaeology, biogeography, climatology, cultural anthropology, cultural geography, economic development, environmental geography, geomorphology, global environmental change, historical geography, mapping sciences, physical anthropology, political ecology, Quaternary studies, and urban geography.</t>
  </si>
  <si>
    <t>Geography and Anthropology.</t>
  </si>
  <si>
    <t>Instructional content is defined in code 45.1501.</t>
  </si>
  <si>
    <t>Moved from 45.1401 to 45.1103</t>
  </si>
  <si>
    <t>Deleted, Report under 45.1103</t>
  </si>
  <si>
    <t>45.0201 - Anthropology, General., 45.1101 - Sociology, General.</t>
  </si>
  <si>
    <t>Examples: - Urban and Regional Studies</t>
  </si>
  <si>
    <t>04.0301 - City/Urban, Community, and Regional Planning.</t>
  </si>
  <si>
    <t>Any instructional program in sociology not listed above.</t>
  </si>
  <si>
    <t>Sociology, Other.</t>
  </si>
  <si>
    <t>A program that focuses on the application of sociological theory, methods, skills, and research to resolve particular issues in real-world settings. Includes instruction in data collection, group and organizational dynamics, participatory action research, program evaluation, sociological research methods, and sociological theory.</t>
  </si>
  <si>
    <t>Applied/Public Sociology.</t>
  </si>
  <si>
    <t>Sociology, General.</t>
  </si>
  <si>
    <t>Instructional content for this group of programs is defined in codes 45.1101 - 45.1199.</t>
  </si>
  <si>
    <t>30.4601 - History and Political Science., 30.5101 - Philosophy, Politics, and Economics.</t>
  </si>
  <si>
    <t>30.2001 - International/Globalization Studies.</t>
  </si>
  <si>
    <t>43.0407 - Geospatial Intelligence.</t>
  </si>
  <si>
    <t>30.4401 - Geography and Environmental Studies.</t>
  </si>
  <si>
    <t>30.5101 - Philosophy, Politics, and Economics.</t>
  </si>
  <si>
    <t>52.0806 - International Finance., 52.1101 - International Business/Trade/Commerce., 52.1403 - International Marketing., 30.4001 - Economics and Foreign Language/Literature.</t>
  </si>
  <si>
    <t>30.4901 - Mathematical Economics.</t>
  </si>
  <si>
    <t>01.0103 - Agricultural Economics., 19.0402 - Consumer Economics., 52.0601 - Business/Managerial Economics., 03.0204 - Environmental/Natural Resource Economics.</t>
  </si>
  <si>
    <t>01.0103 - Agricultural Economics., 19.0402 - Consumer Economics., 52.0601 - Business/Managerial Economics., 03.0204 - Environmental/Natural Resource Economics., 30.3901 - Economics and Computer Science., 30.4001 - Economics and Foreign Language/Literature.</t>
  </si>
  <si>
    <t>Any instructional program in demography not listed above.</t>
  </si>
  <si>
    <t>Demography, Other.</t>
  </si>
  <si>
    <t>A program of study that focuses on the practical application of demographic methods and materials for decision-making in business, education, health, and government. Includes instruction in statistics, research methods, geographic information systems, and demographic methods and techniques.</t>
  </si>
  <si>
    <t>Applied Demography.</t>
  </si>
  <si>
    <t>Instructional content for this group of programs is defined in codes 45.0501 - 45.0599.</t>
  </si>
  <si>
    <t>Demography.</t>
  </si>
  <si>
    <t>30.2201 - Ancient Studies/Civilization., 30.2202 - Classical, Ancient Mediterranean, and Near Eastern Studies and Archaeology., 30.4201 - Geoarcheaology.</t>
  </si>
  <si>
    <t>43.0406 - Forensic Science and Technology.</t>
  </si>
  <si>
    <t>A program that focuses on the application of the biological sciences and skeletal anthropology in medicolegal death investigations. Includes instruction in biological anthropology theory, crime scene investigation, forensic anthropology field methods, forensic anthropological techniques and procedures, human anatomy, methods of human identification, mortuary archaeology, osteology, and taphonomy.</t>
  </si>
  <si>
    <t>Forensic Anthropology.</t>
  </si>
  <si>
    <t>51.3299 - Health Professions Education, Ethics, and Humanities, Other.</t>
  </si>
  <si>
    <t>Anthropology, General.</t>
  </si>
  <si>
    <t>Any program in general social sciences not listed above.</t>
  </si>
  <si>
    <t>27.0601 - Applied Statistics, General.</t>
  </si>
  <si>
    <t>A program that focuses on survey research design to gather data about behaviors, demographics, opinions, and data analysis to answer complex questions. Includes instruction in the analysis of survey data, cross-cultural and multi-population survey methodology, data collection methods, modes of survey analysis, quantitative analysis, questionnaire design, research design, sampling, survey error, and structural equation modeling.</t>
  </si>
  <si>
    <t>Survey Research/Methodology.</t>
  </si>
  <si>
    <t>Instructional content for this group of programs is defined in codes 45.0101 - 45.0199.</t>
  </si>
  <si>
    <t>A program that prepares individuals to serve as social workers in correctional facilities, mental health hospitals, the justice system, substance abuse treatment programs, and victim assistance. Includes instruction in forensic social work, criminal justice administration, domestic violence, ethics, juvenile justice systems, mental illness and crime, program evaluation, and research methods.</t>
  </si>
  <si>
    <t>Forensic Social Work.</t>
  </si>
  <si>
    <t>Any program in public administration not listed above.</t>
  </si>
  <si>
    <t>Public Administration, Other.</t>
  </si>
  <si>
    <t>52.0209 - Transportation/Mobility Management.</t>
  </si>
  <si>
    <t>A program that focuses on the economic, social, spatial, and environmental aspects of transportation and infrastructure planning. Includes instruction in economics, environmental analysis, geographic information systems (GIS), logistics, risk analysis, transportation economics, transportation evaluation, transportation planning, transportation policy, and urban transportation planning.</t>
  </si>
  <si>
    <t>Transportation and Infrastructure Planning/Studies.</t>
  </si>
  <si>
    <t>A program of study that focuses on public works management skills and public works operation. Includes instruction in accountability, budget, conflict resolution strategies, ethics, finance, human resources, labor and employee relations, and operations management.</t>
  </si>
  <si>
    <t>Public Works Management.</t>
  </si>
  <si>
    <t>Instructional content for this group of programs is defined in codes 44.0401 - 44.0499.</t>
  </si>
  <si>
    <t>A program that focuses on the theories, principles, and practice of organizing and providing services to communities. May prepare individuals to apply such knowledge and skills in community service positions.</t>
  </si>
  <si>
    <t>Examples: - Human Service Studies, - Human Services Studies</t>
  </si>
  <si>
    <t>Any instructional program in security science and technology not listed above.</t>
  </si>
  <si>
    <t>Security Science and Technology, Other.</t>
  </si>
  <si>
    <t>45.0702 - Geographic Information Science and Cartography.</t>
  </si>
  <si>
    <t>A program that prepares individuals to analyze security and intelligence problems using a geographic perspective by relating human actions to cultural, political, economic, social, and physical landscapes. Includes instruction in aerial photography analysis, cartography, geographic information systems (GIS), physical geography, remote sensing, spatial programming, and quantitative methods in geographic research.</t>
  </si>
  <si>
    <t>Geospatial Intelligence.</t>
  </si>
  <si>
    <t>Examples: - Crime Scene Investigation</t>
  </si>
  <si>
    <t>42.2812 - Forensic Psychology., 40.0510 - Forensic Chemistry., 44.0703 - Forensic Social Work., 45.0205 - Forensic Anthropology.</t>
  </si>
  <si>
    <t>A program that focuses on the study of strategy, policy, and standards regarding the security of and operations in cyberspace. Includes instruction in incident response, information assurance, recovery policies, vulnerability reduction, deterrence, threat reduction, and resiliency.</t>
  </si>
  <si>
    <t>Cybersecurity Defense Strategy/Policy.</t>
  </si>
  <si>
    <t>11.1003 - Computer and Information Systems Security/Auditing/Information Assurance.</t>
  </si>
  <si>
    <t>A program of study that focuses on the general application of science and technology to security.</t>
  </si>
  <si>
    <t>Security Science and Technology, General.</t>
  </si>
  <si>
    <t>Instructional content for this group of programs is defined in codes 43.0401 - 43.0499.</t>
  </si>
  <si>
    <t>Security Science and Technology.</t>
  </si>
  <si>
    <t>Examples: - Arson Prevention and Investigation, - Fire Investigation, - Fire Analysis</t>
  </si>
  <si>
    <t>Examples: - Firefighter Training</t>
  </si>
  <si>
    <t>03.0208 - Environmental/Natural Resources Law Enforcement and Protective Services.</t>
  </si>
  <si>
    <t>Examples: - Land Transportation Security, - Physical Security, - Protective Operations, - Evasive and Defensive Driving</t>
  </si>
  <si>
    <t>Moved from 43.0118 to 43.0408</t>
  </si>
  <si>
    <t>Moved from 43.0117 to 43.0405</t>
  </si>
  <si>
    <t>Moved from 43.0116 to 43.0403</t>
  </si>
  <si>
    <t>Moved from 43.0111 to 43.0402</t>
  </si>
  <si>
    <t>Moved from 43.0106 to 43.0406</t>
  </si>
  <si>
    <t>A program of study that focuses on the general study of criminal justice and corrections. Includes instruction in criminology, criminal justice, correctional science, forensic science, law enforcement, psychology, and ethics.</t>
  </si>
  <si>
    <t>Criminal Justice and Corrections, General.</t>
  </si>
  <si>
    <t>Instructional content for this group of programs is defined in codes 43.0100 - 43.0199.</t>
  </si>
  <si>
    <t>A program that prepares individuals to pursue spiritual and psychological practices for counseling. Includes instruction in emotional intelligence, expressive movement, healing practices and rituals, human consciousness, movement and meditation, psychosomatic connection, spiritual systems and wellness, transpersonal counseling, and therapeutic trance.</t>
  </si>
  <si>
    <t>Transpersonal/Spiritual Psychology.</t>
  </si>
  <si>
    <t>A program that focuses on a holistic approach to solving interpersonal issues and psychological problems. Includes instruction in authentic movement, body-mind balance and integration, contact improvisation, dance, Pilates, Tai Chi, relaxation techniques, and Yoga.</t>
  </si>
  <si>
    <t>Somatic Psychology.</t>
  </si>
  <si>
    <t>Examples: - Sport and Exercise Psychology</t>
  </si>
  <si>
    <t>31.0508 - Sports Studies.</t>
  </si>
  <si>
    <t>A program that focuses on the motor, physiological, and psychosocial aspects of sport behavior. Includes instruction in applied sport psychology, clinical mental health counseling, coaching, exercise physiology, ethical performance enhancement; human development, leadership and team building, mind-body practices, neuroscience, and personality and health.</t>
  </si>
  <si>
    <t>Performance and Sport Psychology.</t>
  </si>
  <si>
    <t>30.3101 - Human Computer Interaction.</t>
  </si>
  <si>
    <t>Examples: - Adolescent Development</t>
  </si>
  <si>
    <t>A program that focuses on the scientific study of the unique stages of psychological growth and development of individuals from adolescence to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</si>
  <si>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Developmental and Adolescent Psychology.</t>
  </si>
  <si>
    <t>Examples: - Physiological Psychology, - Psychobiology</t>
  </si>
  <si>
    <t>30.1701 - Behavioral Sciences., 26.1501 - Neuroscience., 30.1001 - Biopsychology., 26.1504 - Neurobiology and Behavior.</t>
  </si>
  <si>
    <t>A program that focuses on the scientific study of the biological bases of behavior and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molecular and cellular neuroscience, brain science, anatomy and physiology of the central nervous system, and specialized experimental design and research methods.</t>
  </si>
  <si>
    <t>Behavioral Neuroscience.</t>
  </si>
  <si>
    <t>Examples: - Child Psychology, - Lifespan Development</t>
  </si>
  <si>
    <t>19.0706 - Child Development.</t>
  </si>
  <si>
    <t>A program that focuses on the scientific study of the unique stages of psychological growth and development of individuals from infancy through childhood.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</si>
  <si>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Examples: - Chemical Process Technology</t>
  </si>
  <si>
    <t>Examples: - Biotechnology Laboratory Technician, - Biology Laboratory Technician</t>
  </si>
  <si>
    <t>Biology/Biotechnology Technology/Technician.</t>
  </si>
  <si>
    <t>Biology/Biotechnology Technologies/Technicians.</t>
  </si>
  <si>
    <t>40.0202 - Astrophysics.</t>
  </si>
  <si>
    <t>A program that focuses on the scientific study of the theories that explain the fundamental structure of our world and the universe and which draws from physics and astronomy. Includes instruction in astronomy, calculus, cosmology, differential equations, electricity, magnetism, data analysis, physics, quantum mechanics, space science, spectroscopy, and thermal physics.</t>
  </si>
  <si>
    <t>Physics and Astronomy.</t>
  </si>
  <si>
    <t>Instructional content is defined in code 40.1101.</t>
  </si>
  <si>
    <t>14.0805 - Water Resources Engineering., 03.0205 - Water, Wetlands, and Marine Resources Management.</t>
  </si>
  <si>
    <t>Examples: - Computational Chemistry</t>
  </si>
  <si>
    <t>A program that focuses on applying computer science approaches in the representation, analysis, design, and modeling of chemical structures and associated metadata, such as biological activity endpoints and physicochemical properties. Includes instruction in chemical information technology, computational chemistry, computer science, database design, molecular modeling, scientific computing, and statistics.</t>
  </si>
  <si>
    <t>Cheminformatics/Chemistry Informatics.</t>
  </si>
  <si>
    <t>40.0512 - Cheminformatics/Chemistry Informatics.</t>
  </si>
  <si>
    <t>Examples: - Atmospheric Sciences</t>
  </si>
  <si>
    <t>40.1101 - Physics and Astronomy.</t>
  </si>
  <si>
    <t>Physical Sciences, General.</t>
  </si>
  <si>
    <t>Any instructional program in religious institution administration and law not listed above.</t>
  </si>
  <si>
    <t>Religious Institution Administration and Law, Other.</t>
  </si>
  <si>
    <t>A program of study that focuses on the history, theology, and philosophy of religious, church, and ecclesiastical law and that prepares individuals to serve as professional canonists.</t>
  </si>
  <si>
    <t>Religious/Canon Law.</t>
  </si>
  <si>
    <t>Examples: - Church Administration</t>
  </si>
  <si>
    <t>52.0206 - Non-Profit/Public/Organizational Management.</t>
  </si>
  <si>
    <t>A program that prepares individuals to manage the business affairs and administration of religious institutions. Includes instruction in business management, principles of accounting and financial management, human resources management, taxation of religious institutions, and business law as applied to religious institutions.</t>
  </si>
  <si>
    <t>Religious Institution Administration and Management.</t>
  </si>
  <si>
    <t>Instructional content for this group of programs is defined in codes 39.0801 - 39.0899.</t>
  </si>
  <si>
    <t>Religious Institution Administration and Law.</t>
  </si>
  <si>
    <t>A program that prepares individuals to provide caregiver, pastoral, and spiritual support in an institutional, hospice, military, or sports setting. Includes instruction in global, healthcare, prison, and sports chaplaincy; addiction, crisis, disaster, family, marriage, grief, and loss counseling; ethics; leadership; multi-cultural, multi-faith contexts; and worship.</t>
  </si>
  <si>
    <t>Chaplain/Chaplaincy Studies.</t>
  </si>
  <si>
    <t>Examples: - Christian Counseling</t>
  </si>
  <si>
    <t>Moved from 39.0606 to 38.0207</t>
  </si>
  <si>
    <t>38.0207 - Talmudic Studies., 38.0206 - Jewish/Judaic Studies.</t>
  </si>
  <si>
    <t>Any instructional program in religious music and worship not listed above.</t>
  </si>
  <si>
    <t>Religious Music and Worship, Other.</t>
  </si>
  <si>
    <t>A program of study that focuses on the use of musical and theatrical arts in Christian worship. Includes instruction in digital media, electronic hardware design and installation, music, theater, and worship theology.</t>
  </si>
  <si>
    <t>Worship Ministry.</t>
  </si>
  <si>
    <t>Instructional content for this group of programs is defined in codes 39.0501 - 39.0599.</t>
  </si>
  <si>
    <t>Religious Music and Worship.</t>
  </si>
  <si>
    <t>Any instructional program in missions, missionary studies, and missiology not listed above.</t>
  </si>
  <si>
    <t>Missions/Missionary Studies and Missiology, Other.</t>
  </si>
  <si>
    <t>A program of study that prepares individuals to establish congregations of Christians in new locations. Includes instruction in models of church planting, church multiplication strategies, church leadership, evangelism, missiology, Christian ethics, and mission-oriented theology.</t>
  </si>
  <si>
    <t>Church Planting.</t>
  </si>
  <si>
    <t>Missions/Missionary Studies.</t>
  </si>
  <si>
    <t>Instructional content for this group of programs is defined in codes 39.0301 - 39.0399.</t>
  </si>
  <si>
    <t>A program that focuses on beliefs, practices, culture, and history of the Church of Jesus Christ of Latter-day Saints (Mormon). Includes instruction in Mormon culture, history, literature, philosophy, sociology, and theology.</t>
  </si>
  <si>
    <t>Mormon Studies.</t>
  </si>
  <si>
    <t>A program that focuses on Catholic thought, culture, and how Catholic tradition informs theology, culture, institutions, and identity. Includes instruction in Biblical Greek, Biblical Hebrew, Catholic bioethics, Catholic social thought, church history, Latin, philosophy, and theology.</t>
  </si>
  <si>
    <t>Catholic Studies.</t>
  </si>
  <si>
    <t>A program focused on intense study of the Talmud that fosters values, critical thinking, and scholarship skills; prepares students for entry into a broad spectrum of graduate and professional schools; and prepares students for entry into a variety of careers including the Rabbinate. Includes instruction in Jewish law, Jewish jurisprudence, ethics, philosophy, and related disciplines.</t>
  </si>
  <si>
    <t>30.2101 - Holocaust and Related Studies., 39.0605 - Rabbinical Studies., 38.0207 - Talmudic Studies., 39.0201 - Bible/Biblical Studies.</t>
  </si>
  <si>
    <t>A program that focuses on defensive concepts and techniques against various types of assault. Includes instruction in basic principles of defense, continuum of survival, date rape, defensive mindset, weapons and strategies, offensive and defensive postures, recognizing vulnerable locations, risk reduction strategies, and using personal weapons. This CIP code is not valid for IPEDS reporting.</t>
  </si>
  <si>
    <t>Self-Defense.</t>
  </si>
  <si>
    <t>A program that prepares individuals to evaluate their personal financial health, establish financial planning strategies, and solve financial problems, based on their short term and long term financial goals. Includes instruction in asset management, estate planning, college savings, investment theory, insurance, real estate, retirement planning, and taxation. This CIP code is not valid for IPEDS reporting.</t>
  </si>
  <si>
    <t>Investing/Wealth Management/Retirement Planning.</t>
  </si>
  <si>
    <t>Any instructional program in noncommercial vehicle operation not listed above.</t>
  </si>
  <si>
    <t>Noncommercial Vehicle Operation, Other.</t>
  </si>
  <si>
    <t>49.0109 - Remote Aircraft Pilot.</t>
  </si>
  <si>
    <t>A program that prepares individuals to fly an unmanned aircraft system (UAS) for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 This CIP code is not valid for IPEDS reporting.</t>
  </si>
  <si>
    <t>Remote Aircraft Pilot (Personal).</t>
  </si>
  <si>
    <t>Examples: - Boating Safety Education, - Boater Education Certificate</t>
  </si>
  <si>
    <t>A program that prepares individuals to operate boats and other watercraft for personal use and qualifies them to sit for a boating license examination. Includes instruction in boat and watercraft operation, safety, and applicable laws and rules. This CIP code is not valid for IPEDS reporting.</t>
  </si>
  <si>
    <t>Personal Watercraft/Boating Education.</t>
  </si>
  <si>
    <t>A program that prepares individuals to ride motorcycles for personal use and qualifies them to sit for a motorcycle license examination. Includes instruction in motorcycle operation, riding skills, safety, and traffic rules. This CIP code is not valid for IPEDS reporting.</t>
  </si>
  <si>
    <t>Motorcycle Rider Education.</t>
  </si>
  <si>
    <t>A program that prepares individuals to fly helicopters for personal use, and qualifies individuals to sit for the FAA Private Pilot - Helicopter (PRH) examination. Includes instruction in principles of helicopter design and performance; helicopter flight systems and controls; flight crew operations and procedures; radio communications and navigation procedures and systems; airways safety and traffic regulations; and governmental rules and regulations pertaining to piloting helicopters. This CIP code is not valid for IPEDS reporting.</t>
  </si>
  <si>
    <t>Helicopter Pilot (Private).</t>
  </si>
  <si>
    <t>A program that prepares individuals to drive automobiles for personal use and qualifies them to sit for a driver's license examination. Includes instruction in automobile operation, driving skills, safety, and traffic rules. This CIP code is not valid for IPEDS reporting.</t>
  </si>
  <si>
    <t>Automobile Driver Education.</t>
  </si>
  <si>
    <t>Instructional content for this group of programs is defined in codes 36.0202 - 36.0299. These CIP codes are not valid for IPEDS reporting.</t>
  </si>
  <si>
    <t>Noncommercial Vehicle Operation.</t>
  </si>
  <si>
    <t>01.0801 - Agricultural and Extension Education Services., 01.0609 - Public Horticulture.</t>
  </si>
  <si>
    <t>A program that prepares individuals to educate the public on science-based, environmentally-sound practices in sustainable gardening and horticulture. Includes instruction in vegetables, houseplants, composting, flowers, fruits, turf grass, woody plants, plant propagation, pollination, soils, wildlife management, integrated pest management, plant pathology, and entomology. This CIP code is not valid for IPEDS reporting.</t>
  </si>
  <si>
    <t>Master Gardener/Gardening.</t>
  </si>
  <si>
    <t>A program that focuses on the techniques of floral design based on color palette, theme, season, and flower selection. Includes instruction in botanical terminology, flower handling and identification, foliage and plants, traditional and contemporary floral design, and use of seasonal, dry, silk, or exotic plant materials. This CIP code is not valid for IPEDS reporting.</t>
  </si>
  <si>
    <t>Floral Design/Arrangement.</t>
  </si>
  <si>
    <t>A program that focuses on the fundamentals of gun operation, shooting techniques, and firearm safety. Includes instruction in ammunition, firearm cleaning, firearms law, firearm operation, and shooting techniques. This CIP code is not valid for IPEDS reporting.</t>
  </si>
  <si>
    <t>Firearms Training/Safety.</t>
  </si>
  <si>
    <t>01.0310 - Apiculture.</t>
  </si>
  <si>
    <t>A program that focuses on keeping bees for personal enjoyment, pollination of plants and vegetables, and domestic honey and other bee product production. Includes instruction in bee behavior, hive equipment, beekeeping supplies, bee pests and parasites, handling bees, hive set up and care, honey production, and seasonal management practices. This CIP code is not valid for IPEDS reporting.</t>
  </si>
  <si>
    <t>Beekeeping.</t>
  </si>
  <si>
    <t>Moved from 36.0119 to 36.0202</t>
  </si>
  <si>
    <t>A program that focuses on assisting individuals in achieving personal goals such as life transitions, relationships, physical well-being, emotional well-being, and career choices. Includes instruction in career and vocational development, coaching methodologies, coaching research techniques, group coaching, leadership techniques, and personal coaching. This CIP code is not valid for IPEDS reporting.</t>
  </si>
  <si>
    <t>Life Coaching.</t>
  </si>
  <si>
    <t>A program that focuses on meditation and mindfulness training, and how these techniques can enhance brain function, regulate emotions, reduce stress, and increase compassion. Includes instruction in alternative medicine, innovative and ancient healing practices, inspired creativity and the arts, meditation, mindfulness, neuroscience, religious belief systems, spiritual psychology, therapeutic movement, and visualization meditation. This CIP code is not valid for IPEDS reporting.</t>
  </si>
  <si>
    <t>Meditation/Mind-Body Wellness.</t>
  </si>
  <si>
    <t>Instructional programs that focus on the promotion of personal and family health. These CIP codes are not valid for IPEDS reporting.</t>
  </si>
  <si>
    <t>A program of study that focuses on the leadership and management skills needed to prepare and respond to critical threats such as natural disasters, hazardous spills, and security threats. Includes instruction in communication, community preparedness, decision-making, disaster management, disaster recovery, disaster preparation, emergency planning and preparation, resource planning, and risk and hazard impact. This CIP code is not valid for IPEDS reporting.</t>
  </si>
  <si>
    <t>Personal Emergency Preparedness.</t>
  </si>
  <si>
    <t>Any instructional program in general exam preparation and test-taking skills not listed above.</t>
  </si>
  <si>
    <t>General Exam Preparation and Test-Taking Skills, Other.</t>
  </si>
  <si>
    <t>Examples: - National Council Licensure Examination (NCLEX), - Praxis Test, - Comprehensive Osteopathic Medical Licensing Examination (COMLEX), - United States Medical Licensing Examination (USMLE), - Physician Assistant National Certifying Exam (PANCE), - Professional Surveyor (P.S.) Exam, - National Registry of Emergency Medical Technicians (NREMT) Exam, - Certified Information Systems Auditor (CISA) Examination, - Certified Public Accountant (CPA) Examination, - Chartered Financial Analyst (CFA) Examination, - Professional Engineer (P.E.) Examination, - Project Management Professional (PMP) Examination, - North American Pharmacist Licensure Examination (NAPLEX)</t>
  </si>
  <si>
    <t>A program of study that focuses on general study and exam-taking skills associated with preparation for professional certification and licensure examinations. This CIP code is not valid for IPEDS reporting.</t>
  </si>
  <si>
    <t>Professional Certification/Licensure Examination Preparation.</t>
  </si>
  <si>
    <t>Examples: - Graduate Management Admission Test (GMAT), - Law School Admissions Test (LSAT), - Optometry Admission Test (OAT), - HESI Admission Assessment Exam, - Dental Admission Test (DAT), - Pharmacy College Admission Test (PCAT), - Medical College Admissions Test (MCAT), - Graduate Record Examination (GRE) General Test, - Veterinary College Admission Test (VCAT), - Miller Analogies Test (MAT)</t>
  </si>
  <si>
    <t>A program of study that focuses on general study and exam-taking skills associated with preparation for graduate and professional school entrance examinations. This CIP code is not valid for IPEDS reporting.</t>
  </si>
  <si>
    <t>Graduate/Professional School Entrance Examination Preparation.</t>
  </si>
  <si>
    <t>Examples: - Scholastic Assessment Test (SAT), - SAT Subject Tests, - The ACT Test, - Texas Higher Education Assessment, - Postsecondary Education Readiness Test (PERT)</t>
  </si>
  <si>
    <t>A program of study that focuses on general study and exam-taking skills associated with preparation for undergraduate college/university entrance or placement examinations. This CIP code is not valid for IPEDS reporting.</t>
  </si>
  <si>
    <t>Undergraduate Entrance/Placement Examination Preparation.</t>
  </si>
  <si>
    <t>Examples: - General Educational Development (GED) Exam, - High School Equivalency Certificate Exam, - Certificate of School Completion Exam</t>
  </si>
  <si>
    <t>53.0201 - High School Equivalence Certificate Program.</t>
  </si>
  <si>
    <t>A program of study that focuses on general study and exam-taking skills associated with preparation for the high school equivalency examinations. This CIP code is not valid for IPEDS reporting.</t>
  </si>
  <si>
    <t>High School Equivalent Exam Preparation.</t>
  </si>
  <si>
    <t>A program of study that focuses on general study and exam-taking skills. This CIP code is not valid for IPEDS reporting.</t>
  </si>
  <si>
    <t>Exam Preparation and Test-Taking Skills, General.</t>
  </si>
  <si>
    <t>Instructional content for this group of programs is defined in codes 32.0201 - 32.0299. These CIP codes are not valid for IPEDS reporting.</t>
  </si>
  <si>
    <t>General Exam Preparation and Test-Taking Skills.</t>
  </si>
  <si>
    <t>A program that focuses on accent modification and effective pronunciation in order to assist individuals in changing their accents/dialects to Standard American English. Includes instruction in changing speech patterns, intonation, phonology, pronunciation, rhythm, semantics, syntax, vocabulary, voice production, and word order. This CIP code is not valid for IPEDS reporting.</t>
  </si>
  <si>
    <t>Accent Reduction/Modification.</t>
  </si>
  <si>
    <t>Any instructional program in parks, recreation, leisure, fitness, and kinesiology not listed above.</t>
  </si>
  <si>
    <t>Parks, Recreation, Leisure, Fitness, and Kinesiology, Other.</t>
  </si>
  <si>
    <t>Any instructional program in sports, kinesiology, and physical education/fitness not listed above.</t>
  </si>
  <si>
    <t>Sports, Kinesiology, and Physical Education/Fitness, Other.</t>
  </si>
  <si>
    <t>Examples: - Psychosocial Aspects of Sport</t>
  </si>
  <si>
    <t>31.0504 - Sport and Fitness Administration/Management., 09.0906 - Sports Communication., 42.2815 - Performance and Sport Psychology.</t>
  </si>
  <si>
    <t>26.0908 - Exercise Physiology and Kinesiology., 51.2311 - Kinesiotherapy/Kinesiotherapist., 51.0913 - Athletic Training/Trainer., 13.1314 - Physical Education Teaching and Coaching., 26.0913 - Biomechanics.</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</si>
  <si>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</si>
  <si>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Exercise Science and Kinesiology.</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</si>
  <si>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</si>
  <si>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Sports, Kinesiology, and Physical Education/Fitness, General.</t>
  </si>
  <si>
    <t>Sports, Kinesiology, and Physical Education/Fitness.</t>
  </si>
  <si>
    <t>Any instructional program in parks, recreation, and leisure facilities management not listed above.</t>
  </si>
  <si>
    <t>Parks, Recreation, and Leisure Facilities Management, Other.</t>
  </si>
  <si>
    <t>03.0207 - Environmental/Natural Resource Recreation and Tourism., 03.0206 - Land Use Planning and Management/Development.</t>
  </si>
  <si>
    <t>Parks, Recreation, and Leisure Facilities Management, General.</t>
  </si>
  <si>
    <t>Parks, Recreation, and Leisure Facilities Management.</t>
  </si>
  <si>
    <t>Parks, Recreation, and Leisure Studies.</t>
  </si>
  <si>
    <t>Instructional programs that focus on the principles and practices of managing parks and other recreational and fitness facilities; providing recreational, leisure and fitness services; and the study of human kinesiology and fitness.</t>
  </si>
  <si>
    <t>PARKS, RECREATION, LEISURE, FITNESS, AND KINESIOLOGY.</t>
  </si>
  <si>
    <t>Examples: - Social Media Trend Spotting</t>
  </si>
  <si>
    <t>Any instructional program in data analytics not listed above.</t>
  </si>
  <si>
    <t>Data Analytics, Other.</t>
  </si>
  <si>
    <t>A program that focuses on financial big data modeling from algorithms to cloud-based data-driven financial technologies. Includes instruction in financial analytics, financial data processing, knowledge management, data visualization, effective decision communication, machine learning for finance, statistical inference and dynamic modeling on financial data, and project management.</t>
  </si>
  <si>
    <t>Financial Analytics.</t>
  </si>
  <si>
    <t>Examples: - Infographics and Data Visualization Design</t>
  </si>
  <si>
    <t>A program that prepares individuals to organize and derive meaning from data by using visual presentation tools and techniques. Includes instruction in cognitive science, computer programming, data management, data visualization theory, graphic design, infographics, perceptual psychology, statistics, and visual design.</t>
  </si>
  <si>
    <t>Data Visualization.</t>
  </si>
  <si>
    <t>Examples: - Business Forecasting and Trend Spotting</t>
  </si>
  <si>
    <t>52.1302 - Business Statistics.</t>
  </si>
  <si>
    <t>A program that prepares individuals to apply data science to solve business challenges. Includes instruction in machine learning, optimization methods, computer algorithms, probability and stochastic models, information economics, logistics, strategy, consumer behavior, marketing, and visual analytics.</t>
  </si>
  <si>
    <t>Business Analytics.</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</si>
  <si>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</si>
  <si>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t>Data Analytics, General.</t>
  </si>
  <si>
    <t>Instructional content for this group of programs is defined in codes 30.7101 - 30.7199.</t>
  </si>
  <si>
    <t>Data Analytics.</t>
  </si>
  <si>
    <t>Any instructional program in data science not listed above.</t>
  </si>
  <si>
    <t>Data Science, Other.</t>
  </si>
  <si>
    <t>A program that focuses on the analysis of large scale data sources from the interdisciplinary perspectives of applied statistics, computer science, data storage, data representation, data modeling, mathematics, and statistics. Includes instruction in computer algorithms, computer programming, data management, data mining, information policy, information retrieval, mathematical modeling, quantitative analysis, statistics, trend spotting, and visual analytics.</t>
  </si>
  <si>
    <t>Data Science, General.</t>
  </si>
  <si>
    <t>Instructional content for this group of programs is defined in codes 30.7001 - 30.7099.</t>
  </si>
  <si>
    <t>Data Science.</t>
  </si>
  <si>
    <t>A program of study that focuses on the biological, philosophical, psychological, sociological, and theological aspects of death, dying, and bereavement. Includes instruction in counseling, ethics, grief, palliative and hospice care, philosophy, thanatology, and theology.</t>
  </si>
  <si>
    <t>Thanatology.</t>
  </si>
  <si>
    <t>Instructional content is defined in code 30.5301.</t>
  </si>
  <si>
    <t>Any instructional program in digital humanities and textual studies not listed above.</t>
  </si>
  <si>
    <t>Digital Humanities and Textual Studies, Other.</t>
  </si>
  <si>
    <t>A program that focuses on the interconnected histories of digital or print texts and manuscripts for cultural and literary study. Includes instruction in archiving texts, bibliography, book and literary history, cultural studies, codicology, paleography, stemmatology, and textual criticism.</t>
  </si>
  <si>
    <t>Textual Studies.</t>
  </si>
  <si>
    <t>A program that focuses on the use of new technologies, advanced computing, and public engagement to investigate and analyze questions in the humanities. Includes instruction in anthropology, art, data mining and machine learning, design, digital archives, geospatial technologies, history, human-computer interface design, literature, markup languages, social media technologies, and software development.</t>
  </si>
  <si>
    <t>Digital Humanities.</t>
  </si>
  <si>
    <t>A program that focuses on digital textual editing, archiving, and publishing, and on the study of new media and computing platforms from the perspectives of the humanities and computer science. Includes instruction in archiving, computer programming, cultural studies, and textual criticism.</t>
  </si>
  <si>
    <t>Digital Humanities and Textual Studies, General.</t>
  </si>
  <si>
    <t>Instructional content for this group of programs is defined in codes 30.5201 - 30.5299.</t>
  </si>
  <si>
    <t>Digital Humanities and Textual Studies.</t>
  </si>
  <si>
    <t>38.0101 - Philosophy., 45.0601 - Economics, General., 45.1001 - Political Science and Government, General.</t>
  </si>
  <si>
    <t>A program that focuses on philosophical foundations, political institutions, collective behavior, economic theory, and economic influences. Includes instruction in econometrics, logic, metaphysics, moral responsibility, philosophy of language, philosophy of perception, philosophy through history, reasoning and persuasion, and social epistemology.</t>
  </si>
  <si>
    <t>Philosophy, Politics, and Economics.</t>
  </si>
  <si>
    <t>Instructional content is defined in code 30.5101.</t>
  </si>
  <si>
    <t>A program that focuses on the application of mathematics to atmospheric and oceanic problems. Includes instruction in chemistry, physics, atmospheric/ocean dynamics, climatology, weather simulation, climate modeling, mathematics, oceanography, and atmospheric science.</t>
  </si>
  <si>
    <t>Mathematics and Atmospheric/Oceanic Science.</t>
  </si>
  <si>
    <t>Instructional content is defined in code 30.5001.</t>
  </si>
  <si>
    <t>Examples: - Math Economics, - Mathematics and Economics, - Economics and Mathematics</t>
  </si>
  <si>
    <t>45.0603 - Econometrics and Quantitative Economics.</t>
  </si>
  <si>
    <t>A program that focuses on the application of mathematical methods to the development of economic theory, models, and quantitative analysis. Includes instruction in data analysis, applied business economics, calculus, econometrics, linear algebra, microeconomic theory, probability, and statistical methods.</t>
  </si>
  <si>
    <t>Mathematical Economics.</t>
  </si>
  <si>
    <t>Instructional content is defined in code 30.4901.</t>
  </si>
  <si>
    <t>11.0101 - Computer and Information Sciences, General., 16.0102 - Linguistics.</t>
  </si>
  <si>
    <t>A program that focuses on the relationship between computer and human language and computational techniques applied to natural language. Includes instruction in computer programming, human languages, linguistic analysis, logic, natural language processing, semantics, machine learning, psycholinguistics, software engineering, and syntax.</t>
  </si>
  <si>
    <t>Linguistics and Computer Science.</t>
  </si>
  <si>
    <t>Instructional content is defined in code 30.4801.</t>
  </si>
  <si>
    <t>16.0102 - Linguistics., 45.0201 - Anthropology, General.</t>
  </si>
  <si>
    <t>A program that focuses on the study of the anthropological, historical, and sociological context of language with a particular emphasis on language use and its role in shaping cultural and social diversity. Includes instruction in applied linguistics, data management, field methods, language heritage, socialization, structure, linguistic analysis, linguistic theory, and multilingualism.</t>
  </si>
  <si>
    <t>Linguistics and Anthropology.</t>
  </si>
  <si>
    <t>Instructional content is defined in code 30.4701.</t>
  </si>
  <si>
    <t>54.0101 - History, General., 45.1001 - Political Science and Government, General.</t>
  </si>
  <si>
    <t>A program with a general synthesis of history and political science or a specialization which draws from history and political science. Includes instruction in comparative government and politics, historiography, historical research methods, political science, political theory, records administration, and systematic study of political institutions and behavior.</t>
  </si>
  <si>
    <t>History and Political Science.</t>
  </si>
  <si>
    <t>Instructional content is defined in code 30.4601.</t>
  </si>
  <si>
    <t>54.0101 - History, General., 16.0101 - Foreign Languages and Literatures, General.</t>
  </si>
  <si>
    <t>A program with a general synthesis of history and the language and literature of one or more countries or regions or a specialization which draws from history and the language and literature of one or more countries or regions. Includes instruction in historiography; historical research methods; linguistics; literature, philology; and studies of specific periods, issues and cultures.</t>
  </si>
  <si>
    <t>History and Language/Literature.</t>
  </si>
  <si>
    <t>Instructional content is defined in code 30.4501.</t>
  </si>
  <si>
    <t>45.0701 - Geography., 03.0103 - Environmental Studies.</t>
  </si>
  <si>
    <t>A program that focuses on interactions between people and the natural and built environments. Includes instruction in climate science, sustainability, environmental science and policy, research methods, geographic information systems (GIS), human geography, physical geography, remote sensing, and public policy.</t>
  </si>
  <si>
    <t>Geography and Environmental Studies.</t>
  </si>
  <si>
    <t>Instructional content is defined in code 30.4401.</t>
  </si>
  <si>
    <t>A program that focuses on the scientific study of how living things interact with geological systems. Includes instruction in evolution of Earth systems, geochemistry, geology, geomicrobiology, marine chemistry, paleobiology, paleoecology, paleontology, and petrology.</t>
  </si>
  <si>
    <t>Geobiology.</t>
  </si>
  <si>
    <t>Instructional content is defined in code 30.4301.</t>
  </si>
  <si>
    <t>A program that focuses on the application of analytical techniques, concepts, and field methods from the earth sciences to solve archaeological questions related to human settlement, artifacts, site taphonomy, and paleoenvironments. Includes instruction in anthropology, ancient civilizations, archeology, geology, paleoclimatic reconstruction, sedimentology, and site taphonomic research.</t>
  </si>
  <si>
    <t>Geoarcheaology.</t>
  </si>
  <si>
    <t>Instructional content is defined in code 30.4201.</t>
  </si>
  <si>
    <t>A program that focuses on the scientific study of the environmental implications of geological processes and human activities on Earth. Includes instruction in environmental/natural resource management, geographic information systems (GIS), geology, hydrology, regulatory agency compliance, hazard identification and mitigation, environmental law, environmental policy, and sustainability studies.</t>
  </si>
  <si>
    <t>Environmental Geosciences.</t>
  </si>
  <si>
    <t>Instructional content is defined in code 30.4101.</t>
  </si>
  <si>
    <t>16.0101 - Foreign Languages and Literatures, General., 45.0605 - International Economics.</t>
  </si>
  <si>
    <t>A program with a general synthesis of economics and the language and literature of one or more countries or regions or a specialization which draws from economics and the language and literature of one or more countries or regions. Includes instruction in comparative economic systems, econometrics, economic theory, money and banking systems, international economics, international trade, linguistics, philology, and translation.</t>
  </si>
  <si>
    <t>Economics and Foreign Language/Literature.</t>
  </si>
  <si>
    <t>Instructional content is defined in code 30.4001.</t>
  </si>
  <si>
    <t>A program of study that focuses on the theoretical and practical connections between computer science and economics. Includes instruction in data analysis, database design, data mining, computer algorithms, economics, econometrics, computer programing, mathematics, and statistics.</t>
  </si>
  <si>
    <t>Economics and Computer Science.</t>
  </si>
  <si>
    <t>Instructional content is defined in code 30.3901.</t>
  </si>
  <si>
    <t>A program that focuses on the interaction of the Earth's oceanographic, atmospheric, and terrestrial systems. Includes instruction in biogeochemistry, climate dynamics, geographical information science (GIS), geophysics, hydrology, landscape ecology, meteorology, and satellite remote sensing analysis.</t>
  </si>
  <si>
    <t>Earth Systems Science.</t>
  </si>
  <si>
    <t>Instructional content is defined in code 30.3801.</t>
  </si>
  <si>
    <t>04.0402 - Healthcare Environment Design/Architecture.</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</si>
  <si>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</si>
  <si>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t>Design for Human Health.</t>
  </si>
  <si>
    <t>Instructional content is defined in code 30.3701.</t>
  </si>
  <si>
    <t>16.0104 - Comparative Literature., 05.0200 - Ethnic Studies., 30.2601 - Cultural Studies/Critical Theory and Analysis.</t>
  </si>
  <si>
    <t>A program with a general synthesis of cultural studies and comparative literature or a specialization which draws from cultural studies and comparative literature. Includes instruction in anthropology, comparative linguistics, cultural studies, history, literary criticism, literary studies, philosophy, political economy, sociology, and textual studies.</t>
  </si>
  <si>
    <t>Cultural Studies and Comparative Literature.</t>
  </si>
  <si>
    <t>Instructional content is defined in code 30.3601.</t>
  </si>
  <si>
    <t>A program that focuses on the scientific study of the climate system of the earth with emphasis on the physical, dynamical, and chemical interactions of the atmosphere, ocean, land, ice, and the terrestrial and marine biospheres. Includes instruction in biology, chemistry, climate analysis, climate change adaptation/mitigation, climate policy, ecology, energy development, environmental impacts, marine chemistry, meteorology, and oceanography.</t>
  </si>
  <si>
    <t>Climate Science.</t>
  </si>
  <si>
    <t>Instructional content is defined in code 30.3501.</t>
  </si>
  <si>
    <t>A program of study that combines anthropology and zoology in order to examine the relationship between animals and humans. Includes instruction in animal behavior and communication, animal welfare, animal conservation, animal training, animal-assisted therapy techniques, biology, ethics, and education.</t>
  </si>
  <si>
    <t>Anthrozoology.</t>
  </si>
  <si>
    <t>Instructional content is defined in code 30.3401.</t>
  </si>
  <si>
    <t>Examples: - Human Factors Psychology</t>
  </si>
  <si>
    <t>42.2813 - Applied Psychology., 11.0105 - Human-Centered Technology Design.</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</si>
  <si>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engineering, and the behavior sciences (cognitive science, cognitive psychology, sociology, organizational psychology, and social psychology).  Includes instruction in information technology, cognitive and behavioral sciences, and systems design.</t>
  </si>
  <si>
    <t>16.0104 - Comparative Literature., 30.3601 - Cultural Studies and Comparative Literature., 05.0212 - Comparative Group Studies.</t>
  </si>
  <si>
    <t>Any instructional program in cognitive science not listed above.</t>
  </si>
  <si>
    <t>Cognitive Science, Other.</t>
  </si>
  <si>
    <t>A program that focuses on the philosophical, psychological, and scientific bases of human contemplative experience. Includes instruction in cognitive science, meditation, mindfulness, neuroscience, philosophy, psychology, and religion.</t>
  </si>
  <si>
    <t>Contemplative Studies/Inquiry.</t>
  </si>
  <si>
    <t>Cognitive Science, General.</t>
  </si>
  <si>
    <t>Instructional content for this group of programs is defined in codes 30.2501 - 30.2599.</t>
  </si>
  <si>
    <t>Any program in classical and ancient studies not listed above.</t>
  </si>
  <si>
    <t>Classical and Ancient Studies, Other.</t>
  </si>
  <si>
    <t>Examples: - Ancient Mediterranean Studies</t>
  </si>
  <si>
    <t>A program that focuses on the study of the classical ancient civilizations of the ancient Near East, Europe, and the Mediterranean Sea, such as Athens, Anatolia, Egypt, Greece, Israel, Mesopotamia, North Africa, and Rome. Includes instruction in ancient languages, ancient history, archaeology, anthropology, Greek and Roman mythology, philosophy, and religion.</t>
  </si>
  <si>
    <t>Classical, Ancient Mediterranean, and Near Eastern Studies and Archaeology.</t>
  </si>
  <si>
    <t>Instructional content for this group of programs is defined in codes 30.2201 - 30.2299.</t>
  </si>
  <si>
    <t>Examples: - Global Studies</t>
  </si>
  <si>
    <t>International/Globalization Studies.</t>
  </si>
  <si>
    <t>54.0104 - History and Philosophy of Science and Technology., 51.3205 - History of Medicine.</t>
  </si>
  <si>
    <t>04.0802 - Architectural Conservation.</t>
  </si>
  <si>
    <t>A program that focuses on the design and implementation of plans to restore and maintain historic buildings, districts, and landscapes in a way that balances conservation and preservation with commercial and development interests. Includes instruction in architectural history, building conservation, cultural resource management, economics, historical documentation and preservation, land-use and zoning codes, public policy, public relations, real estate law, and taxation.</t>
  </si>
  <si>
    <t>Historic Preservation and Conservation, General.</t>
  </si>
  <si>
    <t>42.2706 - Behavioral Neuroscience.</t>
  </si>
  <si>
    <t>26.0101 - Biology/Biological Sciences, General., 40.0101 - Physical Sciences, General.</t>
  </si>
  <si>
    <t>A comprehensive transition and postsecondary (CTP) program that provides students with intellectual disabilities with academic enrichment, socialization, independent living skills, self-advocacy skills, and integrated work experiences and career skills that lead to gainful employment.</t>
  </si>
  <si>
    <t>Comprehensive Transition and Postsecondary (CTP) Program.</t>
  </si>
  <si>
    <t>Instructional content for this group of programs is defined in codes 30.0000 - 30.0001.</t>
  </si>
  <si>
    <t>A program that focuses on applied military science, military operations, intelligence gathering, military technology, and national security. Includes instruction in computer science, engineering, ethics, field training, leadership, military strategy, logistics, management skills, and politics.</t>
  </si>
  <si>
    <t>Military Technology and Applied Sciences Management.</t>
  </si>
  <si>
    <t>Instructional content is defined in code 29.0601.</t>
  </si>
  <si>
    <t>Instructional content is defined in code 29.0501.</t>
  </si>
  <si>
    <t>Instructional content is defined in code 28.0801. These CIP codes are not valid for IPEDS reporting.</t>
  </si>
  <si>
    <t>Examples: - Force Doctrine</t>
  </si>
  <si>
    <t>A program that focuses on the application of statistics to the solution of functional problems in fields such as business, engineering, medicine, and the applied sciences. Includes instruction in the principles in inference, probability theory, regression analysis, descriptive statistics, stochastic processes, Monte Carlo method, Bayesian statistics, non-parametric statistics, sampling theory, statistical computing, and statistical techniques.</t>
  </si>
  <si>
    <t>Applied Statistics, General.</t>
  </si>
  <si>
    <t>Instructional content is defined in code 27.0601.</t>
  </si>
  <si>
    <t>Applied Statistics.</t>
  </si>
  <si>
    <t>26.1102 - Biostatistics., 13.0603 - Educational Statistics and Research Methods., 45.0102 - Research Methodology and Quantitative Methods., 30.7102 - Business Analytics.</t>
  </si>
  <si>
    <t>Examples: - Combinatorics and Optimization</t>
  </si>
  <si>
    <t>A program that focuses on the application of mathematics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</si>
  <si>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30.1701 - Behavioral Sciences., 30.1001 - Biopsychology., 42.2706 - Behavioral Neuroscience.</t>
  </si>
  <si>
    <t>A program with a general synthesis of epidemiology and biostatistics or a specialization which draws from epidemiology and biostatistics. Includes instruction in biostatistics, disease and injury determinants, epidemiology, health services research, pathology, spatial analysis, and statistics.</t>
  </si>
  <si>
    <t>Epidemiology and Biostatistics.</t>
  </si>
  <si>
    <t>03.0101 - Natural Resources/Conservation, General., 03.0104 - Environmental Science.</t>
  </si>
  <si>
    <t>14.0501 - Bioengineering and Biomedical Engineering., 31.0505 - Exercise Science and Kinesiology.</t>
  </si>
  <si>
    <t>A program of study that focuses on the biological, anatomical, and mechanical structure and function of the mechanical aspects of biological systems. Includes courses in anatomy, physiology, kinesiology, mechanics, measurement and instrumentation, and research methods.</t>
  </si>
  <si>
    <t>Biomechanics.</t>
  </si>
  <si>
    <t>51.0913 - Athletic Training/Trainer., 31.0505 - Exercise Science and Kinesiology.</t>
  </si>
  <si>
    <t>Exercise Physiology and Kinesiology.</t>
  </si>
  <si>
    <t>Examples: - Wildlife and Conservation Biology</t>
  </si>
  <si>
    <t>A program that focuses on the biological, social, and behavioral factors contributing to the cause and spread of infectious diseases. Includes instruction in research design and evaluation, infectious disease epidemiology, international health policy and management, microbiology, microbial genetics, molecular virology, disease mechanisms, antimicrobial resistance, immunology, and bioterrorism.</t>
  </si>
  <si>
    <t>Infectious Disease and Global Health.</t>
  </si>
  <si>
    <t>16.1701 - English as a Second Language.</t>
  </si>
  <si>
    <t>Examples: - Court Reporter Transcript Editor</t>
  </si>
  <si>
    <t>An instructional program that prepares individuals to perform editing and word processing on a court reporter transcript to ensure the accuracy of the transcripts. Includes instruction in legal terminology, legal transcriptioning, machine shorthand, and computer-aided transcription software.</t>
  </si>
  <si>
    <t>Scopist.</t>
  </si>
  <si>
    <t>A program of study that prepares individuals to provide accurate translation and interpretation between two or more languages for parties involved in a legal proceeding. Includes instruction in courtroom standards and procedures, court interpreting, legal terminology, consecutive interpretation, simultaneous interpretation, and sight translation.</t>
  </si>
  <si>
    <t>Court Interpreter.</t>
  </si>
  <si>
    <t>51.0708 - Medical Transcription/Transcriptionist., 10.0204 - Voice Writing Technology/Technician.</t>
  </si>
  <si>
    <t>Court Reporting and Captioning/Court Reporter.</t>
  </si>
  <si>
    <t>Examples: - Animal Law, - Biotechnology and Genomics Law, - Cannabis Law, - Communications Law, - Cybersecurity and Information Privacy Law, - Economic Law, - Education Law</t>
  </si>
  <si>
    <t>Examples: - Tribal Policy, Law, and Government, - Indigenous Law, - Indigenous and Federal Aboriginal Law</t>
  </si>
  <si>
    <t>An advanced, professional study of the law, policies, and regulations affecting federal Indian law, tribal law and policy, and Indigenous peoples' human rights.</t>
  </si>
  <si>
    <t>Tribal/Indigenous Law.</t>
  </si>
  <si>
    <t>Examples: - Admiralty Law, - Marine Affairs Law, - Aviation Law, - Ocean and Coastal Law, - Air and Space Law, - Logistics and Transportation Law, - Space and Telecommunications Law</t>
  </si>
  <si>
    <t>An advanced, professional study of the law, policies, and regulations affecting land, sea, air, and space transportation.</t>
  </si>
  <si>
    <t>Transportation Law.</t>
  </si>
  <si>
    <t>An advanced, professional study of the law, policies, and regulations affecting real estate and land development.</t>
  </si>
  <si>
    <t>Real Estate and Land Development Law.</t>
  </si>
  <si>
    <t>An advanced, professional study of the law, policies, and regulations affecting insurance.</t>
  </si>
  <si>
    <t>Insurance Law.</t>
  </si>
  <si>
    <t>Examples: - Employee Benefits Law, - Labor and Employment Law</t>
  </si>
  <si>
    <t>An advanced, professional study of the law, policies, and regulations affecting human resources.</t>
  </si>
  <si>
    <t>Human Resources Law.</t>
  </si>
  <si>
    <t>An advanced, professional study of the law, policies, and regulations affecting domestic relations across the lifespan.</t>
  </si>
  <si>
    <t>Family/Child/Elder Law.</t>
  </si>
  <si>
    <t>An advanced, professional study of the law, policies, and regulations affecting entrepreneurship and innovation.</t>
  </si>
  <si>
    <t>Entrepreneurship Law.</t>
  </si>
  <si>
    <t>Examples: - Federal Criminal Practice and Procedure</t>
  </si>
  <si>
    <t>An advanced, professional study of the law, policies, and regulations affecting criminal law and trial procedures.</t>
  </si>
  <si>
    <t>Criminal Law and Procedure.</t>
  </si>
  <si>
    <t>Examples: - Corporate Compliance, - Enterprise Risk Management and Compliance Law</t>
  </si>
  <si>
    <t>An advanced, professional study of the law, policies, and regulations for lawyers and non-legal professionals in compliance, ethics, internal monitoring, regulatory affairs, and related areas.</t>
  </si>
  <si>
    <t>Compliance Law.</t>
  </si>
  <si>
    <t>Examples: - Entertainment, Arts, and Sports Law, - Fashion Law, - Gaming Law and Regulation, - Sports Law, - Title IX Compliance</t>
  </si>
  <si>
    <t>An advanced, professional study of the law, policies, and regulations affecting the sports, fashion, entertainment, arts, and media industries.</t>
  </si>
  <si>
    <t>Arts and Entertainment Law.</t>
  </si>
  <si>
    <t>Examples: - Agriculture and Food Law, - Global Food Law</t>
  </si>
  <si>
    <t>An advanced, professional study of the law, policies, and regulations for lawyers and non-legal professionals in food and agriculture.</t>
  </si>
  <si>
    <t>Agriculture Law.</t>
  </si>
  <si>
    <t>Examples: - Patent Law, - Patent Prosecution</t>
  </si>
  <si>
    <t>An advanced, professional study of the law, policies, and regulations affecting patents.</t>
  </si>
  <si>
    <t>Patent Law.</t>
  </si>
  <si>
    <t>Examples: - Health Law (LL.M., M.J.), - Health Law (J.S.D./S.J.D.), - Healthcare Compliance Law, - Mental Disability Law</t>
  </si>
  <si>
    <t>Examples: - Banking, Corporate, Finance, and Securities Law (LL.M.), - Banking, Corporate, Finance, and Securities Law (J.S.D./S.J.D.), - Estate Planning Law</t>
  </si>
  <si>
    <t>Any program in non-professional legal studies not listed above.</t>
  </si>
  <si>
    <t>Non-Professional Legal Studies, Other.</t>
  </si>
  <si>
    <t>Examples: - Juris Master (J.M.) Degree, - Master of Legal Studies</t>
  </si>
  <si>
    <t>A program of study that focuses on law and legal issues from the perspective of the social sciences and humanities.</t>
  </si>
  <si>
    <t>Legal Studies.</t>
  </si>
  <si>
    <t>Instructional content for this group of programs is defined in codes 22.0000 - 22.0099.</t>
  </si>
  <si>
    <t>Non-Professional Legal Studies.</t>
  </si>
  <si>
    <t>Instructional content is defined in code 21.0101.</t>
  </si>
  <si>
    <t>Instructional content is defined in code 19.1001.</t>
  </si>
  <si>
    <t>Examples: - Parent Education</t>
  </si>
  <si>
    <t>A program that prepares individuals to plan, coordinate, and teach parent education programs and services that address the cultural, emotional, intellectual, physical and social needs of children and parents. Includes instruction in child development, cultural diversity in schools, child behavior, family development, family-community partnerships, family dynamics, interpersonal relationships, parent-child relationships, and social services.</t>
  </si>
  <si>
    <t>Parent Education Services.</t>
  </si>
  <si>
    <t>13.1210 - Early Childhood Education and Teaching., 42.2811 - Family Psychology.</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</si>
  <si>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</si>
  <si>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t>Early Childhood and Family Studies.</t>
  </si>
  <si>
    <t>42.2703 - Developmental and Child Psychology., 42.2710 - Developmental and Adolescent Psychology.</t>
  </si>
  <si>
    <t>Moved from 19.0000 to 19.1001</t>
  </si>
  <si>
    <t>Moved from 19.00 to 19.10</t>
  </si>
  <si>
    <t>A program that focuses on the historical and modern languages spoken by Armenians. Includes instruction in philology; linguistics; dialects and pidgins; literature; and applications to business, science/technology, and other settings.</t>
  </si>
  <si>
    <t>Armenian Language and Literature.</t>
  </si>
  <si>
    <t>Instructional content is defined in code 16.1801.</t>
  </si>
  <si>
    <t>Armenian Languages, Literatures, and Linguistics.</t>
  </si>
  <si>
    <t>32.0109 - Second Language Learning., 23.0101 - English Language and Literature, General.</t>
  </si>
  <si>
    <t>A program that focuses on the development of proficiency in reading, writing, and speaking English for those for whom English is not their mother tongue. Includes instruction in the use of basic communication skills to develop and transmit ideas and thoughts in English as well as specialized programs that focus on the development of proficiency in English sufficient to meet specific occupational or academic demands. Note: These programs are for academic credit towards a postsecondary credential. For second language programs that are not for academic credit towards a postsecondary credential, see 32.0109.</t>
  </si>
  <si>
    <t>English as a Second Language.</t>
  </si>
  <si>
    <t>Instructional content for this group of programs is defined in codes 16.1701 - 16.1799.</t>
  </si>
  <si>
    <t>A program that focuses on the Hawaiian language and related dialects. Includes instruction in philology; dialects; and applications to business, science/technology, and other settings.</t>
  </si>
  <si>
    <t>Hawaiian Language and Literature.</t>
  </si>
  <si>
    <t>A program that focuses on one or more of the languages native to the Western Hemisphere, with an emphasis on American Indian languages, but including other Native American languages. Includes instruction in philology; oral and written literatures; Inuit and Aleut languages; North American language families, including, but not limited to, Algonkian, Athabascan, Siouan, Muskogean, Iroquoian, Kumeyaay, Yuman, Mayan, Zapotecan, and Uto-Aztecan; South American language families, including, but not limited to, Andean-Equatorial, Ge-Pano-Carib, and Macro-Chibchan; and other minor languages.</t>
  </si>
  <si>
    <t>23.1401 - General Literature., 30.2601 - Cultural Studies/Critical Theory and Analysis., 30.3601 - Cultural Studies and Comparative Literature.</t>
  </si>
  <si>
    <t>16.1602 - Linguistics of ASL and Other Sign Languages., 30.4801 - Linguistics and Computer Science., 30.4701 - Linguistics and Anthropology.</t>
  </si>
  <si>
    <t>30.4001 - Economics and Foreign Language/Literature., 30.4501 - History and Language/Literature.</t>
  </si>
  <si>
    <t>Engineering/Engineering-Related Technologies/Technicians, Other.</t>
  </si>
  <si>
    <t>47.0799 - Energy Systems Maintenance and Repair Technologies/Technicians, Other.</t>
  </si>
  <si>
    <t>Any instructional program in energy systems technologies not listed above.</t>
  </si>
  <si>
    <t>Energy Systems Technologies/Technicians, Other.</t>
  </si>
  <si>
    <t>47.0706 - Geothermal Energy System Installation and Repair Technology/Technician.</t>
  </si>
  <si>
    <t>A program that prepares individuals to apply basic engineering principles and technical skills in support of engineers and other professionals engaged in developing geothermal energy systems. Includes instruction in geothermal energy principles, energy storage and transfer technologies, testing and inspection procedures, system maintenance procedures, and report preparation.</t>
  </si>
  <si>
    <t>Geothermal Energy Technology/Technician.</t>
  </si>
  <si>
    <t>47.0705 - Hydroelectric Energy System Installation and Repair Technology/Technician.</t>
  </si>
  <si>
    <t>A program that prepares individuals to apply basic engineering principles and technical skills in support of engineers and other professionals engaged in developing hydroelectric energy systems. Includes instruction in hydroelectric energy principles, energy storage and transfer technologies, testing and inspection procedures, system maintenance procedures, and report preparation.</t>
  </si>
  <si>
    <t>Hydroelectric Energy Technology/Technician.</t>
  </si>
  <si>
    <t>Examples: - Wind Turbine Technology/Technician</t>
  </si>
  <si>
    <t>47.0704 - Wind Energy System Installation and Repair Technology/Technician.</t>
  </si>
  <si>
    <t>A program that prepares individuals to apply basic engineering principles and technical skills in support of engineers and other professionals engaged in developing wind-powered energy systems. Includes instruction in wind energy principles, energy storage and transfer technologies, testing and inspection procedures, system maintenance procedures, and report preparation.</t>
  </si>
  <si>
    <t>Wind Energy Technology/Technician.</t>
  </si>
  <si>
    <t>47.0703 - Solar Energy System Installation and Repair Technology/Technician.</t>
  </si>
  <si>
    <t>14.4802 - Power Plant Engineering.</t>
  </si>
  <si>
    <t>A program that prepares individuals to apply basic engineering principles and technical skills in support of engineers engaged in the operation and maintenance of electricity generating power plants. Includes instruction in basic electricity, electrical power, generator operations, industrial controls, power plant instrumentation, power plant theory, pollution control, reactor theory, thermodynamics, turbines, and water chemistry.</t>
  </si>
  <si>
    <t>Power Plant Technology/Technician.</t>
  </si>
  <si>
    <t>Examples: - Energy Management and Systems Technology/Technician</t>
  </si>
  <si>
    <t>03.0209 - Energy and Environmental Policy., 03.0210 - Bioenergy., 14.4801 - Energy Systems Engineering, General., 47.0701 - Energy Systems Installation and Repair Technology/Technician.</t>
  </si>
  <si>
    <t>Energy Systems Technology/Technician.</t>
  </si>
  <si>
    <t>Instructional content for this group of programs is defined in codes 15.1701 - 15.1799.</t>
  </si>
  <si>
    <t>Energy Systems Technologies/Technicians.</t>
  </si>
  <si>
    <t>A program that prepares individuals to apply technical knowledge and skills in the use of three-dimensional (3-D) computer technology to create technical illustrations and models used in manufacturing, design, production, and construction. Includes instruction in 3-D computer-aided design (CAD), 3-D printing, 3-D model design and construction, and 3-D scanning.</t>
  </si>
  <si>
    <t>3-D Modeling and Design Technology/Technician.</t>
  </si>
  <si>
    <t>Computer/Computer Systems Technology/Technician.</t>
  </si>
  <si>
    <t>Engineering-Related Technologies/Technicians, Other.</t>
  </si>
  <si>
    <t>Engineering-Related Technologies/Technicians.</t>
  </si>
  <si>
    <t>A program that prepares individuals to apply basic engineering principles and technical skills in support of engineers and other professionals engaged in the design, construction, and repair of vehicles used in racing and motorsports. Includes instruction in aerodynamics, design, vehicle dynamics, performance engines, fluid mechanics, computer-aided design (CAD), mechanical engineering, and welding.</t>
  </si>
  <si>
    <t>Motorsports Engineering Technology/Technician.</t>
  </si>
  <si>
    <t>48.0704 - Wooden Boatbuilding Technology/Technician.</t>
  </si>
  <si>
    <t>A program that prepares individuals to apply basic engineering principles and technical skills in support of engineers and other professionals engaged in shipboard mechanical and electrical engineering and the maintenance and operation of marine engines, including gas, diesel, and steam engines. Includes instruction in automation, diesel-powered systems, electrical circuits and systems, engine performance, hydraulics, manufacturing, motor-powered systems, refrigeration and air-conditioning, steam-powered systems, and welding.</t>
  </si>
  <si>
    <t>Marine Engineering Technology/Technician.</t>
  </si>
  <si>
    <t>Mechanical/Mechanical Engineering Technology/Technician.</t>
  </si>
  <si>
    <t>A program that prepares individuals to apply basic engineering principles and technical skills in support of engineers engaged in developing methods to mitigate damage, reduce risks, and prevent accidents. Includes instruction in design for injury prevention, engineering for process safety, environmental psychology, function-based risk analysis, fundamentals of industrial engineering, operations research, probability and statistics, risk assessment and reduction, and safety engineering.</t>
  </si>
  <si>
    <t>Process Safety Technology/Technician.</t>
  </si>
  <si>
    <t>A program that prepares individuals to apply basic engineering principles and technical skills to assist engineers and other professionals in implementing and enforcing industrial safety standards to mitigate damage, reduce risks, and prevent accidents. Includes instruction in industrial processes, industrial hygiene, injury prevention, toxicology, ergonomics, risk analysis, system and process safety, safety performance measurement, human factors, human behavior, and applicable law and regulations.</t>
  </si>
  <si>
    <t>A program of study that prepares individuals to apply basic engineering principles and technical skills in support of engineers and other professionals engaged in the development, manufacture, and use of composite materials in aircraft technology, automotive technology, boats, medical prostheses, and wind turbines. Includes instruction in computer-aided design and drafting, composite materials and processes, composite maintenance, composite manufacturing, composite repair, material science, and mold manufacturing and production.</t>
  </si>
  <si>
    <t>Composite Materials Technology/Technician.</t>
  </si>
  <si>
    <t>Semiconductor Manufacturing Technology/Technician.</t>
  </si>
  <si>
    <t>Environmental/Environmental Engineering Technology/Technician.</t>
  </si>
  <si>
    <t>Moved from 15.0505 to 15.1703</t>
  </si>
  <si>
    <t>Moved from 15.0503 to 15.1701</t>
  </si>
  <si>
    <t>Any instructional program in electromechanical technologies not listed above.</t>
  </si>
  <si>
    <t>Electromechanical Technologies/Technicians, Other.</t>
  </si>
  <si>
    <t>A program that prepares individuals to apply basic engineering principles and technical skills in the support of engineers to the design, development, and operational evaluation of autonomous, computer-controlled, electro-mechanical systems. Includes instruction in computer and software engineering, control engineering, electronic and electrical engineering, mechanical engineering, and robotics.</t>
  </si>
  <si>
    <t>Mechatronics, Robotics, and Automation Engineering Technology/Technician.</t>
  </si>
  <si>
    <t>Electromechanical/Electromechanical Engineering Technology/Technician.</t>
  </si>
  <si>
    <t>Electromechanical Technologies/Technicians.</t>
  </si>
  <si>
    <t>Electrical/Electronic Engineering Technologies/Technicians, Other.</t>
  </si>
  <si>
    <t>A program of study that prepares individuals to apply mathematical and scientific principles to the mixing, recording, and production of music. Includes instruction in acoustics, audio mixing, audio production, audio recording, computer composition of music, music theory, digital devices, and sound technology.</t>
  </si>
  <si>
    <t>Audio Engineering Technology/Technician.</t>
  </si>
  <si>
    <t>Integrated Circuit Design Technology/Technician.</t>
  </si>
  <si>
    <t>Electrical, Electronic, and Communications Engineering Technology/Technician.</t>
  </si>
  <si>
    <t>Electrical/Electronic Engineering Technologies/Technicians.</t>
  </si>
  <si>
    <t>Examples: - Applied Engineering</t>
  </si>
  <si>
    <t>A program that generally prepares individuals to apply basic engineering principles and technical skills in support of engineers engaged in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</si>
  <si>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Applied Engineering Technologies/Technicians.</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</si>
  <si>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</si>
  <si>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Engineering Technologies/Technicians, General.</t>
  </si>
  <si>
    <t>Instructional content for this group of programs is defined in codes 15.0000 - 15.0001.</t>
  </si>
  <si>
    <t>ENGINEERING/ENGINEERING-RELATED TECHNOLOGIES/TECHNICIANS.</t>
  </si>
  <si>
    <t>Any instructional program in energy systems engineering not listed above.</t>
  </si>
  <si>
    <t>Energy Systems Engineering, Other.</t>
  </si>
  <si>
    <t>15.1702 - Power Plant Technology/Technician.</t>
  </si>
  <si>
    <t>A program that prepares individuals to plan electrical systems and modify existing electrical systems that generate and use large amounts of electricity required for distribution networks that are economical, safe, and functional. Includes instruction in alternative/renewable energy systems; calculus; circuit analysis; electrical power systems and industry practices; electrical system design; microprocessor architecture; motor control systems; power electronics operation, planning and protection; programmable logic controllers; and project management.</t>
  </si>
  <si>
    <t>Power Plant Engineering.</t>
  </si>
  <si>
    <t>15.1701 - Energy Systems Technology/Technician., 03.0210 - Bioenergy.</t>
  </si>
  <si>
    <t>A program that prepares individuals to apply mathematical and scientific principles to the design, development and operational evaluation of energy generation, storage, conversion, and distribution systems. Includes instruction in conventional and alternative/renewable energy systems, electrical power systems, and electrical system design.</t>
  </si>
  <si>
    <t>Energy Systems Engineering, General.</t>
  </si>
  <si>
    <t>Instructional content for this group of programs is defined in codes 14.4801 - 14.4899.</t>
  </si>
  <si>
    <t>Energy Systems Engineering.</t>
  </si>
  <si>
    <t>A program that prepares individuals to apply mathematical and scientific principles to the design and development of computer systems. Includes instruction in computer architecture, cybersecurity, electronic circuits, electromagnetism, electronic materials and design, micro-fabrication methods and techniques, signal and image processing, and wireless communication networks.</t>
  </si>
  <si>
    <t>Electrical and Computer Engineering.</t>
  </si>
  <si>
    <t>Instructional content is defined in code 14.4701.</t>
  </si>
  <si>
    <t>03.0509 - Wood Science and Wood Products/Pulp and Paper Technology/Technician.</t>
  </si>
  <si>
    <t>Examples: - Decision Support Systems, - Decision Analysis, - Operations Analysis, - Operational Sciences</t>
  </si>
  <si>
    <t>Examples: - Ergonomics Engineering, - Human Factors Engineering</t>
  </si>
  <si>
    <t>Examples: - Product Development Engineering, - Logistics Engineering, - Systems Engineering Management, - Capability-Based Systems, - Decision Engineering, - Dynamical Systems</t>
  </si>
  <si>
    <t>A program with a general focus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</si>
  <si>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Any instructional program in electrical, electronics, and communications engineering not listed above.</t>
  </si>
  <si>
    <t>Electrical, Electronics, and Communications Engineering, Other.</t>
  </si>
  <si>
    <t>Electrical and Electronics Engineering.</t>
  </si>
  <si>
    <t>Electrical, Electronics, and Communications Engineering.</t>
  </si>
  <si>
    <t>Examples: - Internet of Things</t>
  </si>
  <si>
    <t>40.0605 - Hydrology and Water Resources Science., 03.0205 - Water, Wetlands, and Marine Resources Management.</t>
  </si>
  <si>
    <t>Examples: - Cell and Tissue Engineering, - Neural Engineering, - Biomaterials Engineering</t>
  </si>
  <si>
    <t>31.0505 - Exercise Science and Kinesiology., 26.0913 - Biomechanics.</t>
  </si>
  <si>
    <t>Any program in aerospace, aeronautical, astronautical, or space engineering not listed above.</t>
  </si>
  <si>
    <t>Aerospace, Aeronautical, and Astronautical/Space Engineering, Other.</t>
  </si>
  <si>
    <t>A program that prepares individuals to apply mathematical and scientific principles to the design, development, and operational evaluation of aircraft and space vehicles. Includes instruction in control systems, fluid dynamics, electrical circuits systems, orbital mechanics, propulsion, remote sensing, satellites, spacecraft centers, spacecraft systems engineering, and space exploration.</t>
  </si>
  <si>
    <t>Astronautical Engineering.</t>
  </si>
  <si>
    <t>Examples: - Space Systems Engineering, - Space Facilities Engineering, - Missile Systems Engineering, - Air-Breathing Propulsion, - Aerospace Navigation, - Rocket Propulsion</t>
  </si>
  <si>
    <t>Aerospace, Aeronautical, and Astronautical/Space Engineering, General.</t>
  </si>
  <si>
    <t>Instructional content for this group of programs is defined in codes 14.0201 - 14.0299.</t>
  </si>
  <si>
    <t>Aerospace, Aeronautical, and Astronautical/Space Engineering.</t>
  </si>
  <si>
    <t>A program that generally prepares individuals to apply mathematical and scientific principles inherent to engineering to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</si>
  <si>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Applied Engineering.</t>
  </si>
  <si>
    <t>Instructional content for this group of programs is defined in codes 14.0101 - 14.0103.</t>
  </si>
  <si>
    <t>A program of study that prepares individuals to teach oral expression, literature, and writing to students at various education levels. Includes instruction in interpersonal communication, intercultural communication, language learning, listening instructional techniques, public speaking, reading instructional techniques, writing instructional techniques, and practical teaching experience.</t>
  </si>
  <si>
    <t>Communication Arts and Literature Teacher Education.</t>
  </si>
  <si>
    <t>Examples: - Innovation and Entrepreneurship Teacher Education</t>
  </si>
  <si>
    <t>A program that prepares individuals to teach vocational business, innovation, and entrepreneurship programs at various educational levels. Includes instruction in business administration, business development, finance, idea generation, investing, logistics, management, and marketing.</t>
  </si>
  <si>
    <t>Business and Innovation/Entrepreneurship Teacher Education.</t>
  </si>
  <si>
    <t>Examples: - University and College Teaching</t>
  </si>
  <si>
    <t>A program that prepares individuals to teach at a postsecondary institution. Includes instruction in andragogy, assessment, classroom motivation, instructional design and technology, learner-centered teaching, learning science, syllabus construction, and teaching critical thinking.</t>
  </si>
  <si>
    <t>College/Postsecondary/University Teaching.</t>
  </si>
  <si>
    <t>Examples: - Science, Technology, Engineering, the Arts, and Mathematics (STEAM) Educational Methods</t>
  </si>
  <si>
    <t>A program that prepares individuals to connect education practices with scientific, engineering, and mathematical principles for PreK-12 students. Includes instruction in critical thinking, curriculum and instruction, history of STEM education, integrating STEM across curricula, learning sciences and technology, STEM education methods, and teacher leadership in STEM education.</t>
  </si>
  <si>
    <t>Science, Technology, Engineering, and Mathematics (STEM) Educational Methods.</t>
  </si>
  <si>
    <t>A program that prepares individuals to teach in schools that are implementing or proposing to implement the International Baccalaureate curriculum. Includes instruction in culturally-responsive classrooms, cross-cultural awareness, foundations of international education, human learning, human development, international teaching and learning, and pedagogy.</t>
  </si>
  <si>
    <t>International Teaching and Learning.</t>
  </si>
  <si>
    <t>A program that prepares individuals to teach students at various academic levels through online instructional technologies. Includes instruction in andragogy, pedagogy, assessment, instructional design and technology, and learning science.</t>
  </si>
  <si>
    <t>Online Educator/Online Teaching.</t>
  </si>
  <si>
    <t>Examples: - Workforce Training and Development Instruction</t>
  </si>
  <si>
    <t>A program that focuses on the design of educational services for children or adults with intellectual disabilities which adversely affect their educational performance and that may prepare individuals to teach such students.  Includes instruction in identifying students with intellectual disabilities, developing individual education plans, teaching and supervising mentally handicapped students, counseling, and applicable laws and policies.</t>
  </si>
  <si>
    <t>Education/Teaching of Individuals with Intellectual Disabilities.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</si>
  <si>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individuals with emotional disturbances, counseling, and applicable laws and policies.</t>
  </si>
  <si>
    <t>Examples: - Special Education Collaborative Teacher/Teaching</t>
  </si>
  <si>
    <t>A general program that focuses on the design and provision of teaching and other educational services to children or adults with special learning needs or disabilities, and that may prepare individuals to function as special education teachers in a collaborative or team environment.  Includes instruction in diagnosing learning disabilities, developing individual education plans, teaching and supervising special education students, special education counseling, and applicable laws and policies.</t>
  </si>
  <si>
    <t>A program that focuses on the educational phenomena, practices, and institutions within different societies and states in a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</si>
  <si>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A program of study that prepares an individual to be an institutional researcher at a postsecondary educational institution. Includes instruction in data analysis, data-driven decision-making, data mining, higher education administration and organization, research methods, and statistics.</t>
  </si>
  <si>
    <t>Institutional Research.</t>
  </si>
  <si>
    <t>A program that focuses on early childhood educational program administration and prepares individuals to serve as a principal or director of an early childhood educational program. Includes instruction in early childhood education, program and facilities planning, budgeting and administration, public relations, human resources management, early childhood growth and development, counseling skills, applicable law and regulations, school safety, policy studies, and professional standards and ethics.</t>
  </si>
  <si>
    <t>Early Childhood Program Administration.</t>
  </si>
  <si>
    <t>Examples: - Education Innovation</t>
  </si>
  <si>
    <t>52.0704 - Social Entrepreneurship.</t>
  </si>
  <si>
    <t>A program that prepares individuals to create, fund, and manage innovations in education. Includes instruction in philanthropy, business modeling, the design of learning environments, the economics of education, entrepreneurship, evaluation, finance, human-centered design, investing, resource management, project management, and marketing.</t>
  </si>
  <si>
    <t>Education Entrepreneurship.</t>
  </si>
  <si>
    <t>A program that focuses on the principles and practice of administration in international schools, the study of international education as an object of applied research, and which may prepare individuals to function as administrators in such settings. Includes instruction in culture in the classroom, educational leadership, globalization, instructional design and technology, international research methods, evaluation, and education policy.</t>
  </si>
  <si>
    <t>International School Administration/Leadership.</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</si>
  <si>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</si>
  <si>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</si>
  <si>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</si>
  <si>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Examples: - Community College Leadership, - Community College Education</t>
  </si>
  <si>
    <t>Community College Administration.</t>
  </si>
  <si>
    <t>Examples: - Educational Leadership and Policy, - Educational Administration and Policy, - K-12 Educational Leadership, - K-12 Educational Administration, - School Business Management</t>
  </si>
  <si>
    <t>Examples: - Effective Teaching</t>
  </si>
  <si>
    <t>Any instructional program in culinary, entertainment, and personal services not listed above.</t>
  </si>
  <si>
    <t>Culinary, Entertainment, and Personal Services, Other.</t>
  </si>
  <si>
    <t>Any instructional program in casino operations and services not listed above.</t>
  </si>
  <si>
    <t>Casino Operations and Services, Other.</t>
  </si>
  <si>
    <t>52.0908 - Casino Management.</t>
  </si>
  <si>
    <t>A program of study that prepares individuals to apply technical skills and knowledge to become table games dealers in casinos or other recreational settings. Includes instruction in dealing techniques for Baccarat, Blackjack, Carnival Games, Craps, Poker, and Roulette.</t>
  </si>
  <si>
    <t>Casino Dealing.</t>
  </si>
  <si>
    <t>A program that focuses on casino operations and services. Includes instruction in casino operations, casino security and surveillance, casino dealing, principles of the gaming industry, ethics, and gaming law.</t>
  </si>
  <si>
    <t>Casino Operations and Services, General.</t>
  </si>
  <si>
    <t>Instructional content for this group of programs is defined in codes 12.0601 - 12.0699.</t>
  </si>
  <si>
    <t>Casino Operations and Services.</t>
  </si>
  <si>
    <t>Examples: - Cosmetology Master Instructor</t>
  </si>
  <si>
    <t>Instructional programs that prepare individuals to provide professional services related to cosmetology, funeral services, entertainment, and food preparation and service.</t>
  </si>
  <si>
    <t>CULINARY, ENTERTAINMENT, AND PERSONAL SERVICES.</t>
  </si>
  <si>
    <t>Examples: - Information Assurance, - IT Security, - Internet Security, - Network Security, - Information Systems Security, - Information Systems Auditing and Control</t>
  </si>
  <si>
    <t>43.0403 - Cyber/Computer Forensics and Counterterrorism.</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</si>
  <si>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</si>
  <si>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t>Computer and Information Systems Security/Auditing/Information Assurance.</t>
  </si>
  <si>
    <t>Any instructional program in computer systems networking and telecommunications not listed above.</t>
  </si>
  <si>
    <t>Computer Systems Networking and Telecommunications, Other.</t>
  </si>
  <si>
    <t>A program that prepares individuals to design and implement enterprise software systems that rely on distributed computing and service-oriented architecture, including databases, web services, cloud computing, and mobile apps. Includes instruction in data management, distributed and cloud computing, enterprise software architecture, enterprise and cloud security, mobile systems and applications, server administration, and web development.</t>
  </si>
  <si>
    <t>Cloud Computing.</t>
  </si>
  <si>
    <t>Instructional content for this group of programs is defined in codes 11.0901 - 11.0999.</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</si>
  <si>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</si>
  <si>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A program that prepares individuals to design, develop, and implement software-based solutions for specific business and consumer platforms including industrial, game, mobile, tactile, and web platforms. Includes instruction in computer programming, computer hardware, data structures, database theory, maintenance, operating systems, project management, software development, and systems analysis.</t>
  </si>
  <si>
    <t>Computer Programming, Specific Platforms.</t>
  </si>
  <si>
    <t>A program that prepares individuals to apply the knowledge and skills of design and computer programming to the development of computer games. Includes training in character and story development, computer programming, computer graphics, game design, game physics, human-computer interaction, human-centered design, and usability.</t>
  </si>
  <si>
    <t>Computer Game Programming.</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</si>
  <si>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</si>
  <si>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Human-Centered Technology Design.</t>
  </si>
  <si>
    <t>Animation, Interactive Technology, Video Graphics, and Special Effects.</t>
  </si>
  <si>
    <t>22.0303 - Court Reporting and Captioning/Court Reporter., 51.0708 - Medical Transcription/Transcriptionist.</t>
  </si>
  <si>
    <t>A program that prepares individuals to apply technical knowledge and skills to use voice writing computer software and speak a verbal shorthand language to create transcripts and screen captioning of live or recorded events intended for the public or a specific audience in a variety of media (e.g., digital, film, print, television) as well as for conferences, conversations, interviews, and meetings. Includes instruction in screen captioning, speed building, spoken shorthand, transcription, and voice input writing.</t>
  </si>
  <si>
    <t>Voice Writing Technology/Technician.</t>
  </si>
  <si>
    <t>50.0913 - Music Technology., 50.0917 - Sound Arts.</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</si>
  <si>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</si>
  <si>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t>Examples: - Photographic and Film/Video Assistant</t>
  </si>
  <si>
    <t>Photographic and Film/Video Technology/Technician.</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</si>
  <si>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</si>
  <si>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Communications Technologies/Technicians.</t>
  </si>
  <si>
    <t>Public Relations, Advertising, and Applied Communication, Other.</t>
  </si>
  <si>
    <t>A program that focuses on the critical thinking, analysis, and practical skills essential to developing and implementing communication strategies that advance organizations goals and missions. Includes instruction in communication management, crisis communication, communications law, digital and traditional marketing strategies, media relations, social media strategies, strategic communication, traditional and emerging media, and writing for the media.</t>
  </si>
  <si>
    <t>Communication Management and Strategic Communications.</t>
  </si>
  <si>
    <t>Examples: - Social Media Management</t>
  </si>
  <si>
    <t>09.0903 - Advertising., 09.0902 - Public Relations/Image Management.</t>
  </si>
  <si>
    <t>01.0802 - Agricultural Communication/Journalism.</t>
  </si>
  <si>
    <t>A program that focuses on reporting on science, health, or environmental policy issues; investigating environmental problems and their causes; and public relations. Includes instruction in communication law, health reporting skills, interactive journalism, integrated marketing communication, journalism methods, media ethics, persuasion and political communication, science, health and the environment, social marketing, and video journalism.</t>
  </si>
  <si>
    <t>Science/Health/Environmental Journalism.</t>
  </si>
  <si>
    <t>A program of study that prepares individuals to be journalists who critically examine current culture as expressed through the visual and performing arts, design, film, music, radio, television, dance, theater, and written text. Includes instruction in arts criticism, art and entertainment reporting, cultural critique, investigative reporting, newspaper reporting, photojournalism, and writing.</t>
  </si>
  <si>
    <t>Cultural Journalism.</t>
  </si>
  <si>
    <t>A program of study that prepares students to gather, analyze, and synthesize verbal and visual information to communicate stories related to business and economics across multiple media platforms. Includes instruction in accounting, business, business and economic reporting, business law, economics, finance, financial accounting and reporting, ethics, journalistic research methods and resources, and journalism skills and techniques.</t>
  </si>
  <si>
    <t>Business and Economic Journalism.</t>
  </si>
  <si>
    <t>Examples: - Communication Sciences, - Communication</t>
  </si>
  <si>
    <t>Any instructional program in area, ethnic, cultural, gender, or group studies not listed above.</t>
  </si>
  <si>
    <t>Area, Ethnic, Cultural, Gender, and Group Studies, Other.</t>
  </si>
  <si>
    <t>Instructional content is defined in code 05.9999.</t>
  </si>
  <si>
    <t>30.2601 - Cultural Studies/Critical Theory and Analysis.</t>
  </si>
  <si>
    <t>A program that focuses on the comparative study of the history, literature, sociology, politics, culture, and economics of different groups such as racial, gender, sexual, class, ethnic, geographical, and national. Includes instruction in comparative studies, comparative literature, critical race theory, cultural anthropology, cultural studies, religious studies, science studies, social and cultural theory, urban studies, and visual culture.</t>
  </si>
  <si>
    <t>Comparative Group Studies.</t>
  </si>
  <si>
    <t>30.2301 - Intercultural/Multicultural and Diversity Studies., 30.3601 - Cultural Studies and Comparative Literature.</t>
  </si>
  <si>
    <t>A program that focuses on the history, society, politics, culture, and economics of the Arctic region.</t>
  </si>
  <si>
    <t>Arctic Studies.</t>
  </si>
  <si>
    <t>A program of study that focuses on the history, sociology, culture, and economics of the Appalachian region of the United States. Includes instruction in contemporary issues in Appalachia, political economy of Appalachia, community-based research, ethnomusicology, and oral and written languages of Appalachia.</t>
  </si>
  <si>
    <t>Appalachian Studies.</t>
  </si>
  <si>
    <t>05.0107 - Latin American Studies., 05.0119 - Caribbean Studies.</t>
  </si>
  <si>
    <t>A program that focuses on the defined geographic subregions and subcultures within modern and historical countries and societies. Includes such topics as Acadian Studies, French Canadian and Quebec Studies, Southern (U.S.) Studies, New England Studies, Southwestern Studies, Northern Studies, and others.</t>
  </si>
  <si>
    <t>Regional Studies (U.S., Canadian, Foreign).</t>
  </si>
  <si>
    <t>Examples: - Indian/South Asian Studies</t>
  </si>
  <si>
    <t>A program that focuses on the history, society, politics, culture, and economics of one or more of the peoples of Scandinavia, defined as Northern Europe including Denmark, Finland, Iceland, Norway, Sweden, and related island groups (e.g., Greenland) and borderlands.</t>
  </si>
  <si>
    <t>30.2202 - Classical, Ancient Mediterranean, and Near Eastern Studies and Archaeology.</t>
  </si>
  <si>
    <t>Any instructional program in architectural history, criticism, and conservation not listed above.</t>
  </si>
  <si>
    <t>Architectural History, Criticism, and Conservation, Other.</t>
  </si>
  <si>
    <t>A program that focuses on the study of architecture, cities, landscapes, designed objects, ornament, architectural photography, and material culture in diverse places and time periods, and the social and aesthetic dimensions of contemporary architecture, landscapes, and cities, emphasizing issues of sustainable environments, new forms of urbanism, and the use of digital media for visualization and analysis. Includes instruction in the fundamentals of architecture, design, environmental and sustainability studies, historic preservation, landscape architecture, studio art, and urban affairs and planning.</t>
  </si>
  <si>
    <t>Architectural Studies.</t>
  </si>
  <si>
    <t>30.1201 - Historic Preservation and Conservation, General.</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</si>
  <si>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and material conservation.</t>
  </si>
  <si>
    <t>Architectural Conservation.</t>
  </si>
  <si>
    <t>Instructional content for this group of programs is defined in codes 04.0801 - 04.0899.</t>
  </si>
  <si>
    <t>Architectural History, Criticism, and Conservation.</t>
  </si>
  <si>
    <t>01.0605 - Landscaping and Groundskeeping., 03.0206 - Land Use Planning and Management/Development.</t>
  </si>
  <si>
    <t>Any instructional program in environmental design not listed above.</t>
  </si>
  <si>
    <t>Environmental Design, Other.</t>
  </si>
  <si>
    <t>A program that focuses on the application of biological, physical, and social science in the design of sustainable cities and metropolitan regions. Includes instruction in community revitalization, community economic development, construction technology, design innovation, environmental economics, ethics, justice and politics, sustainable materials, sustainability theory, structural materials, and urbanism.</t>
  </si>
  <si>
    <t>Sustainable Design/Architecture.</t>
  </si>
  <si>
    <t>30.3701 - Design for Human Health.</t>
  </si>
  <si>
    <t>A program that focuses on the design and performance of healthcare environments to optimize healing. Includes instruction in interior design, architecture, healing sciences, healthcare environments, human-centered design, and healthcare delivery.</t>
  </si>
  <si>
    <t>Healthcare Environment Design/Architecture.</t>
  </si>
  <si>
    <t>Instructional content for this group of programs is defined in codes 04.0401 - 04.0499.</t>
  </si>
  <si>
    <t>City/Urban, Community, and Regional Planning.</t>
  </si>
  <si>
    <t>Any instructional program in architecture not listed above.</t>
  </si>
  <si>
    <t>Architecture, Other.</t>
  </si>
  <si>
    <t>An advanced program of study for architects and related professionals that focuses on theoretical and practical issues in architecture and integrates digital technologies into architectural design, fabrication, and construction. Includes instruction in architectural history and urban theory, 3-D digital technologies, construction, design and fabrication methods, and sustainable practices in architecture.</t>
  </si>
  <si>
    <t>Architectural Design.</t>
  </si>
  <si>
    <t>Examples: - Pre-Architecture</t>
  </si>
  <si>
    <t>A program of study that is a precursor to an advanced degree in architecture. Includes instruction in architectural design, architectural graphics, architectural history, architectural technology, architectural theory and criticism, building technology, calculus, design studio, human factors, environmental architecture, geometry and trigonometry, physics, and technical drawing.</t>
  </si>
  <si>
    <t>Pre-Architecture Studies.</t>
  </si>
  <si>
    <t>Instructional content for this group of programs is defined in codes 04.0200 - 04.0299.</t>
  </si>
  <si>
    <t>Wood Science and Wood Products/Pulp and Paper Technology/Technician.</t>
  </si>
  <si>
    <t>Examples: - Arboriculture</t>
  </si>
  <si>
    <t>Any instructional program in environmental or natural resources management and policy not listed above.</t>
  </si>
  <si>
    <t>Environmental/Natural Resources Management and Policy, Other.</t>
  </si>
  <si>
    <t>A program of study that focuses on the environmental and economic impact of using plants and microbes for the production of bio-based fuels such as ethanol and biodiesel. Includes instruction in biochemical engineering, bioprocessing, bioseparations, conversion, feedstock, economics, environmental sustainability, hydrology, and natural resource management.</t>
  </si>
  <si>
    <t>Bioenergy.</t>
  </si>
  <si>
    <t>A program of study that focuses on the systematic analysis of public policy issues related to climate change, energy policy, environmental economics, global sustainability, and security. Includes instruction in climate change, clean energy technologies, environmental policy, environmental law, environmental economics, food security, fossil fuels, renewable and sustainable energy sources, and water issues.</t>
  </si>
  <si>
    <t>Energy and Environmental Policy.</t>
  </si>
  <si>
    <t>Environmental/Natural Resources Law Enforcement and Protective Services.</t>
  </si>
  <si>
    <t>31.0301 - Parks, Recreation, and Leisure Facilities Management, General.</t>
  </si>
  <si>
    <t>Environmental/Natural Resource Recreation and Tourism.</t>
  </si>
  <si>
    <t>04.0601 - Landscape Architecture., 31.0301 - Parks, Recreation, and Leisure Facilities Management, General.</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</si>
  <si>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lacustrine, coastal, and oceanic water resources; water conservation and use; flood control; pollution control; water supply logistics; wastewater management; aquatic and marine ecology; aquatic and marine life conservation; and the economic and recreational uses of water resources.</t>
  </si>
  <si>
    <t>Examples: - Environmental Economics and Policy</t>
  </si>
  <si>
    <t>Environmental/Natural Resource Economics.</t>
  </si>
  <si>
    <t>Examples: - Ecosystem Management, - Environmental Policy and Decision Making</t>
  </si>
  <si>
    <t>Environmental/Natural Resources Management and Policy, General.</t>
  </si>
  <si>
    <t>Environmental/Natural Resources Management and Policy.</t>
  </si>
  <si>
    <t>14.1401 - Environmental/Environmental Health Engineering., 30.4401 - Geography and Environmental Studies.</t>
  </si>
  <si>
    <t>Any instructional program in agricultural, animal, plant, or veterinary science and related fields not listed above.</t>
  </si>
  <si>
    <t>Agricultural/Animal/Plant/Veterinary Science and Related Fields, Other.</t>
  </si>
  <si>
    <t>Any instructional program in veterinary or animal health technologies not listed above.</t>
  </si>
  <si>
    <t>Veterinary/Animal Health Technologies/Technicians, Other.</t>
  </si>
  <si>
    <t>Instructional content for this group of programs is defined in codes 01.8301 - 01.8399.</t>
  </si>
  <si>
    <t>Veterinary/Animal Health Technologies/Technicians.</t>
  </si>
  <si>
    <t>Any instructional program in veterinary administrative services not listed above.</t>
  </si>
  <si>
    <t>Veterinary Administrative Services, Other.</t>
  </si>
  <si>
    <t>Examples: - Veterinary Secretary</t>
  </si>
  <si>
    <t>A program that prepares individuals to perform the duties of special assistants and personal secretaries for practicing veterinarians, veterinary health care facilities and services administrators, and other veterinary professionals. Includes instruction in business and veterinary communications, veterinary terminology, principles of veterinary health care operations, public relations and interpersonal communications, software applications, record-keeping and filing systems, scheduling and meeting planning, applicable policy and regulations, and professional standards and ethics.</t>
  </si>
  <si>
    <t>Veterinary Administrative/Executive Assistant and Veterinary Secretary.</t>
  </si>
  <si>
    <t>A program that prepares individuals, under the supervision of office managers, veterinary technicians, or veterinarians, to provide customer service, visitor reception, and patient intake and discharge services. Includes instruction in veterinary office and animal care facility procedures, veterinary terminology, interpersonal skills, record-keeping, customer service, telephone skills, data entry, interpersonal communications skills, and applicable policies and regulations.</t>
  </si>
  <si>
    <t>Veterinary Reception/Receptionist.</t>
  </si>
  <si>
    <t>Examples: - Veterinary Office Administration</t>
  </si>
  <si>
    <t>A program that prepares individuals to manage the specialized business functions of a veterinary office. Includes instruction in business office operations, business and financial record-keeping, personnel supervision, veterinary care policy administration, conference planning, scheduling and coordination, public relations, and applicable law and regulations.</t>
  </si>
  <si>
    <t>Veterinary Office Management/Administration.</t>
  </si>
  <si>
    <t>A general program that prepares individuals to provide administrative support services in a veterinary office or animal care facility. Includes instruction in business office operations, customer service, principles of veterinary health care operations, record-keeping, veterinary terminology, and professional standards and ethics.</t>
  </si>
  <si>
    <t>Veterinary Administrative Services, General.</t>
  </si>
  <si>
    <t>Instructional content for this group of programs is defined in codes 01.8201 - 01.8299.</t>
  </si>
  <si>
    <t>Veterinary Administrative Services.</t>
  </si>
  <si>
    <t>Examples: - Veterinary Toxicology and Pharmacology (Cert.), - Veterinary Toxicology and Pharmacology (PhD), - Veterinary Toxicology and Pharmacology (MS)</t>
  </si>
  <si>
    <t>Instructional content for this group of programs is defined in codes 01.8101 - 01.8199.</t>
  </si>
  <si>
    <t>Instructional content is defined in code 01.8001.</t>
  </si>
  <si>
    <t>Any instructional program that prepares individuals for admission to a professional program in agriculture or veterinary medicine or science not listed above.</t>
  </si>
  <si>
    <t>Agriculture/Veterinary Preparatory Programs, Other.</t>
  </si>
  <si>
    <t>Instructional content for this group of programs is defined in codes 01.1302 - 01.1399.</t>
  </si>
  <si>
    <t>Agriculture/Veterinary Preparatory Programs.</t>
  </si>
  <si>
    <t>26.0308 - Plant Molecular Biology., 26.0307 - Plant Physiology., 26.0301 - Botany/Plant Biology., 26.0305 - Plant Pathology/Phytopathology.</t>
  </si>
  <si>
    <t>52.0910 - Brewery/Brewpub Operations/Management.</t>
  </si>
  <si>
    <t>A program that focuses on the business, science, and technology of fermented food production. Includes instruction in biology, biochemistry, brewing, entrepreneurship, fermentation, marketing, microbiology, quality control, and sanitation.</t>
  </si>
  <si>
    <t>Zymology/Fermentation Science.</t>
  </si>
  <si>
    <t>Examples: - Sustainable Brewing</t>
  </si>
  <si>
    <t>A program that focuses on the business, science, and technology of beer brewing operations. Includes instruction in biology, biochemistry, brewing, entrepreneurship, fermentation, malting, marketing, microbiology, quality control, and sanitation.</t>
  </si>
  <si>
    <t>Brewing Science.</t>
  </si>
  <si>
    <t>Examples: - Meat Science</t>
  </si>
  <si>
    <t>09.0407 - Science/Health/Environmental Journalism.</t>
  </si>
  <si>
    <t>13.1301 - Agricultural Teacher Education., 45.1103 - Rural Sociology., 36.0123 - Master Gardener/Gardening.</t>
  </si>
  <si>
    <t>03.0508 - Urban Forestry.</t>
  </si>
  <si>
    <t>A program that focuses on principles and techniques for the production of horticultural crops in an urban environment. Includes instruction in ecology, environmental sustainability, food production systems, and plant and soil sciences.</t>
  </si>
  <si>
    <t>Urban and Community Horticulture.</t>
  </si>
  <si>
    <t>36.0123 - Master Gardener/Gardening.</t>
  </si>
  <si>
    <t>A program of study that focuses on combining traditional horticulture and public education and outreach. Includes instruction in botany, soil science, plant science, agricultural economics, leadership, and business.</t>
  </si>
  <si>
    <t>Public Horticulture.</t>
  </si>
  <si>
    <t>Examples: - Floral Arrangement, - Floral Design, - Floristry, - Retail Floristry</t>
  </si>
  <si>
    <t>A program of study that prepares individuals to become specialists in equine hoof care (farriers). Includes instruction in equine science, equine health and first aid, general horseshoeing, corrective horseshoeing, gait analysis, and metal forging techniques using gas or coal.</t>
  </si>
  <si>
    <t>Farrier Science.</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</si>
  <si>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</si>
  <si>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Instructional content for this group of programs is defined in codes 01.0401 - 01.0480.</t>
  </si>
  <si>
    <t>Examples: - Scientific Beekeeping, - Apiary Management</t>
  </si>
  <si>
    <t>36.0120 - Beekeeping.</t>
  </si>
  <si>
    <t>A program that focuses on improving the beekeeping industry, promoting pollination of fruits and vegetables, and bee colony expansion and maintenance. Includes instruction in apiary behavior, apiary equipment and supplies, beekeeping, bee pests and parasites, handling bees, hive set up and care, queen rearing, and seasonal management practices.</t>
  </si>
  <si>
    <t>Apiculture.</t>
  </si>
  <si>
    <t>Moved from 01.0309 to 01.1004</t>
  </si>
  <si>
    <t>A program that prepares individuals for employment in the field of agricultural technology and irrigation. Includes instruction in irrigation and drainage methodologies, pumping and delivery systems, system design and evaluation, and principles of installation and repair of irrigation systems.</t>
  </si>
  <si>
    <t>Irrigation Management Technology/Technician.</t>
  </si>
  <si>
    <t>Agricultural Mechanics and Equipment/Machine Technology/Technician.</t>
  </si>
  <si>
    <t>Examples: - Farm Equipment Operator</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</si>
  <si>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</si>
  <si>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Agricultural Business Technology/Technician.</t>
  </si>
  <si>
    <t>52.1803 - Retailing and Retail Operations., 52.1901 - Auctioneering., 52.0202 - Purchasing, Procurement/Acquisitions and Contracts Management.</t>
  </si>
  <si>
    <t>Examples: - Agroeconomics</t>
  </si>
  <si>
    <t>03.0204 - Environmental/Natural Resource Economics.</t>
  </si>
  <si>
    <t>Instructional programs that focus on agriculture, animal, plant, veterinary, and related sciences and that prepares individuals to apply specific knowledge, methods, and techniques to the management and performance of agricultural and veterinary operations.</t>
  </si>
  <si>
    <t>AGRICULTURAL/ANIMAL/PLANT/VETERINARY SCIENCE AND RELATED FIELDS.</t>
  </si>
  <si>
    <t>PSR 1.5 YEARLY CREDIT HOUR REPORT (2020 CIP Codes)</t>
  </si>
  <si>
    <r>
      <t xml:space="preserve">Note: </t>
    </r>
    <r>
      <rPr>
        <b/>
        <sz val="11"/>
        <color rgb="FFFF0000"/>
        <rFont val="Calibri"/>
        <family val="2"/>
        <scheme val="minor"/>
      </rPr>
      <t>Exclude</t>
    </r>
    <r>
      <rPr>
        <sz val="11"/>
        <color rgb="FFFF0000"/>
        <rFont val="Calibri"/>
        <family val="2"/>
        <scheme val="minor"/>
      </rPr>
      <t xml:space="preserve"> Career Technical credits from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</si>
</sst>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Arial"/>
      <family val="2"/>
    </font>
    <font>
      <b/>
      <sz val="9"/>
      <name val="Arial"/>
      <family val="2"/>
    </font>
    <font>
      <b/>
      <sz val="11"/>
      <color theme="1"/>
      <name val="Calibri"/>
      <family val="2"/>
      <scheme val="minor"/>
    </font>
    <font>
      <b/>
      <sz val="14"/>
      <name val="Arial"/>
      <family val="2"/>
    </font>
    <font>
      <b/>
      <sz val="12"/>
      <name val="Arial"/>
      <family val="2"/>
    </font>
    <font>
      <i/>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0" fillId="0" borderId="0" xfId="0" applyAlignment="1">
      <alignment vertical="top"/>
    </xf>
    <xf numFmtId="0" fontId="4" fillId="0" borderId="0" xfId="0" applyFont="1"/>
    <xf numFmtId="0" fontId="5" fillId="0" borderId="0" xfId="0" applyFont="1"/>
    <xf numFmtId="0" fontId="0" fillId="0" borderId="0" xfId="0" applyAlignment="1">
      <alignment horizontal="left"/>
    </xf>
    <xf numFmtId="0" fontId="1" fillId="0" borderId="0" xfId="0" applyFont="1" applyAlignment="1">
      <alignment horizontal="left" wrapText="1"/>
    </xf>
    <xf numFmtId="0" fontId="3" fillId="0" borderId="1" xfId="0" applyFont="1" applyBorder="1"/>
    <xf numFmtId="0" fontId="1" fillId="0" borderId="1" xfId="0" applyFont="1" applyBorder="1" applyAlignment="1">
      <alignment wrapText="1"/>
    </xf>
    <xf numFmtId="0" fontId="1" fillId="0" borderId="1" xfId="0" applyFont="1" applyBorder="1" applyAlignment="1">
      <alignment horizontal="center" wrapText="1"/>
    </xf>
    <xf numFmtId="0" fontId="2" fillId="0" borderId="1" xfId="0" applyFont="1" applyBorder="1" applyAlignment="1">
      <alignment horizontal="center"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xf numFmtId="49" fontId="0" fillId="0" borderId="1" xfId="0" applyNumberFormat="1" applyBorder="1"/>
    <xf numFmtId="0" fontId="6" fillId="0" borderId="0" xfId="0" applyFont="1"/>
    <xf numFmtId="0" fontId="7" fillId="0" borderId="0" xfId="0" applyFont="1"/>
    <xf numFmtId="0" fontId="8"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
  <sheetViews>
    <sheetView showGridLines="0" tabSelected="1" workbookViewId="0">
      <selection activeCell="B22" sqref="B22"/>
    </sheetView>
  </sheetViews>
  <sheetFormatPr defaultRowHeight="14.4" x14ac:dyDescent="0.3"/>
  <cols>
    <col min="1" max="1" width="21.33203125" customWidth="1"/>
    <col min="2" max="2" width="11" bestFit="1" customWidth="1"/>
    <col min="3" max="3" width="9.88671875" bestFit="1" customWidth="1"/>
    <col min="4" max="4" width="16.5546875" customWidth="1"/>
    <col min="5" max="13" width="15.33203125" customWidth="1"/>
  </cols>
  <sheetData>
    <row r="1" spans="1:13" ht="17.399999999999999" x14ac:dyDescent="0.3">
      <c r="A1" s="3" t="s">
        <v>6286</v>
      </c>
      <c r="E1" s="4"/>
      <c r="F1" s="4"/>
      <c r="G1" s="4"/>
      <c r="H1" s="4"/>
    </row>
    <row r="2" spans="1:13" ht="26.25" customHeight="1" x14ac:dyDescent="0.3">
      <c r="A2" s="6" t="s">
        <v>4455</v>
      </c>
      <c r="B2" s="5"/>
      <c r="C2" s="5"/>
      <c r="D2" s="5"/>
    </row>
    <row r="4" spans="1:13" ht="27" x14ac:dyDescent="0.3">
      <c r="A4" s="7" t="s">
        <v>15</v>
      </c>
      <c r="B4" s="8" t="s">
        <v>0</v>
      </c>
      <c r="C4" s="8" t="s">
        <v>8</v>
      </c>
      <c r="D4" s="8" t="s">
        <v>11</v>
      </c>
      <c r="E4" s="8" t="s">
        <v>1</v>
      </c>
      <c r="F4" s="8" t="s">
        <v>2</v>
      </c>
      <c r="G4" s="9" t="s">
        <v>12</v>
      </c>
      <c r="H4" s="9" t="s">
        <v>3</v>
      </c>
      <c r="I4" s="9" t="s">
        <v>4</v>
      </c>
      <c r="J4" s="9" t="s">
        <v>5</v>
      </c>
      <c r="K4" s="9" t="s">
        <v>9</v>
      </c>
      <c r="L4" s="9" t="s">
        <v>6</v>
      </c>
      <c r="M4" s="10" t="s">
        <v>7</v>
      </c>
    </row>
    <row r="5" spans="1:13" ht="144" x14ac:dyDescent="0.3">
      <c r="A5" s="11" t="s">
        <v>4450</v>
      </c>
      <c r="B5" s="11" t="s">
        <v>4448</v>
      </c>
      <c r="C5" s="12" t="s">
        <v>10</v>
      </c>
      <c r="D5" s="12" t="s">
        <v>13</v>
      </c>
      <c r="E5" s="12" t="s">
        <v>27</v>
      </c>
      <c r="F5" s="12" t="s">
        <v>14</v>
      </c>
      <c r="G5" s="13"/>
      <c r="H5" s="13"/>
      <c r="I5" s="13"/>
      <c r="J5" s="13"/>
      <c r="K5" s="13"/>
      <c r="L5" s="13"/>
      <c r="M5" s="13"/>
    </row>
    <row r="7" spans="1:13" ht="15.6" x14ac:dyDescent="0.3">
      <c r="A7" s="15" t="s">
        <v>4456</v>
      </c>
    </row>
    <row r="8" spans="1:13" x14ac:dyDescent="0.3">
      <c r="A8" s="13" t="s">
        <v>4450</v>
      </c>
      <c r="B8" s="13">
        <v>2018</v>
      </c>
      <c r="C8" s="13" t="s">
        <v>4457</v>
      </c>
      <c r="D8" s="14" t="s">
        <v>4460</v>
      </c>
      <c r="E8" s="14" t="s">
        <v>4458</v>
      </c>
      <c r="F8" s="13" t="s">
        <v>4462</v>
      </c>
      <c r="G8" s="13">
        <v>167</v>
      </c>
      <c r="H8" s="13">
        <v>2</v>
      </c>
      <c r="I8" s="13"/>
      <c r="J8" s="13"/>
      <c r="K8" s="13">
        <v>6</v>
      </c>
      <c r="L8" s="13"/>
      <c r="M8" s="13"/>
    </row>
    <row r="9" spans="1:13" x14ac:dyDescent="0.3">
      <c r="A9" s="13" t="s">
        <v>4450</v>
      </c>
      <c r="B9" s="13">
        <v>2018</v>
      </c>
      <c r="C9" s="13" t="s">
        <v>4457</v>
      </c>
      <c r="D9" s="14" t="s">
        <v>4460</v>
      </c>
      <c r="E9" s="14" t="s">
        <v>4459</v>
      </c>
      <c r="F9" s="13" t="s">
        <v>4463</v>
      </c>
      <c r="G9" s="13">
        <v>634</v>
      </c>
      <c r="H9" s="13">
        <v>12</v>
      </c>
      <c r="I9" s="13"/>
      <c r="J9" s="13"/>
      <c r="K9" s="13"/>
      <c r="L9" s="13"/>
      <c r="M9" s="13"/>
    </row>
    <row r="10" spans="1:13" x14ac:dyDescent="0.3">
      <c r="A10" s="13" t="s">
        <v>4450</v>
      </c>
      <c r="B10" s="13">
        <v>2018</v>
      </c>
      <c r="C10" s="13" t="s">
        <v>4457</v>
      </c>
      <c r="D10" s="14" t="s">
        <v>4461</v>
      </c>
      <c r="E10" s="14" t="s">
        <v>4458</v>
      </c>
      <c r="F10" s="13" t="s">
        <v>4462</v>
      </c>
      <c r="G10" s="13">
        <v>2214</v>
      </c>
      <c r="H10" s="13">
        <v>132</v>
      </c>
      <c r="I10" s="13"/>
      <c r="J10" s="13"/>
      <c r="K10" s="13">
        <v>138</v>
      </c>
      <c r="L10" s="13"/>
      <c r="M10" s="13"/>
    </row>
    <row r="11" spans="1:13" x14ac:dyDescent="0.3">
      <c r="A11" s="13" t="s">
        <v>4450</v>
      </c>
      <c r="B11" s="13">
        <v>2018</v>
      </c>
      <c r="C11" s="13" t="s">
        <v>4457</v>
      </c>
      <c r="D11" s="14" t="s">
        <v>4461</v>
      </c>
      <c r="E11" s="14" t="s">
        <v>4459</v>
      </c>
      <c r="F11" s="13" t="s">
        <v>4463</v>
      </c>
      <c r="G11" s="13">
        <v>1196</v>
      </c>
      <c r="H11" s="13">
        <v>142</v>
      </c>
      <c r="I11" s="13"/>
      <c r="J11" s="13"/>
      <c r="K11" s="13"/>
      <c r="L11" s="13"/>
      <c r="M11" s="13"/>
    </row>
    <row r="12" spans="1:13" x14ac:dyDescent="0.3">
      <c r="A12" s="13" t="s">
        <v>4450</v>
      </c>
      <c r="B12" s="13">
        <v>2018</v>
      </c>
      <c r="C12" s="13" t="s">
        <v>4457</v>
      </c>
      <c r="D12" s="14" t="s">
        <v>4464</v>
      </c>
      <c r="E12" s="14" t="s">
        <v>4458</v>
      </c>
      <c r="F12" s="13" t="s">
        <v>4462</v>
      </c>
      <c r="G12" s="13">
        <v>781</v>
      </c>
      <c r="H12" s="13">
        <v>89</v>
      </c>
      <c r="I12" s="13"/>
      <c r="J12" s="13"/>
      <c r="K12" s="13"/>
      <c r="L12" s="13"/>
      <c r="M12" s="13"/>
    </row>
    <row r="13" spans="1:13" x14ac:dyDescent="0.3">
      <c r="A13" s="13"/>
      <c r="B13" s="13"/>
      <c r="C13" s="13"/>
      <c r="D13" s="13"/>
      <c r="E13" s="13"/>
      <c r="F13" s="13"/>
      <c r="G13" s="13"/>
      <c r="H13" s="13"/>
      <c r="I13" s="13"/>
      <c r="J13" s="13"/>
      <c r="K13" s="13"/>
      <c r="L13" s="13"/>
      <c r="M13" s="13"/>
    </row>
  </sheetData>
  <pageMargins left="0.25" right="0.25" top="0.75" bottom="0.75" header="0.3" footer="0.3"/>
  <pageSetup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zoomScale="90" zoomScaleNormal="90" workbookViewId="0">
      <pane ySplit="2" topLeftCell="A3" activePane="bottomLeft" state="frozen"/>
      <selection pane="bottomLeft" activeCell="B3" sqref="B3"/>
    </sheetView>
  </sheetViews>
  <sheetFormatPr defaultRowHeight="14.4" x14ac:dyDescent="0.3"/>
  <cols>
    <col min="1" max="1" width="32" customWidth="1"/>
    <col min="2" max="2" width="73.88671875" customWidth="1"/>
    <col min="3" max="3" width="55.33203125" customWidth="1"/>
    <col min="4" max="4" width="15.6640625" bestFit="1" customWidth="1"/>
  </cols>
  <sheetData>
    <row r="1" spans="1:4" ht="27" customHeight="1" x14ac:dyDescent="0.3">
      <c r="A1" s="17" t="s">
        <v>6287</v>
      </c>
      <c r="B1" s="17"/>
      <c r="C1" s="17"/>
      <c r="D1" s="17"/>
    </row>
    <row r="2" spans="1:4" ht="15.6" x14ac:dyDescent="0.3">
      <c r="A2" s="16" t="s">
        <v>4449</v>
      </c>
      <c r="B2" s="16" t="s">
        <v>17</v>
      </c>
      <c r="C2" s="16" t="s">
        <v>18</v>
      </c>
      <c r="D2" s="16" t="s">
        <v>4467</v>
      </c>
    </row>
    <row r="3" spans="1:4" ht="57.6" x14ac:dyDescent="0.3">
      <c r="A3" s="2" t="s">
        <v>15</v>
      </c>
      <c r="B3" s="1" t="s">
        <v>4450</v>
      </c>
      <c r="C3" s="1" t="s">
        <v>4453</v>
      </c>
    </row>
    <row r="4" spans="1:4" ht="28.8" x14ac:dyDescent="0.3">
      <c r="A4" s="2" t="s">
        <v>0</v>
      </c>
      <c r="B4" s="1" t="s">
        <v>16</v>
      </c>
      <c r="C4" s="1" t="s">
        <v>28</v>
      </c>
    </row>
    <row r="5" spans="1:4" ht="115.2" x14ac:dyDescent="0.3">
      <c r="A5" s="2" t="s">
        <v>8</v>
      </c>
      <c r="B5" s="1" t="s">
        <v>19</v>
      </c>
      <c r="C5" s="1" t="s">
        <v>10</v>
      </c>
      <c r="D5" s="2"/>
    </row>
    <row r="6" spans="1:4" ht="43.2" x14ac:dyDescent="0.3">
      <c r="A6" s="2" t="s">
        <v>11</v>
      </c>
      <c r="B6" s="1" t="s">
        <v>20</v>
      </c>
      <c r="C6" s="1" t="s">
        <v>4465</v>
      </c>
      <c r="D6" s="2" t="s">
        <v>4466</v>
      </c>
    </row>
    <row r="7" spans="1:4" ht="72" x14ac:dyDescent="0.3">
      <c r="A7" s="2" t="s">
        <v>1</v>
      </c>
      <c r="B7" s="1" t="s">
        <v>21</v>
      </c>
      <c r="C7" s="1" t="s">
        <v>22</v>
      </c>
      <c r="D7" s="2" t="s">
        <v>4466</v>
      </c>
    </row>
    <row r="8" spans="1:4" ht="144" x14ac:dyDescent="0.3">
      <c r="A8" s="2" t="s">
        <v>2</v>
      </c>
      <c r="B8" s="1" t="s">
        <v>35</v>
      </c>
      <c r="C8" s="1" t="s">
        <v>23</v>
      </c>
      <c r="D8" s="2" t="s">
        <v>4466</v>
      </c>
    </row>
    <row r="9" spans="1:4" ht="72" x14ac:dyDescent="0.3">
      <c r="A9" s="2" t="s">
        <v>12</v>
      </c>
      <c r="B9" s="1" t="s">
        <v>24</v>
      </c>
      <c r="C9" s="1" t="s">
        <v>25</v>
      </c>
      <c r="D9" s="2" t="s">
        <v>4466</v>
      </c>
    </row>
    <row r="10" spans="1:4" ht="28.8" x14ac:dyDescent="0.3">
      <c r="A10" s="2" t="s">
        <v>3</v>
      </c>
      <c r="B10" s="1" t="s">
        <v>29</v>
      </c>
      <c r="C10" s="2"/>
      <c r="D10" s="2" t="s">
        <v>4468</v>
      </c>
    </row>
    <row r="11" spans="1:4" ht="28.8" x14ac:dyDescent="0.3">
      <c r="A11" s="2" t="s">
        <v>4</v>
      </c>
      <c r="B11" s="1" t="s">
        <v>30</v>
      </c>
      <c r="C11" s="1" t="s">
        <v>31</v>
      </c>
      <c r="D11" s="2" t="s">
        <v>4468</v>
      </c>
    </row>
    <row r="12" spans="1:4" ht="115.2" x14ac:dyDescent="0.3">
      <c r="A12" s="2" t="s">
        <v>5</v>
      </c>
      <c r="B12" s="1" t="s">
        <v>32</v>
      </c>
      <c r="C12" s="1" t="s">
        <v>34</v>
      </c>
      <c r="D12" s="1" t="s">
        <v>4468</v>
      </c>
    </row>
    <row r="13" spans="1:4" ht="28.8" x14ac:dyDescent="0.3">
      <c r="A13" s="1" t="s">
        <v>4452</v>
      </c>
      <c r="B13" s="1" t="s">
        <v>4451</v>
      </c>
      <c r="C13" s="1" t="s">
        <v>4454</v>
      </c>
      <c r="D13" s="1" t="s">
        <v>4469</v>
      </c>
    </row>
    <row r="14" spans="1:4" x14ac:dyDescent="0.3">
      <c r="A14" s="2" t="s">
        <v>6</v>
      </c>
      <c r="B14" s="1" t="s">
        <v>26</v>
      </c>
      <c r="C14" s="2"/>
      <c r="D14" s="1" t="s">
        <v>4468</v>
      </c>
    </row>
    <row r="15" spans="1:4" x14ac:dyDescent="0.3">
      <c r="A15" s="2" t="s">
        <v>7</v>
      </c>
      <c r="B15" s="1" t="s">
        <v>33</v>
      </c>
      <c r="C15" s="2"/>
      <c r="D15" s="1" t="s">
        <v>4468</v>
      </c>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C56B-5D36-4F17-8C67-877B299FFDE3}">
  <dimension ref="A1:F2849"/>
  <sheetViews>
    <sheetView workbookViewId="0">
      <selection activeCell="C21" sqref="C21"/>
    </sheetView>
  </sheetViews>
  <sheetFormatPr defaultRowHeight="14.4" x14ac:dyDescent="0.3"/>
  <cols>
    <col min="2" max="2" width="7.88671875" bestFit="1" customWidth="1"/>
    <col min="3" max="3" width="101.109375" bestFit="1" customWidth="1"/>
    <col min="4" max="4" width="255.77734375" bestFit="1" customWidth="1"/>
    <col min="5" max="5" width="223.88671875" bestFit="1" customWidth="1"/>
    <col min="6" max="6" width="255.77734375" bestFit="1" customWidth="1"/>
  </cols>
  <sheetData>
    <row r="1" spans="1:6" x14ac:dyDescent="0.3">
      <c r="A1" t="s">
        <v>4447</v>
      </c>
      <c r="B1" t="s">
        <v>4446</v>
      </c>
      <c r="C1" t="s">
        <v>4445</v>
      </c>
      <c r="D1" t="s">
        <v>4444</v>
      </c>
      <c r="E1" t="s">
        <v>4443</v>
      </c>
      <c r="F1" t="s">
        <v>4442</v>
      </c>
    </row>
    <row r="2" spans="1:6" x14ac:dyDescent="0.3">
      <c r="A2" t="str">
        <f>"01"</f>
        <v>01</v>
      </c>
      <c r="B2" t="str">
        <f>"01"</f>
        <v>01</v>
      </c>
      <c r="C2" t="s">
        <v>6285</v>
      </c>
      <c r="D2" t="s">
        <v>6284</v>
      </c>
    </row>
    <row r="3" spans="1:6" x14ac:dyDescent="0.3">
      <c r="A3" t="str">
        <f>"01"</f>
        <v>01</v>
      </c>
      <c r="B3" t="str">
        <f>"01.00"</f>
        <v>01.00</v>
      </c>
      <c r="C3" t="s">
        <v>4440</v>
      </c>
      <c r="D3" t="s">
        <v>4441</v>
      </c>
    </row>
    <row r="4" spans="1:6" x14ac:dyDescent="0.3">
      <c r="A4" t="str">
        <f>"01"</f>
        <v>01</v>
      </c>
      <c r="B4" t="str">
        <f>"01.0000"</f>
        <v>01.0000</v>
      </c>
      <c r="C4" t="s">
        <v>4440</v>
      </c>
      <c r="D4" t="s">
        <v>4439</v>
      </c>
      <c r="E4" t="s">
        <v>4438</v>
      </c>
    </row>
    <row r="5" spans="1:6" x14ac:dyDescent="0.3">
      <c r="A5" t="str">
        <f>"01"</f>
        <v>01</v>
      </c>
      <c r="B5" t="str">
        <f>"01.01"</f>
        <v>01.01</v>
      </c>
      <c r="C5" t="s">
        <v>4437</v>
      </c>
      <c r="D5" t="s">
        <v>4436</v>
      </c>
    </row>
    <row r="6" spans="1:6" x14ac:dyDescent="0.3">
      <c r="A6" t="str">
        <f>"01"</f>
        <v>01</v>
      </c>
      <c r="B6" t="str">
        <f>"01.0101"</f>
        <v>01.0101</v>
      </c>
      <c r="C6" t="s">
        <v>4435</v>
      </c>
      <c r="D6" t="s">
        <v>4434</v>
      </c>
    </row>
    <row r="7" spans="1:6" x14ac:dyDescent="0.3">
      <c r="A7" t="str">
        <f>"01"</f>
        <v>01</v>
      </c>
      <c r="B7" t="str">
        <f>"01.0102"</f>
        <v>01.0102</v>
      </c>
      <c r="C7" t="s">
        <v>4433</v>
      </c>
      <c r="D7" t="s">
        <v>4432</v>
      </c>
    </row>
    <row r="8" spans="1:6" x14ac:dyDescent="0.3">
      <c r="A8" t="str">
        <f>"01"</f>
        <v>01</v>
      </c>
      <c r="B8" t="str">
        <f>"01.0103"</f>
        <v>01.0103</v>
      </c>
      <c r="C8" t="s">
        <v>4431</v>
      </c>
      <c r="D8" t="s">
        <v>4430</v>
      </c>
      <c r="E8" t="s">
        <v>6283</v>
      </c>
      <c r="F8" t="s">
        <v>6282</v>
      </c>
    </row>
    <row r="9" spans="1:6" x14ac:dyDescent="0.3">
      <c r="A9" t="str">
        <f>"01"</f>
        <v>01</v>
      </c>
      <c r="B9" t="str">
        <f>"01.0104"</f>
        <v>01.0104</v>
      </c>
      <c r="C9" t="s">
        <v>4429</v>
      </c>
      <c r="D9" t="s">
        <v>4428</v>
      </c>
    </row>
    <row r="10" spans="1:6" x14ac:dyDescent="0.3">
      <c r="A10" t="str">
        <f>"01"</f>
        <v>01</v>
      </c>
      <c r="B10" t="str">
        <f>"01.0105"</f>
        <v>01.0105</v>
      </c>
      <c r="C10" t="s">
        <v>4427</v>
      </c>
      <c r="D10" t="s">
        <v>4426</v>
      </c>
      <c r="E10" t="s">
        <v>6281</v>
      </c>
    </row>
    <row r="11" spans="1:6" x14ac:dyDescent="0.3">
      <c r="A11" t="str">
        <f>"01"</f>
        <v>01</v>
      </c>
      <c r="B11" t="str">
        <f>"01.0106"</f>
        <v>01.0106</v>
      </c>
      <c r="C11" t="s">
        <v>6280</v>
      </c>
      <c r="D11" t="s">
        <v>4425</v>
      </c>
    </row>
    <row r="12" spans="1:6" x14ac:dyDescent="0.3">
      <c r="A12" t="str">
        <f>"01"</f>
        <v>01</v>
      </c>
      <c r="B12" t="str">
        <f>"01.0199"</f>
        <v>01.0199</v>
      </c>
      <c r="C12" t="s">
        <v>4424</v>
      </c>
      <c r="D12" t="s">
        <v>4423</v>
      </c>
    </row>
    <row r="13" spans="1:6" x14ac:dyDescent="0.3">
      <c r="A13" t="str">
        <f>"01"</f>
        <v>01</v>
      </c>
      <c r="B13" t="str">
        <f>"01.02"</f>
        <v>01.02</v>
      </c>
      <c r="C13" t="s">
        <v>4422</v>
      </c>
      <c r="D13" t="s">
        <v>4421</v>
      </c>
    </row>
    <row r="14" spans="1:6" x14ac:dyDescent="0.3">
      <c r="A14" t="str">
        <f>"01"</f>
        <v>01</v>
      </c>
      <c r="B14" t="str">
        <f>"01.0201"</f>
        <v>01.0201</v>
      </c>
      <c r="C14" t="s">
        <v>4420</v>
      </c>
      <c r="D14" t="s">
        <v>4419</v>
      </c>
    </row>
    <row r="15" spans="1:6" x14ac:dyDescent="0.3">
      <c r="A15" t="str">
        <f>"01"</f>
        <v>01</v>
      </c>
      <c r="B15" t="str">
        <f>"01.0204"</f>
        <v>01.0204</v>
      </c>
      <c r="C15" t="s">
        <v>4418</v>
      </c>
      <c r="D15" t="s">
        <v>6279</v>
      </c>
      <c r="E15" t="s">
        <v>4417</v>
      </c>
      <c r="F15" t="s">
        <v>6278</v>
      </c>
    </row>
    <row r="16" spans="1:6" x14ac:dyDescent="0.3">
      <c r="A16" t="str">
        <f>"01"</f>
        <v>01</v>
      </c>
      <c r="B16" t="str">
        <f>"01.0205"</f>
        <v>01.0205</v>
      </c>
      <c r="C16" t="s">
        <v>6277</v>
      </c>
      <c r="D16" t="s">
        <v>4416</v>
      </c>
      <c r="F16" t="s">
        <v>4415</v>
      </c>
    </row>
    <row r="17" spans="1:6" x14ac:dyDescent="0.3">
      <c r="A17" t="str">
        <f>"01"</f>
        <v>01</v>
      </c>
      <c r="B17" t="str">
        <f>"01.0207"</f>
        <v>01.0207</v>
      </c>
      <c r="C17" t="s">
        <v>6276</v>
      </c>
      <c r="D17" t="s">
        <v>6275</v>
      </c>
    </row>
    <row r="18" spans="1:6" x14ac:dyDescent="0.3">
      <c r="A18" t="str">
        <f>"01"</f>
        <v>01</v>
      </c>
      <c r="B18" t="str">
        <f>"01.0299"</f>
        <v>01.0299</v>
      </c>
      <c r="C18" t="s">
        <v>4414</v>
      </c>
      <c r="D18" t="s">
        <v>4413</v>
      </c>
    </row>
    <row r="19" spans="1:6" x14ac:dyDescent="0.3">
      <c r="A19" t="str">
        <f>"01"</f>
        <v>01</v>
      </c>
      <c r="B19" t="str">
        <f>"01.03"</f>
        <v>01.03</v>
      </c>
      <c r="C19" t="s">
        <v>4412</v>
      </c>
      <c r="D19" t="s">
        <v>4411</v>
      </c>
    </row>
    <row r="20" spans="1:6" x14ac:dyDescent="0.3">
      <c r="A20" t="str">
        <f>"01"</f>
        <v>01</v>
      </c>
      <c r="B20" t="str">
        <f>"01.0301"</f>
        <v>01.0301</v>
      </c>
      <c r="C20" t="s">
        <v>4410</v>
      </c>
      <c r="D20" t="s">
        <v>4409</v>
      </c>
    </row>
    <row r="21" spans="1:6" x14ac:dyDescent="0.3">
      <c r="A21" t="str">
        <f>"01"</f>
        <v>01</v>
      </c>
      <c r="B21" t="str">
        <f>"01.0302"</f>
        <v>01.0302</v>
      </c>
      <c r="C21" t="s">
        <v>4408</v>
      </c>
      <c r="D21" t="s">
        <v>4407</v>
      </c>
    </row>
    <row r="22" spans="1:6" x14ac:dyDescent="0.3">
      <c r="A22" t="str">
        <f>"01"</f>
        <v>01</v>
      </c>
      <c r="B22" t="str">
        <f>"01.0303"</f>
        <v>01.0303</v>
      </c>
      <c r="C22" t="s">
        <v>4406</v>
      </c>
      <c r="D22" t="s">
        <v>4405</v>
      </c>
    </row>
    <row r="23" spans="1:6" x14ac:dyDescent="0.3">
      <c r="A23" t="str">
        <f>"01"</f>
        <v>01</v>
      </c>
      <c r="B23" t="str">
        <f>"01.0304"</f>
        <v>01.0304</v>
      </c>
      <c r="C23" t="s">
        <v>4404</v>
      </c>
      <c r="D23" t="s">
        <v>4403</v>
      </c>
    </row>
    <row r="24" spans="1:6" x14ac:dyDescent="0.3">
      <c r="A24" t="str">
        <f>"01"</f>
        <v>01</v>
      </c>
      <c r="B24" t="str">
        <f>"01.0306"</f>
        <v>01.0306</v>
      </c>
      <c r="C24" t="s">
        <v>4402</v>
      </c>
      <c r="D24" t="s">
        <v>4401</v>
      </c>
    </row>
    <row r="25" spans="1:6" x14ac:dyDescent="0.3">
      <c r="A25" t="str">
        <f>"01"</f>
        <v>01</v>
      </c>
      <c r="B25" t="str">
        <f>"01.0307"</f>
        <v>01.0307</v>
      </c>
      <c r="C25" t="s">
        <v>4400</v>
      </c>
      <c r="D25" t="s">
        <v>4399</v>
      </c>
    </row>
    <row r="26" spans="1:6" x14ac:dyDescent="0.3">
      <c r="A26" t="str">
        <f>"01"</f>
        <v>01</v>
      </c>
      <c r="B26" t="str">
        <f>"01.0308"</f>
        <v>01.0308</v>
      </c>
      <c r="C26" t="s">
        <v>4398</v>
      </c>
      <c r="D26" t="s">
        <v>4397</v>
      </c>
      <c r="E26" t="s">
        <v>4396</v>
      </c>
      <c r="F26" t="s">
        <v>4395</v>
      </c>
    </row>
    <row r="27" spans="1:6" x14ac:dyDescent="0.3">
      <c r="A27" t="str">
        <f>"01"</f>
        <v>01</v>
      </c>
      <c r="B27" t="str">
        <f>"01.0309"</f>
        <v>01.0309</v>
      </c>
      <c r="C27" t="s">
        <v>4394</v>
      </c>
      <c r="D27" t="s">
        <v>6274</v>
      </c>
    </row>
    <row r="28" spans="1:6" x14ac:dyDescent="0.3">
      <c r="A28" t="str">
        <f>"01"</f>
        <v>01</v>
      </c>
      <c r="B28" t="str">
        <f>"01.0310"</f>
        <v>01.0310</v>
      </c>
      <c r="C28" t="s">
        <v>6273</v>
      </c>
      <c r="D28" t="s">
        <v>6272</v>
      </c>
      <c r="E28" t="s">
        <v>6271</v>
      </c>
      <c r="F28" t="s">
        <v>6270</v>
      </c>
    </row>
    <row r="29" spans="1:6" x14ac:dyDescent="0.3">
      <c r="A29" t="str">
        <f>"01"</f>
        <v>01</v>
      </c>
      <c r="B29" t="str">
        <f>"01.0399"</f>
        <v>01.0399</v>
      </c>
      <c r="C29" t="s">
        <v>4392</v>
      </c>
      <c r="D29" t="s">
        <v>4391</v>
      </c>
    </row>
    <row r="30" spans="1:6" x14ac:dyDescent="0.3">
      <c r="A30" t="str">
        <f>"01"</f>
        <v>01</v>
      </c>
      <c r="B30" t="str">
        <f>"01.04"</f>
        <v>01.04</v>
      </c>
      <c r="C30" t="s">
        <v>4390</v>
      </c>
      <c r="D30" t="s">
        <v>6269</v>
      </c>
    </row>
    <row r="31" spans="1:6" x14ac:dyDescent="0.3">
      <c r="A31" t="str">
        <f>"01"</f>
        <v>01</v>
      </c>
      <c r="B31" t="str">
        <f>"01.0401"</f>
        <v>01.0401</v>
      </c>
      <c r="C31" t="s">
        <v>4390</v>
      </c>
      <c r="D31" t="s">
        <v>4389</v>
      </c>
    </row>
    <row r="32" spans="1:6" x14ac:dyDescent="0.3">
      <c r="A32" t="str">
        <f>"01"</f>
        <v>01</v>
      </c>
      <c r="B32" t="str">
        <f>"01.0480"</f>
        <v>01.0480</v>
      </c>
      <c r="C32" t="s">
        <v>5243</v>
      </c>
      <c r="D32" t="s">
        <v>5242</v>
      </c>
    </row>
    <row r="33" spans="1:6" x14ac:dyDescent="0.3">
      <c r="A33" t="str">
        <f>"01"</f>
        <v>01</v>
      </c>
      <c r="B33" t="str">
        <f>"01.05"</f>
        <v>01.05</v>
      </c>
      <c r="C33" t="s">
        <v>4388</v>
      </c>
      <c r="D33" t="s">
        <v>4387</v>
      </c>
    </row>
    <row r="34" spans="1:6" x14ac:dyDescent="0.3">
      <c r="A34" t="str">
        <f>"01"</f>
        <v>01</v>
      </c>
      <c r="B34" t="str">
        <f>"01.0504"</f>
        <v>01.0504</v>
      </c>
      <c r="C34" t="s">
        <v>4386</v>
      </c>
      <c r="D34" t="s">
        <v>4385</v>
      </c>
    </row>
    <row r="35" spans="1:6" x14ac:dyDescent="0.3">
      <c r="A35" t="str">
        <f>"01"</f>
        <v>01</v>
      </c>
      <c r="B35" t="str">
        <f>"01.0505"</f>
        <v>01.0505</v>
      </c>
      <c r="C35" t="s">
        <v>4384</v>
      </c>
      <c r="D35" t="s">
        <v>6268</v>
      </c>
    </row>
    <row r="36" spans="1:6" x14ac:dyDescent="0.3">
      <c r="A36" t="str">
        <f>"01"</f>
        <v>01</v>
      </c>
      <c r="B36" t="str">
        <f>"01.0507"</f>
        <v>01.0507</v>
      </c>
      <c r="C36" t="s">
        <v>4383</v>
      </c>
      <c r="D36" t="s">
        <v>4382</v>
      </c>
    </row>
    <row r="37" spans="1:6" x14ac:dyDescent="0.3">
      <c r="A37" t="str">
        <f>"01"</f>
        <v>01</v>
      </c>
      <c r="B37" t="str">
        <f>"01.0508"</f>
        <v>01.0508</v>
      </c>
      <c r="C37" t="s">
        <v>4381</v>
      </c>
      <c r="D37" t="s">
        <v>4380</v>
      </c>
    </row>
    <row r="38" spans="1:6" x14ac:dyDescent="0.3">
      <c r="A38" t="str">
        <f>"01"</f>
        <v>01</v>
      </c>
      <c r="B38" t="str">
        <f>"01.0509"</f>
        <v>01.0509</v>
      </c>
      <c r="C38" t="s">
        <v>6267</v>
      </c>
      <c r="D38" t="s">
        <v>6266</v>
      </c>
    </row>
    <row r="39" spans="1:6" x14ac:dyDescent="0.3">
      <c r="A39" t="str">
        <f>"01"</f>
        <v>01</v>
      </c>
      <c r="B39" t="str">
        <f>"01.0599"</f>
        <v>01.0599</v>
      </c>
      <c r="C39" t="s">
        <v>4379</v>
      </c>
      <c r="D39" t="s">
        <v>4378</v>
      </c>
    </row>
    <row r="40" spans="1:6" x14ac:dyDescent="0.3">
      <c r="A40" t="str">
        <f>"01"</f>
        <v>01</v>
      </c>
      <c r="B40" t="str">
        <f>"01.06"</f>
        <v>01.06</v>
      </c>
      <c r="C40" t="s">
        <v>4377</v>
      </c>
      <c r="D40" t="s">
        <v>4376</v>
      </c>
    </row>
    <row r="41" spans="1:6" x14ac:dyDescent="0.3">
      <c r="A41" t="str">
        <f>"01"</f>
        <v>01</v>
      </c>
      <c r="B41" t="str">
        <f>"01.0601"</f>
        <v>01.0601</v>
      </c>
      <c r="C41" t="s">
        <v>4375</v>
      </c>
      <c r="D41" t="s">
        <v>4374</v>
      </c>
    </row>
    <row r="42" spans="1:6" x14ac:dyDescent="0.3">
      <c r="A42" t="str">
        <f>"01"</f>
        <v>01</v>
      </c>
      <c r="B42" t="str">
        <f>"01.0603"</f>
        <v>01.0603</v>
      </c>
      <c r="C42" t="s">
        <v>4373</v>
      </c>
      <c r="D42" t="s">
        <v>4372</v>
      </c>
    </row>
    <row r="43" spans="1:6" x14ac:dyDescent="0.3">
      <c r="A43" t="str">
        <f>"01"</f>
        <v>01</v>
      </c>
      <c r="B43" t="str">
        <f>"01.0604"</f>
        <v>01.0604</v>
      </c>
      <c r="C43" t="s">
        <v>4371</v>
      </c>
      <c r="D43" t="s">
        <v>4370</v>
      </c>
    </row>
    <row r="44" spans="1:6" x14ac:dyDescent="0.3">
      <c r="A44" t="str">
        <f>"01"</f>
        <v>01</v>
      </c>
      <c r="B44" t="str">
        <f>"01.0605"</f>
        <v>01.0605</v>
      </c>
      <c r="C44" t="s">
        <v>4368</v>
      </c>
      <c r="D44" t="s">
        <v>4367</v>
      </c>
      <c r="E44" t="s">
        <v>4366</v>
      </c>
      <c r="F44" t="s">
        <v>4363</v>
      </c>
    </row>
    <row r="45" spans="1:6" x14ac:dyDescent="0.3">
      <c r="A45" t="str">
        <f>"01"</f>
        <v>01</v>
      </c>
      <c r="B45" t="str">
        <f>"01.0606"</f>
        <v>01.0606</v>
      </c>
      <c r="C45" t="s">
        <v>4365</v>
      </c>
      <c r="D45" t="s">
        <v>4364</v>
      </c>
    </row>
    <row r="46" spans="1:6" x14ac:dyDescent="0.3">
      <c r="A46" t="str">
        <f>"01"</f>
        <v>01</v>
      </c>
      <c r="B46" t="str">
        <f>"01.0607"</f>
        <v>01.0607</v>
      </c>
      <c r="C46" t="s">
        <v>4362</v>
      </c>
      <c r="D46" t="s">
        <v>4361</v>
      </c>
      <c r="F46" t="s">
        <v>4358</v>
      </c>
    </row>
    <row r="47" spans="1:6" x14ac:dyDescent="0.3">
      <c r="A47" t="str">
        <f>"01"</f>
        <v>01</v>
      </c>
      <c r="B47" t="str">
        <f>"01.0608"</f>
        <v>01.0608</v>
      </c>
      <c r="C47" t="s">
        <v>4360</v>
      </c>
      <c r="D47" t="s">
        <v>4359</v>
      </c>
      <c r="F47" t="s">
        <v>6265</v>
      </c>
    </row>
    <row r="48" spans="1:6" x14ac:dyDescent="0.3">
      <c r="A48" t="str">
        <f>"01"</f>
        <v>01</v>
      </c>
      <c r="B48" t="str">
        <f>"01.0609"</f>
        <v>01.0609</v>
      </c>
      <c r="C48" t="s">
        <v>6264</v>
      </c>
      <c r="D48" t="s">
        <v>6263</v>
      </c>
      <c r="E48" t="s">
        <v>6262</v>
      </c>
    </row>
    <row r="49" spans="1:6" x14ac:dyDescent="0.3">
      <c r="A49" t="str">
        <f>"01"</f>
        <v>01</v>
      </c>
      <c r="B49" t="str">
        <f>"01.0610"</f>
        <v>01.0610</v>
      </c>
      <c r="C49" t="s">
        <v>6261</v>
      </c>
      <c r="D49" t="s">
        <v>6260</v>
      </c>
    </row>
    <row r="50" spans="1:6" x14ac:dyDescent="0.3">
      <c r="A50" t="str">
        <f>"01"</f>
        <v>01</v>
      </c>
      <c r="B50" t="str">
        <f>"01.0680"</f>
        <v>01.0680</v>
      </c>
      <c r="C50" t="s">
        <v>5243</v>
      </c>
      <c r="D50" t="s">
        <v>5242</v>
      </c>
    </row>
    <row r="51" spans="1:6" x14ac:dyDescent="0.3">
      <c r="A51" t="str">
        <f>"01"</f>
        <v>01</v>
      </c>
      <c r="B51" t="str">
        <f>"01.0699"</f>
        <v>01.0699</v>
      </c>
      <c r="C51" t="s">
        <v>4357</v>
      </c>
      <c r="D51" t="s">
        <v>4356</v>
      </c>
      <c r="E51" t="s">
        <v>6259</v>
      </c>
    </row>
    <row r="52" spans="1:6" x14ac:dyDescent="0.3">
      <c r="A52" t="str">
        <f>"01"</f>
        <v>01</v>
      </c>
      <c r="B52" t="str">
        <f>"01.07"</f>
        <v>01.07</v>
      </c>
      <c r="C52" t="s">
        <v>4354</v>
      </c>
      <c r="D52" t="s">
        <v>4355</v>
      </c>
    </row>
    <row r="53" spans="1:6" x14ac:dyDescent="0.3">
      <c r="A53" t="str">
        <f>"01"</f>
        <v>01</v>
      </c>
      <c r="B53" t="str">
        <f>"01.0701"</f>
        <v>01.0701</v>
      </c>
      <c r="C53" t="s">
        <v>4354</v>
      </c>
      <c r="D53" t="s">
        <v>4353</v>
      </c>
      <c r="E53" t="s">
        <v>4352</v>
      </c>
    </row>
    <row r="54" spans="1:6" x14ac:dyDescent="0.3">
      <c r="A54" t="str">
        <f>"01"</f>
        <v>01</v>
      </c>
      <c r="B54" t="str">
        <f>"01.08"</f>
        <v>01.08</v>
      </c>
      <c r="C54" t="s">
        <v>4351</v>
      </c>
      <c r="D54" t="s">
        <v>4350</v>
      </c>
    </row>
    <row r="55" spans="1:6" x14ac:dyDescent="0.3">
      <c r="A55" t="str">
        <f>"01"</f>
        <v>01</v>
      </c>
      <c r="B55" t="str">
        <f>"01.0801"</f>
        <v>01.0801</v>
      </c>
      <c r="C55" t="s">
        <v>4349</v>
      </c>
      <c r="D55" t="s">
        <v>4348</v>
      </c>
      <c r="E55" t="s">
        <v>6258</v>
      </c>
    </row>
    <row r="56" spans="1:6" x14ac:dyDescent="0.3">
      <c r="A56" t="str">
        <f>"01"</f>
        <v>01</v>
      </c>
      <c r="B56" t="str">
        <f>"01.0802"</f>
        <v>01.0802</v>
      </c>
      <c r="C56" t="s">
        <v>4347</v>
      </c>
      <c r="D56" t="s">
        <v>4346</v>
      </c>
      <c r="E56" t="s">
        <v>6257</v>
      </c>
    </row>
    <row r="57" spans="1:6" x14ac:dyDescent="0.3">
      <c r="A57" t="str">
        <f>"01"</f>
        <v>01</v>
      </c>
      <c r="B57" t="str">
        <f>"01.0899"</f>
        <v>01.0899</v>
      </c>
      <c r="C57" t="s">
        <v>4345</v>
      </c>
      <c r="D57" t="s">
        <v>4344</v>
      </c>
    </row>
    <row r="58" spans="1:6" x14ac:dyDescent="0.3">
      <c r="A58" t="str">
        <f>"01"</f>
        <v>01</v>
      </c>
      <c r="B58" t="str">
        <f>"01.09"</f>
        <v>01.09</v>
      </c>
      <c r="C58" t="s">
        <v>4343</v>
      </c>
      <c r="D58" t="s">
        <v>4342</v>
      </c>
    </row>
    <row r="59" spans="1:6" x14ac:dyDescent="0.3">
      <c r="A59" t="str">
        <f>"01"</f>
        <v>01</v>
      </c>
      <c r="B59" t="str">
        <f>"01.0901"</f>
        <v>01.0901</v>
      </c>
      <c r="C59" t="s">
        <v>4341</v>
      </c>
      <c r="D59" t="s">
        <v>4340</v>
      </c>
      <c r="E59" t="s">
        <v>4339</v>
      </c>
    </row>
    <row r="60" spans="1:6" x14ac:dyDescent="0.3">
      <c r="A60" t="str">
        <f>"01"</f>
        <v>01</v>
      </c>
      <c r="B60" t="str">
        <f>"01.0902"</f>
        <v>01.0902</v>
      </c>
      <c r="C60" t="s">
        <v>4338</v>
      </c>
      <c r="D60" t="s">
        <v>4337</v>
      </c>
      <c r="E60" t="s">
        <v>4336</v>
      </c>
    </row>
    <row r="61" spans="1:6" x14ac:dyDescent="0.3">
      <c r="A61" t="str">
        <f>"01"</f>
        <v>01</v>
      </c>
      <c r="B61" t="str">
        <f>"01.0903"</f>
        <v>01.0903</v>
      </c>
      <c r="C61" t="s">
        <v>4335</v>
      </c>
      <c r="D61" t="s">
        <v>4334</v>
      </c>
    </row>
    <row r="62" spans="1:6" x14ac:dyDescent="0.3">
      <c r="A62" t="str">
        <f>"01"</f>
        <v>01</v>
      </c>
      <c r="B62" t="str">
        <f>"01.0904"</f>
        <v>01.0904</v>
      </c>
      <c r="C62" t="s">
        <v>4333</v>
      </c>
      <c r="D62" t="s">
        <v>4332</v>
      </c>
    </row>
    <row r="63" spans="1:6" x14ac:dyDescent="0.3">
      <c r="A63" t="str">
        <f>"01"</f>
        <v>01</v>
      </c>
      <c r="B63" t="str">
        <f>"01.0905"</f>
        <v>01.0905</v>
      </c>
      <c r="C63" t="s">
        <v>4331</v>
      </c>
      <c r="D63" t="s">
        <v>4330</v>
      </c>
    </row>
    <row r="64" spans="1:6" x14ac:dyDescent="0.3">
      <c r="A64" t="str">
        <f>"01"</f>
        <v>01</v>
      </c>
      <c r="B64" t="str">
        <f>"01.0906"</f>
        <v>01.0906</v>
      </c>
      <c r="C64" t="s">
        <v>4329</v>
      </c>
      <c r="D64" t="s">
        <v>4328</v>
      </c>
      <c r="F64" t="s">
        <v>6256</v>
      </c>
    </row>
    <row r="65" spans="1:6" x14ac:dyDescent="0.3">
      <c r="A65" t="str">
        <f>"01"</f>
        <v>01</v>
      </c>
      <c r="B65" t="str">
        <f>"01.0907"</f>
        <v>01.0907</v>
      </c>
      <c r="C65" t="s">
        <v>4327</v>
      </c>
      <c r="D65" t="s">
        <v>4326</v>
      </c>
    </row>
    <row r="66" spans="1:6" x14ac:dyDescent="0.3">
      <c r="A66" t="str">
        <f>"01"</f>
        <v>01</v>
      </c>
      <c r="B66" t="str">
        <f>"01.0999"</f>
        <v>01.0999</v>
      </c>
      <c r="C66" t="s">
        <v>4325</v>
      </c>
      <c r="D66" t="s">
        <v>4324</v>
      </c>
    </row>
    <row r="67" spans="1:6" x14ac:dyDescent="0.3">
      <c r="A67" t="str">
        <f>"01"</f>
        <v>01</v>
      </c>
      <c r="B67" t="str">
        <f>"01.10"</f>
        <v>01.10</v>
      </c>
      <c r="C67" t="s">
        <v>4323</v>
      </c>
      <c r="D67" t="s">
        <v>4322</v>
      </c>
    </row>
    <row r="68" spans="1:6" x14ac:dyDescent="0.3">
      <c r="A68" t="str">
        <f>"01"</f>
        <v>01</v>
      </c>
      <c r="B68" t="str">
        <f>"01.1001"</f>
        <v>01.1001</v>
      </c>
      <c r="C68" t="s">
        <v>4321</v>
      </c>
      <c r="D68" t="s">
        <v>4320</v>
      </c>
      <c r="E68" t="s">
        <v>4319</v>
      </c>
      <c r="F68" t="s">
        <v>4303</v>
      </c>
    </row>
    <row r="69" spans="1:6" x14ac:dyDescent="0.3">
      <c r="A69" t="str">
        <f>"01"</f>
        <v>01</v>
      </c>
      <c r="B69" t="str">
        <f>"01.1002"</f>
        <v>01.1002</v>
      </c>
      <c r="C69" t="s">
        <v>4318</v>
      </c>
      <c r="D69" t="s">
        <v>4317</v>
      </c>
    </row>
    <row r="70" spans="1:6" x14ac:dyDescent="0.3">
      <c r="A70" t="str">
        <f>"01"</f>
        <v>01</v>
      </c>
      <c r="B70" t="str">
        <f>"01.1003"</f>
        <v>01.1003</v>
      </c>
      <c r="C70" t="s">
        <v>6255</v>
      </c>
      <c r="D70" t="s">
        <v>6254</v>
      </c>
      <c r="E70" t="s">
        <v>6250</v>
      </c>
      <c r="F70" t="s">
        <v>6253</v>
      </c>
    </row>
    <row r="71" spans="1:6" x14ac:dyDescent="0.3">
      <c r="A71" t="str">
        <f>"01"</f>
        <v>01</v>
      </c>
      <c r="B71" t="str">
        <f>"01.1004"</f>
        <v>01.1004</v>
      </c>
      <c r="C71" t="s">
        <v>4394</v>
      </c>
      <c r="D71" t="s">
        <v>4393</v>
      </c>
      <c r="F71" t="s">
        <v>4369</v>
      </c>
    </row>
    <row r="72" spans="1:6" x14ac:dyDescent="0.3">
      <c r="A72" t="str">
        <f>"01"</f>
        <v>01</v>
      </c>
      <c r="B72" t="str">
        <f>"01.1005"</f>
        <v>01.1005</v>
      </c>
      <c r="C72" t="s">
        <v>6252</v>
      </c>
      <c r="D72" t="s">
        <v>6251</v>
      </c>
      <c r="E72" t="s">
        <v>6250</v>
      </c>
    </row>
    <row r="73" spans="1:6" x14ac:dyDescent="0.3">
      <c r="A73" t="str">
        <f>"01"</f>
        <v>01</v>
      </c>
      <c r="B73" t="str">
        <f>"01.1099"</f>
        <v>01.1099</v>
      </c>
      <c r="C73" t="s">
        <v>4316</v>
      </c>
      <c r="D73" t="s">
        <v>4315</v>
      </c>
    </row>
    <row r="74" spans="1:6" x14ac:dyDescent="0.3">
      <c r="A74" t="str">
        <f>"01"</f>
        <v>01</v>
      </c>
      <c r="B74" t="str">
        <f>"01.11"</f>
        <v>01.11</v>
      </c>
      <c r="C74" t="s">
        <v>4314</v>
      </c>
      <c r="D74" t="s">
        <v>4313</v>
      </c>
    </row>
    <row r="75" spans="1:6" x14ac:dyDescent="0.3">
      <c r="A75" t="str">
        <f>"01"</f>
        <v>01</v>
      </c>
      <c r="B75" t="str">
        <f>"01.1101"</f>
        <v>01.1101</v>
      </c>
      <c r="C75" t="s">
        <v>4312</v>
      </c>
      <c r="D75" t="s">
        <v>4311</v>
      </c>
      <c r="E75" t="s">
        <v>6249</v>
      </c>
    </row>
    <row r="76" spans="1:6" x14ac:dyDescent="0.3">
      <c r="A76" t="str">
        <f>"01"</f>
        <v>01</v>
      </c>
      <c r="B76" t="str">
        <f>"01.1102"</f>
        <v>01.1102</v>
      </c>
      <c r="C76" t="s">
        <v>4310</v>
      </c>
      <c r="D76" t="s">
        <v>4309</v>
      </c>
    </row>
    <row r="77" spans="1:6" x14ac:dyDescent="0.3">
      <c r="A77" t="str">
        <f>"01"</f>
        <v>01</v>
      </c>
      <c r="B77" t="str">
        <f>"01.1103"</f>
        <v>01.1103</v>
      </c>
      <c r="C77" t="s">
        <v>4308</v>
      </c>
      <c r="D77" t="s">
        <v>4307</v>
      </c>
    </row>
    <row r="78" spans="1:6" x14ac:dyDescent="0.3">
      <c r="A78" t="str">
        <f>"01"</f>
        <v>01</v>
      </c>
      <c r="B78" t="str">
        <f>"01.1104"</f>
        <v>01.1104</v>
      </c>
      <c r="C78" t="s">
        <v>4306</v>
      </c>
      <c r="D78" t="s">
        <v>4305</v>
      </c>
      <c r="E78" t="s">
        <v>4304</v>
      </c>
    </row>
    <row r="79" spans="1:6" x14ac:dyDescent="0.3">
      <c r="A79" t="str">
        <f>"01"</f>
        <v>01</v>
      </c>
      <c r="B79" t="str">
        <f>"01.1105"</f>
        <v>01.1105</v>
      </c>
      <c r="C79" t="s">
        <v>4302</v>
      </c>
      <c r="D79" t="s">
        <v>4301</v>
      </c>
      <c r="E79" t="s">
        <v>4300</v>
      </c>
      <c r="F79" t="s">
        <v>4287</v>
      </c>
    </row>
    <row r="80" spans="1:6" x14ac:dyDescent="0.3">
      <c r="A80" t="str">
        <f>"01"</f>
        <v>01</v>
      </c>
      <c r="B80" t="str">
        <f>"01.1106"</f>
        <v>01.1106</v>
      </c>
      <c r="C80" t="s">
        <v>4299</v>
      </c>
      <c r="D80" t="s">
        <v>4298</v>
      </c>
    </row>
    <row r="81" spans="1:6" x14ac:dyDescent="0.3">
      <c r="A81" t="str">
        <f>"01"</f>
        <v>01</v>
      </c>
      <c r="B81" t="str">
        <f>"01.1180"</f>
        <v>01.1180</v>
      </c>
      <c r="C81" t="s">
        <v>5243</v>
      </c>
      <c r="D81" t="s">
        <v>5242</v>
      </c>
    </row>
    <row r="82" spans="1:6" x14ac:dyDescent="0.3">
      <c r="A82" t="str">
        <f>"01"</f>
        <v>01</v>
      </c>
      <c r="B82" t="str">
        <f>"01.1199"</f>
        <v>01.1199</v>
      </c>
      <c r="C82" t="s">
        <v>4297</v>
      </c>
      <c r="D82" t="s">
        <v>4296</v>
      </c>
    </row>
    <row r="83" spans="1:6" x14ac:dyDescent="0.3">
      <c r="A83" t="str">
        <f>"01"</f>
        <v>01</v>
      </c>
      <c r="B83" t="str">
        <f>"01.12"</f>
        <v>01.12</v>
      </c>
      <c r="C83" t="s">
        <v>4295</v>
      </c>
      <c r="D83" t="s">
        <v>4294</v>
      </c>
    </row>
    <row r="84" spans="1:6" x14ac:dyDescent="0.3">
      <c r="A84" t="str">
        <f>"01"</f>
        <v>01</v>
      </c>
      <c r="B84" t="str">
        <f>"01.1201"</f>
        <v>01.1201</v>
      </c>
      <c r="C84" t="s">
        <v>4293</v>
      </c>
      <c r="D84" t="s">
        <v>4292</v>
      </c>
    </row>
    <row r="85" spans="1:6" x14ac:dyDescent="0.3">
      <c r="A85" t="str">
        <f>"01"</f>
        <v>01</v>
      </c>
      <c r="B85" t="str">
        <f>"01.1202"</f>
        <v>01.1202</v>
      </c>
      <c r="C85" t="s">
        <v>4291</v>
      </c>
      <c r="D85" t="s">
        <v>4290</v>
      </c>
    </row>
    <row r="86" spans="1:6" x14ac:dyDescent="0.3">
      <c r="A86" t="str">
        <f>"01"</f>
        <v>01</v>
      </c>
      <c r="B86" t="str">
        <f>"01.1203"</f>
        <v>01.1203</v>
      </c>
      <c r="C86" t="s">
        <v>4289</v>
      </c>
      <c r="D86" t="s">
        <v>4288</v>
      </c>
    </row>
    <row r="87" spans="1:6" x14ac:dyDescent="0.3">
      <c r="A87" t="str">
        <f>"01"</f>
        <v>01</v>
      </c>
      <c r="B87" t="str">
        <f>"01.1299"</f>
        <v>01.1299</v>
      </c>
      <c r="C87" t="s">
        <v>4286</v>
      </c>
      <c r="D87" t="s">
        <v>4285</v>
      </c>
      <c r="F87" t="s">
        <v>4276</v>
      </c>
    </row>
    <row r="88" spans="1:6" x14ac:dyDescent="0.3">
      <c r="A88" t="str">
        <f>"01"</f>
        <v>01</v>
      </c>
      <c r="B88" t="str">
        <f>"01.13"</f>
        <v>01.13</v>
      </c>
      <c r="C88" t="s">
        <v>6248</v>
      </c>
      <c r="D88" t="s">
        <v>6247</v>
      </c>
    </row>
    <row r="89" spans="1:6" x14ac:dyDescent="0.3">
      <c r="A89" t="str">
        <f>"01"</f>
        <v>01</v>
      </c>
      <c r="B89" t="str">
        <f>"01.1302"</f>
        <v>01.1302</v>
      </c>
      <c r="C89" t="s">
        <v>936</v>
      </c>
      <c r="D89" t="s">
        <v>935</v>
      </c>
    </row>
    <row r="90" spans="1:6" x14ac:dyDescent="0.3">
      <c r="A90" t="str">
        <f>"01"</f>
        <v>01</v>
      </c>
      <c r="B90" t="str">
        <f>"01.1399"</f>
        <v>01.1399</v>
      </c>
      <c r="C90" t="s">
        <v>6246</v>
      </c>
      <c r="D90" t="s">
        <v>6245</v>
      </c>
    </row>
    <row r="91" spans="1:6" x14ac:dyDescent="0.3">
      <c r="A91" t="str">
        <f>"01"</f>
        <v>01</v>
      </c>
      <c r="B91" t="str">
        <f>"01.80"</f>
        <v>01.80</v>
      </c>
      <c r="C91" t="s">
        <v>771</v>
      </c>
      <c r="D91" t="s">
        <v>6244</v>
      </c>
    </row>
    <row r="92" spans="1:6" x14ac:dyDescent="0.3">
      <c r="A92" t="str">
        <f>"01"</f>
        <v>01</v>
      </c>
      <c r="B92" t="str">
        <f>"01.8001"</f>
        <v>01.8001</v>
      </c>
      <c r="C92" t="s">
        <v>771</v>
      </c>
      <c r="D92" t="s">
        <v>770</v>
      </c>
      <c r="F92" t="s">
        <v>768</v>
      </c>
    </row>
    <row r="93" spans="1:6" x14ac:dyDescent="0.3">
      <c r="A93" t="str">
        <f>"01"</f>
        <v>01</v>
      </c>
      <c r="B93" t="str">
        <f>"01.81"</f>
        <v>01.81</v>
      </c>
      <c r="C93" t="s">
        <v>769</v>
      </c>
      <c r="D93" t="s">
        <v>6243</v>
      </c>
    </row>
    <row r="94" spans="1:6" x14ac:dyDescent="0.3">
      <c r="A94" t="str">
        <f>"01"</f>
        <v>01</v>
      </c>
      <c r="B94" t="str">
        <f>"01.8101"</f>
        <v>01.8101</v>
      </c>
      <c r="C94" t="s">
        <v>767</v>
      </c>
      <c r="D94" t="s">
        <v>766</v>
      </c>
      <c r="F94" t="s">
        <v>765</v>
      </c>
    </row>
    <row r="95" spans="1:6" x14ac:dyDescent="0.3">
      <c r="A95" t="str">
        <f>"01"</f>
        <v>01</v>
      </c>
      <c r="B95" t="str">
        <f>"01.8102"</f>
        <v>01.8102</v>
      </c>
      <c r="C95" t="s">
        <v>744</v>
      </c>
      <c r="D95" t="s">
        <v>743</v>
      </c>
      <c r="F95" t="s">
        <v>742</v>
      </c>
    </row>
    <row r="96" spans="1:6" x14ac:dyDescent="0.3">
      <c r="A96" t="str">
        <f>"01"</f>
        <v>01</v>
      </c>
      <c r="B96" t="str">
        <f>"01.8103"</f>
        <v>01.8103</v>
      </c>
      <c r="C96" t="s">
        <v>750</v>
      </c>
      <c r="D96" t="s">
        <v>749</v>
      </c>
      <c r="F96" t="s">
        <v>748</v>
      </c>
    </row>
    <row r="97" spans="1:6" x14ac:dyDescent="0.3">
      <c r="A97" t="str">
        <f>"01"</f>
        <v>01</v>
      </c>
      <c r="B97" t="str">
        <f>"01.8104"</f>
        <v>01.8104</v>
      </c>
      <c r="C97" t="s">
        <v>747</v>
      </c>
      <c r="D97" t="s">
        <v>746</v>
      </c>
      <c r="F97" t="s">
        <v>745</v>
      </c>
    </row>
    <row r="98" spans="1:6" x14ac:dyDescent="0.3">
      <c r="A98" t="str">
        <f>"01"</f>
        <v>01</v>
      </c>
      <c r="B98" t="str">
        <f>"01.8105"</f>
        <v>01.8105</v>
      </c>
      <c r="C98" t="s">
        <v>764</v>
      </c>
      <c r="D98" t="s">
        <v>763</v>
      </c>
      <c r="F98" t="s">
        <v>762</v>
      </c>
    </row>
    <row r="99" spans="1:6" x14ac:dyDescent="0.3">
      <c r="A99" t="str">
        <f>"01"</f>
        <v>01</v>
      </c>
      <c r="B99" t="str">
        <f>"01.8106"</f>
        <v>01.8106</v>
      </c>
      <c r="C99" t="s">
        <v>738</v>
      </c>
      <c r="D99" t="s">
        <v>737</v>
      </c>
      <c r="F99" t="s">
        <v>736</v>
      </c>
    </row>
    <row r="100" spans="1:6" x14ac:dyDescent="0.3">
      <c r="A100" t="str">
        <f>"01"</f>
        <v>01</v>
      </c>
      <c r="B100" t="str">
        <f>"01.8107"</f>
        <v>01.8107</v>
      </c>
      <c r="C100" t="s">
        <v>758</v>
      </c>
      <c r="D100" t="s">
        <v>757</v>
      </c>
      <c r="F100" t="s">
        <v>756</v>
      </c>
    </row>
    <row r="101" spans="1:6" x14ac:dyDescent="0.3">
      <c r="A101" t="str">
        <f>"01"</f>
        <v>01</v>
      </c>
      <c r="B101" t="str">
        <f>"01.8108"</f>
        <v>01.8108</v>
      </c>
      <c r="C101" t="s">
        <v>755</v>
      </c>
      <c r="D101" t="s">
        <v>754</v>
      </c>
      <c r="F101" t="s">
        <v>753</v>
      </c>
    </row>
    <row r="102" spans="1:6" x14ac:dyDescent="0.3">
      <c r="A102" t="str">
        <f>"01"</f>
        <v>01</v>
      </c>
      <c r="B102" t="str">
        <f>"01.8109"</f>
        <v>01.8109</v>
      </c>
      <c r="C102" t="s">
        <v>761</v>
      </c>
      <c r="D102" t="s">
        <v>760</v>
      </c>
      <c r="F102" t="s">
        <v>759</v>
      </c>
    </row>
    <row r="103" spans="1:6" x14ac:dyDescent="0.3">
      <c r="A103" t="str">
        <f>"01"</f>
        <v>01</v>
      </c>
      <c r="B103" t="str">
        <f>"01.8110"</f>
        <v>01.8110</v>
      </c>
      <c r="C103" t="s">
        <v>741</v>
      </c>
      <c r="D103" t="s">
        <v>740</v>
      </c>
      <c r="F103" t="s">
        <v>739</v>
      </c>
    </row>
    <row r="104" spans="1:6" x14ac:dyDescent="0.3">
      <c r="A104" t="str">
        <f>"01"</f>
        <v>01</v>
      </c>
      <c r="B104" t="str">
        <f>"01.8111"</f>
        <v>01.8111</v>
      </c>
      <c r="C104" t="s">
        <v>752</v>
      </c>
      <c r="D104" t="s">
        <v>751</v>
      </c>
      <c r="F104" t="s">
        <v>6242</v>
      </c>
    </row>
    <row r="105" spans="1:6" x14ac:dyDescent="0.3">
      <c r="A105" t="str">
        <f>"01"</f>
        <v>01</v>
      </c>
      <c r="B105" t="str">
        <f>"01.8199"</f>
        <v>01.8199</v>
      </c>
      <c r="C105" t="s">
        <v>735</v>
      </c>
      <c r="D105" t="s">
        <v>734</v>
      </c>
      <c r="F105" t="s">
        <v>718</v>
      </c>
    </row>
    <row r="106" spans="1:6" x14ac:dyDescent="0.3">
      <c r="A106" t="str">
        <f>"01"</f>
        <v>01</v>
      </c>
      <c r="B106" t="str">
        <f>"01.82"</f>
        <v>01.82</v>
      </c>
      <c r="C106" t="s">
        <v>6241</v>
      </c>
      <c r="D106" t="s">
        <v>6240</v>
      </c>
    </row>
    <row r="107" spans="1:6" x14ac:dyDescent="0.3">
      <c r="A107" t="str">
        <f>"01"</f>
        <v>01</v>
      </c>
      <c r="B107" t="str">
        <f>"01.8201"</f>
        <v>01.8201</v>
      </c>
      <c r="C107" t="s">
        <v>6239</v>
      </c>
      <c r="D107" t="s">
        <v>6238</v>
      </c>
    </row>
    <row r="108" spans="1:6" x14ac:dyDescent="0.3">
      <c r="A108" t="str">
        <f>"01"</f>
        <v>01</v>
      </c>
      <c r="B108" t="str">
        <f>"01.8202"</f>
        <v>01.8202</v>
      </c>
      <c r="C108" t="s">
        <v>6237</v>
      </c>
      <c r="D108" t="s">
        <v>6236</v>
      </c>
      <c r="F108" t="s">
        <v>6235</v>
      </c>
    </row>
    <row r="109" spans="1:6" x14ac:dyDescent="0.3">
      <c r="A109" t="str">
        <f>"01"</f>
        <v>01</v>
      </c>
      <c r="B109" t="str">
        <f>"01.8203"</f>
        <v>01.8203</v>
      </c>
      <c r="C109" t="s">
        <v>6234</v>
      </c>
      <c r="D109" t="s">
        <v>6233</v>
      </c>
      <c r="F109" t="s">
        <v>1069</v>
      </c>
    </row>
    <row r="110" spans="1:6" x14ac:dyDescent="0.3">
      <c r="A110" t="str">
        <f>"01"</f>
        <v>01</v>
      </c>
      <c r="B110" t="str">
        <f>"01.8204"</f>
        <v>01.8204</v>
      </c>
      <c r="C110" t="s">
        <v>6232</v>
      </c>
      <c r="D110" t="s">
        <v>6231</v>
      </c>
      <c r="F110" t="s">
        <v>6230</v>
      </c>
    </row>
    <row r="111" spans="1:6" x14ac:dyDescent="0.3">
      <c r="A111" t="str">
        <f>"01"</f>
        <v>01</v>
      </c>
      <c r="B111" t="str">
        <f>"01.8299"</f>
        <v>01.8299</v>
      </c>
      <c r="C111" t="s">
        <v>6229</v>
      </c>
      <c r="D111" t="s">
        <v>6228</v>
      </c>
    </row>
    <row r="112" spans="1:6" x14ac:dyDescent="0.3">
      <c r="A112" t="str">
        <f>"01"</f>
        <v>01</v>
      </c>
      <c r="B112" t="str">
        <f>"01.83"</f>
        <v>01.83</v>
      </c>
      <c r="C112" t="s">
        <v>6227</v>
      </c>
      <c r="D112" t="s">
        <v>6226</v>
      </c>
    </row>
    <row r="113" spans="1:6" x14ac:dyDescent="0.3">
      <c r="A113" t="str">
        <f>"01"</f>
        <v>01</v>
      </c>
      <c r="B113" t="str">
        <f>"01.8301"</f>
        <v>01.8301</v>
      </c>
      <c r="C113" t="s">
        <v>1045</v>
      </c>
      <c r="D113" t="s">
        <v>1044</v>
      </c>
    </row>
    <row r="114" spans="1:6" x14ac:dyDescent="0.3">
      <c r="A114" t="str">
        <f>"01"</f>
        <v>01</v>
      </c>
      <c r="B114" t="str">
        <f>"01.8399"</f>
        <v>01.8399</v>
      </c>
      <c r="C114" t="s">
        <v>6225</v>
      </c>
      <c r="D114" t="s">
        <v>6224</v>
      </c>
    </row>
    <row r="115" spans="1:6" x14ac:dyDescent="0.3">
      <c r="A115" t="str">
        <f>"01"</f>
        <v>01</v>
      </c>
      <c r="B115" t="str">
        <f>"01.99"</f>
        <v>01.99</v>
      </c>
      <c r="C115" t="s">
        <v>6223</v>
      </c>
      <c r="D115" t="s">
        <v>4284</v>
      </c>
    </row>
    <row r="116" spans="1:6" x14ac:dyDescent="0.3">
      <c r="A116" t="str">
        <f>"01"</f>
        <v>01</v>
      </c>
      <c r="B116" t="str">
        <f>"01.9999"</f>
        <v>01.9999</v>
      </c>
      <c r="C116" t="s">
        <v>6223</v>
      </c>
      <c r="D116" t="s">
        <v>6222</v>
      </c>
    </row>
    <row r="117" spans="1:6" x14ac:dyDescent="0.3">
      <c r="A117" t="str">
        <f>"03"</f>
        <v>03</v>
      </c>
      <c r="B117" t="str">
        <f>"03"</f>
        <v>03</v>
      </c>
      <c r="C117" t="s">
        <v>4283</v>
      </c>
      <c r="D117" t="s">
        <v>4282</v>
      </c>
    </row>
    <row r="118" spans="1:6" x14ac:dyDescent="0.3">
      <c r="A118" t="str">
        <f>"03"</f>
        <v>03</v>
      </c>
      <c r="B118" t="str">
        <f>"03.01"</f>
        <v>03.01</v>
      </c>
      <c r="C118" t="s">
        <v>4281</v>
      </c>
      <c r="D118" t="s">
        <v>4280</v>
      </c>
    </row>
    <row r="119" spans="1:6" x14ac:dyDescent="0.3">
      <c r="A119" t="str">
        <f>"03"</f>
        <v>03</v>
      </c>
      <c r="B119" t="str">
        <f>"03.0101"</f>
        <v>03.0101</v>
      </c>
      <c r="C119" t="s">
        <v>4279</v>
      </c>
      <c r="D119" t="s">
        <v>4278</v>
      </c>
      <c r="E119" t="s">
        <v>4277</v>
      </c>
    </row>
    <row r="120" spans="1:6" x14ac:dyDescent="0.3">
      <c r="A120" t="str">
        <f>"03"</f>
        <v>03</v>
      </c>
      <c r="B120" t="str">
        <f>"03.0103"</f>
        <v>03.0103</v>
      </c>
      <c r="C120" t="s">
        <v>4275</v>
      </c>
      <c r="D120" t="s">
        <v>4274</v>
      </c>
      <c r="E120" t="s">
        <v>6221</v>
      </c>
      <c r="F120" t="s">
        <v>4273</v>
      </c>
    </row>
    <row r="121" spans="1:6" x14ac:dyDescent="0.3">
      <c r="A121" t="str">
        <f>"03"</f>
        <v>03</v>
      </c>
      <c r="B121" t="str">
        <f>"03.0104"</f>
        <v>03.0104</v>
      </c>
      <c r="C121" t="s">
        <v>4272</v>
      </c>
      <c r="D121" t="s">
        <v>4271</v>
      </c>
      <c r="E121" t="s">
        <v>4270</v>
      </c>
      <c r="F121" t="s">
        <v>4269</v>
      </c>
    </row>
    <row r="122" spans="1:6" x14ac:dyDescent="0.3">
      <c r="A122" t="str">
        <f>"03"</f>
        <v>03</v>
      </c>
      <c r="B122" t="str">
        <f>"03.0199"</f>
        <v>03.0199</v>
      </c>
      <c r="C122" t="s">
        <v>4268</v>
      </c>
      <c r="D122" t="s">
        <v>4267</v>
      </c>
      <c r="F122" t="s">
        <v>4265</v>
      </c>
    </row>
    <row r="123" spans="1:6" x14ac:dyDescent="0.3">
      <c r="A123" t="str">
        <f>"03"</f>
        <v>03</v>
      </c>
      <c r="B123" t="str">
        <f>"03.02"</f>
        <v>03.02</v>
      </c>
      <c r="C123" t="s">
        <v>6220</v>
      </c>
      <c r="D123" t="s">
        <v>4266</v>
      </c>
    </row>
    <row r="124" spans="1:6" x14ac:dyDescent="0.3">
      <c r="A124" t="str">
        <f>"03"</f>
        <v>03</v>
      </c>
      <c r="B124" t="str">
        <f>"03.0201"</f>
        <v>03.0201</v>
      </c>
      <c r="C124" t="s">
        <v>6219</v>
      </c>
      <c r="D124" t="s">
        <v>4264</v>
      </c>
      <c r="F124" t="s">
        <v>6218</v>
      </c>
    </row>
    <row r="125" spans="1:6" x14ac:dyDescent="0.3">
      <c r="A125" t="str">
        <f>"03"</f>
        <v>03</v>
      </c>
      <c r="B125" t="str">
        <f>"03.0204"</f>
        <v>03.0204</v>
      </c>
      <c r="C125" t="s">
        <v>6217</v>
      </c>
      <c r="D125" t="s">
        <v>4263</v>
      </c>
      <c r="E125" t="s">
        <v>4262</v>
      </c>
      <c r="F125" t="s">
        <v>6216</v>
      </c>
    </row>
    <row r="126" spans="1:6" x14ac:dyDescent="0.3">
      <c r="A126" t="str">
        <f>"03"</f>
        <v>03</v>
      </c>
      <c r="B126" t="str">
        <f>"03.0205"</f>
        <v>03.0205</v>
      </c>
      <c r="C126" t="s">
        <v>4261</v>
      </c>
      <c r="D126" t="s">
        <v>6215</v>
      </c>
      <c r="E126" t="s">
        <v>4260</v>
      </c>
    </row>
    <row r="127" spans="1:6" x14ac:dyDescent="0.3">
      <c r="A127" t="str">
        <f>"03"</f>
        <v>03</v>
      </c>
      <c r="B127" t="str">
        <f>"03.0206"</f>
        <v>03.0206</v>
      </c>
      <c r="C127" t="s">
        <v>4259</v>
      </c>
      <c r="D127" t="s">
        <v>4258</v>
      </c>
      <c r="E127" t="s">
        <v>6214</v>
      </c>
    </row>
    <row r="128" spans="1:6" x14ac:dyDescent="0.3">
      <c r="A128" t="str">
        <f>"03"</f>
        <v>03</v>
      </c>
      <c r="B128" t="str">
        <f>"03.0207"</f>
        <v>03.0207</v>
      </c>
      <c r="C128" t="s">
        <v>6213</v>
      </c>
      <c r="D128" t="s">
        <v>4257</v>
      </c>
      <c r="E128" t="s">
        <v>6212</v>
      </c>
      <c r="F128" t="s">
        <v>4256</v>
      </c>
    </row>
    <row r="129" spans="1:6" x14ac:dyDescent="0.3">
      <c r="A129" t="str">
        <f>"03"</f>
        <v>03</v>
      </c>
      <c r="B129" t="str">
        <f>"03.0208"</f>
        <v>03.0208</v>
      </c>
      <c r="C129" t="s">
        <v>6211</v>
      </c>
      <c r="D129" t="s">
        <v>4255</v>
      </c>
      <c r="F129" t="s">
        <v>4243</v>
      </c>
    </row>
    <row r="130" spans="1:6" x14ac:dyDescent="0.3">
      <c r="A130" t="str">
        <f>"03"</f>
        <v>03</v>
      </c>
      <c r="B130" t="str">
        <f>"03.0209"</f>
        <v>03.0209</v>
      </c>
      <c r="C130" t="s">
        <v>6210</v>
      </c>
      <c r="D130" t="s">
        <v>6209</v>
      </c>
    </row>
    <row r="131" spans="1:6" x14ac:dyDescent="0.3">
      <c r="A131" t="str">
        <f>"03"</f>
        <v>03</v>
      </c>
      <c r="B131" t="str">
        <f>"03.0210"</f>
        <v>03.0210</v>
      </c>
      <c r="C131" t="s">
        <v>6208</v>
      </c>
      <c r="D131" t="s">
        <v>6207</v>
      </c>
    </row>
    <row r="132" spans="1:6" x14ac:dyDescent="0.3">
      <c r="A132" t="str">
        <f>"03"</f>
        <v>03</v>
      </c>
      <c r="B132" t="str">
        <f>"03.0299"</f>
        <v>03.0299</v>
      </c>
      <c r="C132" t="s">
        <v>6206</v>
      </c>
      <c r="D132" t="s">
        <v>6205</v>
      </c>
    </row>
    <row r="133" spans="1:6" x14ac:dyDescent="0.3">
      <c r="A133" t="str">
        <f>"03"</f>
        <v>03</v>
      </c>
      <c r="B133" t="str">
        <f>"03.03"</f>
        <v>03.03</v>
      </c>
      <c r="C133" t="s">
        <v>4253</v>
      </c>
      <c r="D133" t="s">
        <v>4254</v>
      </c>
    </row>
    <row r="134" spans="1:6" x14ac:dyDescent="0.3">
      <c r="A134" t="str">
        <f>"03"</f>
        <v>03</v>
      </c>
      <c r="B134" t="str">
        <f>"03.0301"</f>
        <v>03.0301</v>
      </c>
      <c r="C134" t="s">
        <v>4253</v>
      </c>
      <c r="D134" t="s">
        <v>4252</v>
      </c>
      <c r="E134" t="s">
        <v>4251</v>
      </c>
    </row>
    <row r="135" spans="1:6" x14ac:dyDescent="0.3">
      <c r="A135" t="str">
        <f>"03"</f>
        <v>03</v>
      </c>
      <c r="B135" t="str">
        <f>"03.05"</f>
        <v>03.05</v>
      </c>
      <c r="C135" t="s">
        <v>4250</v>
      </c>
      <c r="D135" t="s">
        <v>4249</v>
      </c>
    </row>
    <row r="136" spans="1:6" x14ac:dyDescent="0.3">
      <c r="A136" t="str">
        <f>"03"</f>
        <v>03</v>
      </c>
      <c r="B136" t="str">
        <f>"03.0501"</f>
        <v>03.0501</v>
      </c>
      <c r="C136" t="s">
        <v>4248</v>
      </c>
      <c r="D136" t="s">
        <v>4247</v>
      </c>
      <c r="E136" t="s">
        <v>4246</v>
      </c>
    </row>
    <row r="137" spans="1:6" x14ac:dyDescent="0.3">
      <c r="A137" t="str">
        <f>"03"</f>
        <v>03</v>
      </c>
      <c r="B137" t="str">
        <f>"03.0502"</f>
        <v>03.0502</v>
      </c>
      <c r="C137" t="s">
        <v>4245</v>
      </c>
      <c r="D137" t="s">
        <v>4244</v>
      </c>
    </row>
    <row r="138" spans="1:6" x14ac:dyDescent="0.3">
      <c r="A138" t="str">
        <f>"03"</f>
        <v>03</v>
      </c>
      <c r="B138" t="str">
        <f>"03.0506"</f>
        <v>03.0506</v>
      </c>
      <c r="C138" t="s">
        <v>4242</v>
      </c>
      <c r="D138" t="s">
        <v>4241</v>
      </c>
      <c r="F138" t="s">
        <v>4224</v>
      </c>
    </row>
    <row r="139" spans="1:6" x14ac:dyDescent="0.3">
      <c r="A139" t="str">
        <f>"03"</f>
        <v>03</v>
      </c>
      <c r="B139" t="str">
        <f>"03.0508"</f>
        <v>03.0508</v>
      </c>
      <c r="C139" t="s">
        <v>4240</v>
      </c>
      <c r="D139" t="s">
        <v>4239</v>
      </c>
      <c r="F139" t="s">
        <v>6204</v>
      </c>
    </row>
    <row r="140" spans="1:6" x14ac:dyDescent="0.3">
      <c r="A140" t="str">
        <f>"03"</f>
        <v>03</v>
      </c>
      <c r="B140" t="str">
        <f>"03.0509"</f>
        <v>03.0509</v>
      </c>
      <c r="C140" t="s">
        <v>6203</v>
      </c>
      <c r="D140" t="s">
        <v>4238</v>
      </c>
      <c r="E140" t="s">
        <v>4237</v>
      </c>
    </row>
    <row r="141" spans="1:6" x14ac:dyDescent="0.3">
      <c r="A141" t="str">
        <f>"03"</f>
        <v>03</v>
      </c>
      <c r="B141" t="str">
        <f>"03.0510"</f>
        <v>03.0510</v>
      </c>
      <c r="C141" t="s">
        <v>4236</v>
      </c>
      <c r="D141" t="s">
        <v>4235</v>
      </c>
    </row>
    <row r="142" spans="1:6" x14ac:dyDescent="0.3">
      <c r="A142" t="str">
        <f>"03"</f>
        <v>03</v>
      </c>
      <c r="B142" t="str">
        <f>"03.0511"</f>
        <v>03.0511</v>
      </c>
      <c r="C142" t="s">
        <v>4234</v>
      </c>
      <c r="D142" t="s">
        <v>4233</v>
      </c>
    </row>
    <row r="143" spans="1:6" x14ac:dyDescent="0.3">
      <c r="A143" t="str">
        <f>"03"</f>
        <v>03</v>
      </c>
      <c r="B143" t="str">
        <f>"03.0599"</f>
        <v>03.0599</v>
      </c>
      <c r="C143" t="s">
        <v>4232</v>
      </c>
      <c r="D143" t="s">
        <v>4231</v>
      </c>
    </row>
    <row r="144" spans="1:6" x14ac:dyDescent="0.3">
      <c r="A144" t="str">
        <f>"03"</f>
        <v>03</v>
      </c>
      <c r="B144" t="str">
        <f>"03.06"</f>
        <v>03.06</v>
      </c>
      <c r="C144" t="s">
        <v>4230</v>
      </c>
      <c r="D144" t="s">
        <v>4229</v>
      </c>
    </row>
    <row r="145" spans="1:6" x14ac:dyDescent="0.3">
      <c r="A145" t="str">
        <f>"03"</f>
        <v>03</v>
      </c>
      <c r="B145" t="str">
        <f>"03.0601"</f>
        <v>03.0601</v>
      </c>
      <c r="C145" t="s">
        <v>4228</v>
      </c>
      <c r="D145" t="s">
        <v>4227</v>
      </c>
      <c r="E145" t="s">
        <v>4226</v>
      </c>
    </row>
    <row r="146" spans="1:6" x14ac:dyDescent="0.3">
      <c r="A146" t="str">
        <f>"03"</f>
        <v>03</v>
      </c>
      <c r="B146" t="str">
        <f>"03.99"</f>
        <v>03.99</v>
      </c>
      <c r="C146" t="s">
        <v>4223</v>
      </c>
      <c r="D146" t="s">
        <v>4225</v>
      </c>
    </row>
    <row r="147" spans="1:6" x14ac:dyDescent="0.3">
      <c r="A147" t="str">
        <f>"03"</f>
        <v>03</v>
      </c>
      <c r="B147" t="str">
        <f>"03.9999"</f>
        <v>03.9999</v>
      </c>
      <c r="C147" t="s">
        <v>4223</v>
      </c>
      <c r="D147" t="s">
        <v>4222</v>
      </c>
      <c r="F147" t="s">
        <v>4219</v>
      </c>
    </row>
    <row r="148" spans="1:6" x14ac:dyDescent="0.3">
      <c r="A148" t="str">
        <f>"04"</f>
        <v>04</v>
      </c>
      <c r="B148" t="str">
        <f>"04"</f>
        <v>04</v>
      </c>
      <c r="C148" t="s">
        <v>4221</v>
      </c>
      <c r="D148" t="s">
        <v>4220</v>
      </c>
    </row>
    <row r="149" spans="1:6" x14ac:dyDescent="0.3">
      <c r="A149" t="str">
        <f>"04"</f>
        <v>04</v>
      </c>
      <c r="B149" t="str">
        <f>"04.02"</f>
        <v>04.02</v>
      </c>
      <c r="C149" t="s">
        <v>4218</v>
      </c>
      <c r="D149" t="s">
        <v>6202</v>
      </c>
    </row>
    <row r="150" spans="1:6" x14ac:dyDescent="0.3">
      <c r="A150" t="str">
        <f>"04"</f>
        <v>04</v>
      </c>
      <c r="B150" t="str">
        <f>"04.0200"</f>
        <v>04.0200</v>
      </c>
      <c r="C150" t="s">
        <v>6201</v>
      </c>
      <c r="D150" t="s">
        <v>6200</v>
      </c>
      <c r="F150" t="s">
        <v>6199</v>
      </c>
    </row>
    <row r="151" spans="1:6" x14ac:dyDescent="0.3">
      <c r="A151" t="str">
        <f>"04"</f>
        <v>04</v>
      </c>
      <c r="B151" t="str">
        <f>"04.0201"</f>
        <v>04.0201</v>
      </c>
      <c r="C151" t="s">
        <v>4218</v>
      </c>
      <c r="D151" t="s">
        <v>4217</v>
      </c>
      <c r="E151" t="s">
        <v>4216</v>
      </c>
      <c r="F151" t="s">
        <v>4214</v>
      </c>
    </row>
    <row r="152" spans="1:6" x14ac:dyDescent="0.3">
      <c r="A152" t="str">
        <f>"04"</f>
        <v>04</v>
      </c>
      <c r="B152" t="str">
        <f>"04.0202"</f>
        <v>04.0202</v>
      </c>
      <c r="C152" t="s">
        <v>6198</v>
      </c>
      <c r="D152" t="s">
        <v>6197</v>
      </c>
    </row>
    <row r="153" spans="1:6" x14ac:dyDescent="0.3">
      <c r="A153" t="str">
        <f>"04"</f>
        <v>04</v>
      </c>
      <c r="B153" t="str">
        <f>"04.0299"</f>
        <v>04.0299</v>
      </c>
      <c r="C153" t="s">
        <v>6196</v>
      </c>
      <c r="D153" t="s">
        <v>6195</v>
      </c>
    </row>
    <row r="154" spans="1:6" x14ac:dyDescent="0.3">
      <c r="A154" t="str">
        <f>"04"</f>
        <v>04</v>
      </c>
      <c r="B154" t="str">
        <f>"04.03"</f>
        <v>04.03</v>
      </c>
      <c r="C154" t="s">
        <v>6194</v>
      </c>
      <c r="D154" t="s">
        <v>4215</v>
      </c>
    </row>
    <row r="155" spans="1:6" x14ac:dyDescent="0.3">
      <c r="A155" t="str">
        <f>"04"</f>
        <v>04</v>
      </c>
      <c r="B155" t="str">
        <f>"04.0301"</f>
        <v>04.0301</v>
      </c>
      <c r="C155" t="s">
        <v>6194</v>
      </c>
      <c r="D155" t="s">
        <v>4213</v>
      </c>
      <c r="E155" t="s">
        <v>4212</v>
      </c>
      <c r="F155" t="s">
        <v>4202</v>
      </c>
    </row>
    <row r="156" spans="1:6" x14ac:dyDescent="0.3">
      <c r="A156" t="str">
        <f>"04"</f>
        <v>04</v>
      </c>
      <c r="B156" t="str">
        <f>"04.04"</f>
        <v>04.04</v>
      </c>
      <c r="C156" t="s">
        <v>4211</v>
      </c>
      <c r="D156" t="s">
        <v>6193</v>
      </c>
    </row>
    <row r="157" spans="1:6" x14ac:dyDescent="0.3">
      <c r="A157" t="str">
        <f>"04"</f>
        <v>04</v>
      </c>
      <c r="B157" t="str">
        <f>"04.0401"</f>
        <v>04.0401</v>
      </c>
      <c r="C157" t="s">
        <v>4210</v>
      </c>
      <c r="D157" t="s">
        <v>4209</v>
      </c>
      <c r="E157" t="s">
        <v>4208</v>
      </c>
    </row>
    <row r="158" spans="1:6" x14ac:dyDescent="0.3">
      <c r="A158" t="str">
        <f>"04"</f>
        <v>04</v>
      </c>
      <c r="B158" t="str">
        <f>"04.0402"</f>
        <v>04.0402</v>
      </c>
      <c r="C158" t="s">
        <v>6192</v>
      </c>
      <c r="D158" t="s">
        <v>6191</v>
      </c>
      <c r="E158" t="s">
        <v>6190</v>
      </c>
    </row>
    <row r="159" spans="1:6" x14ac:dyDescent="0.3">
      <c r="A159" t="str">
        <f>"04"</f>
        <v>04</v>
      </c>
      <c r="B159" t="str">
        <f>"04.0403"</f>
        <v>04.0403</v>
      </c>
      <c r="C159" t="s">
        <v>6189</v>
      </c>
      <c r="D159" t="s">
        <v>6188</v>
      </c>
    </row>
    <row r="160" spans="1:6" x14ac:dyDescent="0.3">
      <c r="A160" t="str">
        <f>"04"</f>
        <v>04</v>
      </c>
      <c r="B160" t="str">
        <f>"04.0499"</f>
        <v>04.0499</v>
      </c>
      <c r="C160" t="s">
        <v>6187</v>
      </c>
      <c r="D160" t="s">
        <v>6186</v>
      </c>
    </row>
    <row r="161" spans="1:6" x14ac:dyDescent="0.3">
      <c r="A161" t="str">
        <f>"04"</f>
        <v>04</v>
      </c>
      <c r="B161" t="str">
        <f>"04.05"</f>
        <v>04.05</v>
      </c>
      <c r="C161" t="s">
        <v>4206</v>
      </c>
      <c r="D161" t="s">
        <v>4207</v>
      </c>
    </row>
    <row r="162" spans="1:6" x14ac:dyDescent="0.3">
      <c r="A162" t="str">
        <f>"04"</f>
        <v>04</v>
      </c>
      <c r="B162" t="str">
        <f>"04.0501"</f>
        <v>04.0501</v>
      </c>
      <c r="C162" t="s">
        <v>4206</v>
      </c>
      <c r="D162" t="s">
        <v>4205</v>
      </c>
      <c r="E162" t="s">
        <v>4204</v>
      </c>
    </row>
    <row r="163" spans="1:6" x14ac:dyDescent="0.3">
      <c r="A163" t="str">
        <f>"04"</f>
        <v>04</v>
      </c>
      <c r="B163" t="str">
        <f>"04.06"</f>
        <v>04.06</v>
      </c>
      <c r="C163" t="s">
        <v>4201</v>
      </c>
      <c r="D163" t="s">
        <v>4203</v>
      </c>
    </row>
    <row r="164" spans="1:6" x14ac:dyDescent="0.3">
      <c r="A164" t="str">
        <f>"04"</f>
        <v>04</v>
      </c>
      <c r="B164" t="str">
        <f>"04.0601"</f>
        <v>04.0601</v>
      </c>
      <c r="C164" t="s">
        <v>4201</v>
      </c>
      <c r="D164" t="s">
        <v>4200</v>
      </c>
      <c r="E164" t="s">
        <v>6185</v>
      </c>
      <c r="F164" t="s">
        <v>4192</v>
      </c>
    </row>
    <row r="165" spans="1:6" x14ac:dyDescent="0.3">
      <c r="A165" t="str">
        <f>"04"</f>
        <v>04</v>
      </c>
      <c r="B165" t="str">
        <f>"04.08"</f>
        <v>04.08</v>
      </c>
      <c r="C165" t="s">
        <v>6184</v>
      </c>
      <c r="D165" t="s">
        <v>6183</v>
      </c>
    </row>
    <row r="166" spans="1:6" x14ac:dyDescent="0.3">
      <c r="A166" t="str">
        <f>"04"</f>
        <v>04</v>
      </c>
      <c r="B166" t="str">
        <f>"04.0801"</f>
        <v>04.0801</v>
      </c>
      <c r="C166" t="s">
        <v>4199</v>
      </c>
      <c r="D166" t="s">
        <v>4198</v>
      </c>
    </row>
    <row r="167" spans="1:6" x14ac:dyDescent="0.3">
      <c r="A167" t="str">
        <f>"04"</f>
        <v>04</v>
      </c>
      <c r="B167" t="str">
        <f>"04.0802"</f>
        <v>04.0802</v>
      </c>
      <c r="C167" t="s">
        <v>6182</v>
      </c>
      <c r="D167" t="s">
        <v>6181</v>
      </c>
      <c r="E167" t="s">
        <v>6180</v>
      </c>
    </row>
    <row r="168" spans="1:6" x14ac:dyDescent="0.3">
      <c r="A168" t="str">
        <f>"04"</f>
        <v>04</v>
      </c>
      <c r="B168" t="str">
        <f>"04.0803"</f>
        <v>04.0803</v>
      </c>
      <c r="C168" t="s">
        <v>6179</v>
      </c>
      <c r="D168" t="s">
        <v>6178</v>
      </c>
    </row>
    <row r="169" spans="1:6" x14ac:dyDescent="0.3">
      <c r="A169" t="str">
        <f>"04"</f>
        <v>04</v>
      </c>
      <c r="B169" t="str">
        <f>"04.0899"</f>
        <v>04.0899</v>
      </c>
      <c r="C169" t="s">
        <v>6177</v>
      </c>
      <c r="D169" t="s">
        <v>6176</v>
      </c>
    </row>
    <row r="170" spans="1:6" x14ac:dyDescent="0.3">
      <c r="A170" t="str">
        <f>"04"</f>
        <v>04</v>
      </c>
      <c r="B170" t="str">
        <f>"04.09"</f>
        <v>04.09</v>
      </c>
      <c r="C170" t="s">
        <v>4197</v>
      </c>
      <c r="D170" t="s">
        <v>4196</v>
      </c>
    </row>
    <row r="171" spans="1:6" x14ac:dyDescent="0.3">
      <c r="A171" t="str">
        <f>"04"</f>
        <v>04</v>
      </c>
      <c r="B171" t="str">
        <f>"04.0901"</f>
        <v>04.0901</v>
      </c>
      <c r="C171" t="s">
        <v>4195</v>
      </c>
      <c r="D171" t="s">
        <v>4194</v>
      </c>
      <c r="E171" t="s">
        <v>4193</v>
      </c>
    </row>
    <row r="172" spans="1:6" x14ac:dyDescent="0.3">
      <c r="A172" t="str">
        <f>"04"</f>
        <v>04</v>
      </c>
      <c r="B172" t="str">
        <f>"04.0902"</f>
        <v>04.0902</v>
      </c>
      <c r="C172" t="s">
        <v>4191</v>
      </c>
      <c r="D172" t="s">
        <v>4190</v>
      </c>
      <c r="F172" t="s">
        <v>4166</v>
      </c>
    </row>
    <row r="173" spans="1:6" x14ac:dyDescent="0.3">
      <c r="A173" t="str">
        <f>"04"</f>
        <v>04</v>
      </c>
      <c r="B173" t="str">
        <f>"04.0999"</f>
        <v>04.0999</v>
      </c>
      <c r="C173" t="s">
        <v>4189</v>
      </c>
      <c r="D173" t="s">
        <v>4188</v>
      </c>
    </row>
    <row r="174" spans="1:6" x14ac:dyDescent="0.3">
      <c r="A174" t="str">
        <f>"04"</f>
        <v>04</v>
      </c>
      <c r="B174" t="str">
        <f>"04.10"</f>
        <v>04.10</v>
      </c>
      <c r="C174" t="s">
        <v>4186</v>
      </c>
      <c r="D174" t="s">
        <v>4187</v>
      </c>
    </row>
    <row r="175" spans="1:6" x14ac:dyDescent="0.3">
      <c r="A175" t="str">
        <f>"04"</f>
        <v>04</v>
      </c>
      <c r="B175" t="str">
        <f>"04.1001"</f>
        <v>04.1001</v>
      </c>
      <c r="C175" t="s">
        <v>4186</v>
      </c>
      <c r="D175" t="s">
        <v>4185</v>
      </c>
      <c r="E175" t="s">
        <v>4184</v>
      </c>
    </row>
    <row r="176" spans="1:6" x14ac:dyDescent="0.3">
      <c r="A176" t="str">
        <f>"04"</f>
        <v>04</v>
      </c>
      <c r="B176" t="str">
        <f>"04.99"</f>
        <v>04.99</v>
      </c>
      <c r="C176" t="s">
        <v>4182</v>
      </c>
      <c r="D176" t="s">
        <v>4183</v>
      </c>
    </row>
    <row r="177" spans="1:6" x14ac:dyDescent="0.3">
      <c r="A177" t="str">
        <f>"04"</f>
        <v>04</v>
      </c>
      <c r="B177" t="str">
        <f>"04.9999"</f>
        <v>04.9999</v>
      </c>
      <c r="C177" t="s">
        <v>4182</v>
      </c>
      <c r="D177" t="s">
        <v>4181</v>
      </c>
    </row>
    <row r="178" spans="1:6" x14ac:dyDescent="0.3">
      <c r="A178" t="str">
        <f>"05"</f>
        <v>05</v>
      </c>
      <c r="B178" t="str">
        <f>"05"</f>
        <v>05</v>
      </c>
      <c r="C178" t="s">
        <v>4180</v>
      </c>
      <c r="D178" t="s">
        <v>4179</v>
      </c>
    </row>
    <row r="179" spans="1:6" x14ac:dyDescent="0.3">
      <c r="A179" t="str">
        <f>"05"</f>
        <v>05</v>
      </c>
      <c r="B179" t="str">
        <f>"05.01"</f>
        <v>05.01</v>
      </c>
      <c r="C179" t="s">
        <v>4178</v>
      </c>
      <c r="D179" t="s">
        <v>4177</v>
      </c>
    </row>
    <row r="180" spans="1:6" x14ac:dyDescent="0.3">
      <c r="A180" t="str">
        <f>"05"</f>
        <v>05</v>
      </c>
      <c r="B180" t="str">
        <f>"05.0101"</f>
        <v>05.0101</v>
      </c>
      <c r="C180" t="s">
        <v>4176</v>
      </c>
      <c r="D180" t="s">
        <v>4175</v>
      </c>
      <c r="E180" t="s">
        <v>4174</v>
      </c>
    </row>
    <row r="181" spans="1:6" x14ac:dyDescent="0.3">
      <c r="A181" t="str">
        <f>"05"</f>
        <v>05</v>
      </c>
      <c r="B181" t="str">
        <f>"05.0102"</f>
        <v>05.0102</v>
      </c>
      <c r="C181" t="s">
        <v>4173</v>
      </c>
      <c r="D181" t="s">
        <v>4172</v>
      </c>
    </row>
    <row r="182" spans="1:6" x14ac:dyDescent="0.3">
      <c r="A182" t="str">
        <f>"05"</f>
        <v>05</v>
      </c>
      <c r="B182" t="str">
        <f>"05.0103"</f>
        <v>05.0103</v>
      </c>
      <c r="C182" t="s">
        <v>4171</v>
      </c>
      <c r="D182" t="s">
        <v>4170</v>
      </c>
      <c r="E182" t="s">
        <v>4169</v>
      </c>
    </row>
    <row r="183" spans="1:6" x14ac:dyDescent="0.3">
      <c r="A183" t="str">
        <f>"05"</f>
        <v>05</v>
      </c>
      <c r="B183" t="str">
        <f>"05.0104"</f>
        <v>05.0104</v>
      </c>
      <c r="C183" t="s">
        <v>4168</v>
      </c>
      <c r="D183" t="s">
        <v>4167</v>
      </c>
    </row>
    <row r="184" spans="1:6" x14ac:dyDescent="0.3">
      <c r="A184" t="str">
        <f>"05"</f>
        <v>05</v>
      </c>
      <c r="B184" t="str">
        <f>"05.0105"</f>
        <v>05.0105</v>
      </c>
      <c r="C184" t="s">
        <v>4165</v>
      </c>
      <c r="D184" t="s">
        <v>4164</v>
      </c>
      <c r="E184" t="s">
        <v>4163</v>
      </c>
      <c r="F184" t="s">
        <v>4157</v>
      </c>
    </row>
    <row r="185" spans="1:6" x14ac:dyDescent="0.3">
      <c r="A185" t="str">
        <f>"05"</f>
        <v>05</v>
      </c>
      <c r="B185" t="str">
        <f>"05.0106"</f>
        <v>05.0106</v>
      </c>
      <c r="C185" t="s">
        <v>4162</v>
      </c>
      <c r="D185" t="s">
        <v>4161</v>
      </c>
    </row>
    <row r="186" spans="1:6" x14ac:dyDescent="0.3">
      <c r="A186" t="str">
        <f>"05"</f>
        <v>05</v>
      </c>
      <c r="B186" t="str">
        <f>"05.0107"</f>
        <v>05.0107</v>
      </c>
      <c r="C186" t="s">
        <v>4160</v>
      </c>
      <c r="D186" t="s">
        <v>4159</v>
      </c>
      <c r="E186" t="s">
        <v>4158</v>
      </c>
    </row>
    <row r="187" spans="1:6" x14ac:dyDescent="0.3">
      <c r="A187" t="str">
        <f>"05"</f>
        <v>05</v>
      </c>
      <c r="B187" t="str">
        <f>"05.0108"</f>
        <v>05.0108</v>
      </c>
      <c r="C187" t="s">
        <v>4156</v>
      </c>
      <c r="D187" t="s">
        <v>4155</v>
      </c>
      <c r="E187" t="s">
        <v>6175</v>
      </c>
      <c r="F187" t="s">
        <v>4100</v>
      </c>
    </row>
    <row r="188" spans="1:6" x14ac:dyDescent="0.3">
      <c r="A188" t="str">
        <f>"05"</f>
        <v>05</v>
      </c>
      <c r="B188" t="str">
        <f>"05.0109"</f>
        <v>05.0109</v>
      </c>
      <c r="C188" t="s">
        <v>4154</v>
      </c>
      <c r="D188" t="s">
        <v>4153</v>
      </c>
    </row>
    <row r="189" spans="1:6" x14ac:dyDescent="0.3">
      <c r="A189" t="str">
        <f>"05"</f>
        <v>05</v>
      </c>
      <c r="B189" t="str">
        <f>"05.0110"</f>
        <v>05.0110</v>
      </c>
      <c r="C189" t="s">
        <v>4152</v>
      </c>
      <c r="D189" t="s">
        <v>4151</v>
      </c>
      <c r="E189" t="s">
        <v>4150</v>
      </c>
    </row>
    <row r="190" spans="1:6" x14ac:dyDescent="0.3">
      <c r="A190" t="str">
        <f>"05"</f>
        <v>05</v>
      </c>
      <c r="B190" t="str">
        <f>"05.0111"</f>
        <v>05.0111</v>
      </c>
      <c r="C190" t="s">
        <v>4149</v>
      </c>
      <c r="D190" t="s">
        <v>6174</v>
      </c>
    </row>
    <row r="191" spans="1:6" x14ac:dyDescent="0.3">
      <c r="A191" t="str">
        <f>"05"</f>
        <v>05</v>
      </c>
      <c r="B191" t="str">
        <f>"05.0112"</f>
        <v>05.0112</v>
      </c>
      <c r="C191" t="s">
        <v>4148</v>
      </c>
      <c r="D191" t="s">
        <v>4147</v>
      </c>
      <c r="F191" t="s">
        <v>6173</v>
      </c>
    </row>
    <row r="192" spans="1:6" x14ac:dyDescent="0.3">
      <c r="A192" t="str">
        <f>"05"</f>
        <v>05</v>
      </c>
      <c r="B192" t="str">
        <f>"05.0113"</f>
        <v>05.0113</v>
      </c>
      <c r="C192" t="s">
        <v>4146</v>
      </c>
      <c r="D192" t="s">
        <v>4145</v>
      </c>
    </row>
    <row r="193" spans="1:4" x14ac:dyDescent="0.3">
      <c r="A193" t="str">
        <f>"05"</f>
        <v>05</v>
      </c>
      <c r="B193" t="str">
        <f>"05.0114"</f>
        <v>05.0114</v>
      </c>
      <c r="C193" t="s">
        <v>4144</v>
      </c>
      <c r="D193" t="s">
        <v>4143</v>
      </c>
    </row>
    <row r="194" spans="1:4" x14ac:dyDescent="0.3">
      <c r="A194" t="str">
        <f>"05"</f>
        <v>05</v>
      </c>
      <c r="B194" t="str">
        <f>"05.0115"</f>
        <v>05.0115</v>
      </c>
      <c r="C194" t="s">
        <v>4142</v>
      </c>
      <c r="D194" t="s">
        <v>4141</v>
      </c>
    </row>
    <row r="195" spans="1:4" x14ac:dyDescent="0.3">
      <c r="A195" t="str">
        <f>"05"</f>
        <v>05</v>
      </c>
      <c r="B195" t="str">
        <f>"05.0116"</f>
        <v>05.0116</v>
      </c>
      <c r="C195" t="s">
        <v>4140</v>
      </c>
      <c r="D195" t="s">
        <v>4139</v>
      </c>
    </row>
    <row r="196" spans="1:4" x14ac:dyDescent="0.3">
      <c r="A196" t="str">
        <f>"05"</f>
        <v>05</v>
      </c>
      <c r="B196" t="str">
        <f>"05.0117"</f>
        <v>05.0117</v>
      </c>
      <c r="C196" t="s">
        <v>4138</v>
      </c>
      <c r="D196" t="s">
        <v>4137</v>
      </c>
    </row>
    <row r="197" spans="1:4" x14ac:dyDescent="0.3">
      <c r="A197" t="str">
        <f>"05"</f>
        <v>05</v>
      </c>
      <c r="B197" t="str">
        <f>"05.0118"</f>
        <v>05.0118</v>
      </c>
      <c r="C197" t="s">
        <v>4136</v>
      </c>
      <c r="D197" t="s">
        <v>4135</v>
      </c>
    </row>
    <row r="198" spans="1:4" x14ac:dyDescent="0.3">
      <c r="A198" t="str">
        <f>"05"</f>
        <v>05</v>
      </c>
      <c r="B198" t="str">
        <f>"05.0119"</f>
        <v>05.0119</v>
      </c>
      <c r="C198" t="s">
        <v>4134</v>
      </c>
      <c r="D198" t="s">
        <v>4133</v>
      </c>
    </row>
    <row r="199" spans="1:4" x14ac:dyDescent="0.3">
      <c r="A199" t="str">
        <f>"05"</f>
        <v>05</v>
      </c>
      <c r="B199" t="str">
        <f>"05.0120"</f>
        <v>05.0120</v>
      </c>
      <c r="C199" t="s">
        <v>4132</v>
      </c>
      <c r="D199" t="s">
        <v>4131</v>
      </c>
    </row>
    <row r="200" spans="1:4" x14ac:dyDescent="0.3">
      <c r="A200" t="str">
        <f>"05"</f>
        <v>05</v>
      </c>
      <c r="B200" t="str">
        <f>"05.0121"</f>
        <v>05.0121</v>
      </c>
      <c r="C200" t="s">
        <v>4130</v>
      </c>
      <c r="D200" t="s">
        <v>4129</v>
      </c>
    </row>
    <row r="201" spans="1:4" x14ac:dyDescent="0.3">
      <c r="A201" t="str">
        <f>"05"</f>
        <v>05</v>
      </c>
      <c r="B201" t="str">
        <f>"05.0122"</f>
        <v>05.0122</v>
      </c>
      <c r="C201" t="s">
        <v>6172</v>
      </c>
      <c r="D201" t="s">
        <v>6171</v>
      </c>
    </row>
    <row r="202" spans="1:4" x14ac:dyDescent="0.3">
      <c r="A202" t="str">
        <f>"05"</f>
        <v>05</v>
      </c>
      <c r="B202" t="str">
        <f>"05.0123"</f>
        <v>05.0123</v>
      </c>
      <c r="C202" t="s">
        <v>4128</v>
      </c>
      <c r="D202" t="s">
        <v>4127</v>
      </c>
    </row>
    <row r="203" spans="1:4" x14ac:dyDescent="0.3">
      <c r="A203" t="str">
        <f>"05"</f>
        <v>05</v>
      </c>
      <c r="B203" t="str">
        <f>"05.0124"</f>
        <v>05.0124</v>
      </c>
      <c r="C203" t="s">
        <v>4126</v>
      </c>
      <c r="D203" t="s">
        <v>4125</v>
      </c>
    </row>
    <row r="204" spans="1:4" x14ac:dyDescent="0.3">
      <c r="A204" t="str">
        <f>"05"</f>
        <v>05</v>
      </c>
      <c r="B204" t="str">
        <f>"05.0125"</f>
        <v>05.0125</v>
      </c>
      <c r="C204" t="s">
        <v>4124</v>
      </c>
      <c r="D204" t="s">
        <v>4123</v>
      </c>
    </row>
    <row r="205" spans="1:4" x14ac:dyDescent="0.3">
      <c r="A205" t="str">
        <f>"05"</f>
        <v>05</v>
      </c>
      <c r="B205" t="str">
        <f>"05.0126"</f>
        <v>05.0126</v>
      </c>
      <c r="C205" t="s">
        <v>4122</v>
      </c>
      <c r="D205" t="s">
        <v>4121</v>
      </c>
    </row>
    <row r="206" spans="1:4" x14ac:dyDescent="0.3">
      <c r="A206" t="str">
        <f>"05"</f>
        <v>05</v>
      </c>
      <c r="B206" t="str">
        <f>"05.0127"</f>
        <v>05.0127</v>
      </c>
      <c r="C206" t="s">
        <v>4120</v>
      </c>
      <c r="D206" t="s">
        <v>4119</v>
      </c>
    </row>
    <row r="207" spans="1:4" x14ac:dyDescent="0.3">
      <c r="A207" t="str">
        <f>"05"</f>
        <v>05</v>
      </c>
      <c r="B207" t="str">
        <f>"05.0128"</f>
        <v>05.0128</v>
      </c>
      <c r="C207" t="s">
        <v>4118</v>
      </c>
      <c r="D207" t="s">
        <v>4117</v>
      </c>
    </row>
    <row r="208" spans="1:4" x14ac:dyDescent="0.3">
      <c r="A208" t="str">
        <f>"05"</f>
        <v>05</v>
      </c>
      <c r="B208" t="str">
        <f>"05.0129"</f>
        <v>05.0129</v>
      </c>
      <c r="C208" t="s">
        <v>4116</v>
      </c>
      <c r="D208" t="s">
        <v>4115</v>
      </c>
    </row>
    <row r="209" spans="1:6" x14ac:dyDescent="0.3">
      <c r="A209" t="str">
        <f>"05"</f>
        <v>05</v>
      </c>
      <c r="B209" t="str">
        <f>"05.0130"</f>
        <v>05.0130</v>
      </c>
      <c r="C209" t="s">
        <v>4114</v>
      </c>
      <c r="D209" t="s">
        <v>4113</v>
      </c>
    </row>
    <row r="210" spans="1:6" x14ac:dyDescent="0.3">
      <c r="A210" t="str">
        <f>"05"</f>
        <v>05</v>
      </c>
      <c r="B210" t="str">
        <f>"05.0131"</f>
        <v>05.0131</v>
      </c>
      <c r="C210" t="s">
        <v>4112</v>
      </c>
      <c r="D210" t="s">
        <v>4111</v>
      </c>
    </row>
    <row r="211" spans="1:6" x14ac:dyDescent="0.3">
      <c r="A211" t="str">
        <f>"05"</f>
        <v>05</v>
      </c>
      <c r="B211" t="str">
        <f>"05.0132"</f>
        <v>05.0132</v>
      </c>
      <c r="C211" t="s">
        <v>4110</v>
      </c>
      <c r="D211" t="s">
        <v>4109</v>
      </c>
    </row>
    <row r="212" spans="1:6" x14ac:dyDescent="0.3">
      <c r="A212" t="str">
        <f>"05"</f>
        <v>05</v>
      </c>
      <c r="B212" t="str">
        <f>"05.0133"</f>
        <v>05.0133</v>
      </c>
      <c r="C212" t="s">
        <v>4108</v>
      </c>
      <c r="D212" t="s">
        <v>4107</v>
      </c>
    </row>
    <row r="213" spans="1:6" x14ac:dyDescent="0.3">
      <c r="A213" t="str">
        <f>"05"</f>
        <v>05</v>
      </c>
      <c r="B213" t="str">
        <f>"05.0134"</f>
        <v>05.0134</v>
      </c>
      <c r="C213" t="s">
        <v>4106</v>
      </c>
      <c r="D213" t="s">
        <v>4105</v>
      </c>
      <c r="E213" t="s">
        <v>6170</v>
      </c>
    </row>
    <row r="214" spans="1:6" x14ac:dyDescent="0.3">
      <c r="A214" t="str">
        <f>"05"</f>
        <v>05</v>
      </c>
      <c r="B214" t="str">
        <f>"05.0135"</f>
        <v>05.0135</v>
      </c>
      <c r="C214" t="s">
        <v>6169</v>
      </c>
      <c r="D214" t="s">
        <v>6168</v>
      </c>
    </row>
    <row r="215" spans="1:6" x14ac:dyDescent="0.3">
      <c r="A215" t="str">
        <f>"05"</f>
        <v>05</v>
      </c>
      <c r="B215" t="str">
        <f>"05.0136"</f>
        <v>05.0136</v>
      </c>
      <c r="C215" t="s">
        <v>6167</v>
      </c>
      <c r="D215" t="s">
        <v>6166</v>
      </c>
    </row>
    <row r="216" spans="1:6" x14ac:dyDescent="0.3">
      <c r="A216" t="str">
        <f>"05"</f>
        <v>05</v>
      </c>
      <c r="B216" t="str">
        <f>"05.0199"</f>
        <v>05.0199</v>
      </c>
      <c r="C216" t="s">
        <v>4104</v>
      </c>
      <c r="D216" t="s">
        <v>4103</v>
      </c>
    </row>
    <row r="217" spans="1:6" x14ac:dyDescent="0.3">
      <c r="A217" t="str">
        <f>"05"</f>
        <v>05</v>
      </c>
      <c r="B217" t="str">
        <f>"05.02"</f>
        <v>05.02</v>
      </c>
      <c r="C217" t="s">
        <v>4102</v>
      </c>
      <c r="D217" t="s">
        <v>4101</v>
      </c>
    </row>
    <row r="218" spans="1:6" x14ac:dyDescent="0.3">
      <c r="A218" t="str">
        <f>"05"</f>
        <v>05</v>
      </c>
      <c r="B218" t="str">
        <f>"05.0200"</f>
        <v>05.0200</v>
      </c>
      <c r="C218" t="s">
        <v>4099</v>
      </c>
      <c r="D218" t="s">
        <v>4098</v>
      </c>
      <c r="E218" t="s">
        <v>6165</v>
      </c>
    </row>
    <row r="219" spans="1:6" x14ac:dyDescent="0.3">
      <c r="A219" t="str">
        <f>"05"</f>
        <v>05</v>
      </c>
      <c r="B219" t="str">
        <f>"05.0201"</f>
        <v>05.0201</v>
      </c>
      <c r="C219" t="s">
        <v>4097</v>
      </c>
      <c r="D219" t="s">
        <v>4096</v>
      </c>
      <c r="E219" t="s">
        <v>4095</v>
      </c>
    </row>
    <row r="220" spans="1:6" x14ac:dyDescent="0.3">
      <c r="A220" t="str">
        <f>"05"</f>
        <v>05</v>
      </c>
      <c r="B220" t="str">
        <f>"05.0202"</f>
        <v>05.0202</v>
      </c>
      <c r="C220" t="s">
        <v>4094</v>
      </c>
      <c r="D220" t="s">
        <v>4093</v>
      </c>
    </row>
    <row r="221" spans="1:6" x14ac:dyDescent="0.3">
      <c r="A221" t="str">
        <f>"05"</f>
        <v>05</v>
      </c>
      <c r="B221" t="str">
        <f>"05.0203"</f>
        <v>05.0203</v>
      </c>
      <c r="C221" t="s">
        <v>4092</v>
      </c>
      <c r="D221" t="s">
        <v>4091</v>
      </c>
      <c r="E221" t="s">
        <v>4090</v>
      </c>
    </row>
    <row r="222" spans="1:6" x14ac:dyDescent="0.3">
      <c r="A222" t="str">
        <f>"05"</f>
        <v>05</v>
      </c>
      <c r="B222" t="str">
        <f>"05.0206"</f>
        <v>05.0206</v>
      </c>
      <c r="C222" t="s">
        <v>4089</v>
      </c>
      <c r="D222" t="s">
        <v>4088</v>
      </c>
      <c r="E222" t="s">
        <v>4087</v>
      </c>
    </row>
    <row r="223" spans="1:6" x14ac:dyDescent="0.3">
      <c r="A223" t="str">
        <f>"05"</f>
        <v>05</v>
      </c>
      <c r="B223" t="str">
        <f>"05.0207"</f>
        <v>05.0207</v>
      </c>
      <c r="C223" t="s">
        <v>4086</v>
      </c>
      <c r="D223" t="s">
        <v>4085</v>
      </c>
      <c r="F223" t="s">
        <v>4082</v>
      </c>
    </row>
    <row r="224" spans="1:6" x14ac:dyDescent="0.3">
      <c r="A224" t="str">
        <f>"05"</f>
        <v>05</v>
      </c>
      <c r="B224" t="str">
        <f>"05.0208"</f>
        <v>05.0208</v>
      </c>
      <c r="C224" t="s">
        <v>4084</v>
      </c>
      <c r="D224" t="s">
        <v>4083</v>
      </c>
    </row>
    <row r="225" spans="1:6" x14ac:dyDescent="0.3">
      <c r="A225" t="str">
        <f>"05"</f>
        <v>05</v>
      </c>
      <c r="B225" t="str">
        <f>"05.0209"</f>
        <v>05.0209</v>
      </c>
      <c r="C225" t="s">
        <v>4081</v>
      </c>
      <c r="D225" t="s">
        <v>4080</v>
      </c>
      <c r="F225" t="s">
        <v>4077</v>
      </c>
    </row>
    <row r="226" spans="1:6" x14ac:dyDescent="0.3">
      <c r="A226" t="str">
        <f>"05"</f>
        <v>05</v>
      </c>
      <c r="B226" t="str">
        <f>"05.0210"</f>
        <v>05.0210</v>
      </c>
      <c r="C226" t="s">
        <v>4079</v>
      </c>
      <c r="D226" t="s">
        <v>4078</v>
      </c>
    </row>
    <row r="227" spans="1:6" x14ac:dyDescent="0.3">
      <c r="A227" t="str">
        <f>"05"</f>
        <v>05</v>
      </c>
      <c r="B227" t="str">
        <f>"05.0211"</f>
        <v>05.0211</v>
      </c>
      <c r="C227" t="s">
        <v>4076</v>
      </c>
      <c r="D227" t="s">
        <v>4075</v>
      </c>
      <c r="E227" t="s">
        <v>4074</v>
      </c>
      <c r="F227" t="s">
        <v>4073</v>
      </c>
    </row>
    <row r="228" spans="1:6" x14ac:dyDescent="0.3">
      <c r="A228" t="str">
        <f>"05"</f>
        <v>05</v>
      </c>
      <c r="B228" t="str">
        <f>"05.0212"</f>
        <v>05.0212</v>
      </c>
      <c r="C228" t="s">
        <v>6164</v>
      </c>
      <c r="D228" t="s">
        <v>6163</v>
      </c>
      <c r="E228" t="s">
        <v>6162</v>
      </c>
    </row>
    <row r="229" spans="1:6" x14ac:dyDescent="0.3">
      <c r="A229" t="str">
        <f>"05"</f>
        <v>05</v>
      </c>
      <c r="B229" t="str">
        <f>"05.0299"</f>
        <v>05.0299</v>
      </c>
      <c r="C229" t="s">
        <v>4072</v>
      </c>
      <c r="D229" t="s">
        <v>4071</v>
      </c>
      <c r="F229" t="s">
        <v>4066</v>
      </c>
    </row>
    <row r="230" spans="1:6" x14ac:dyDescent="0.3">
      <c r="A230" t="str">
        <f>"05"</f>
        <v>05</v>
      </c>
      <c r="B230" t="str">
        <f>"05.99"</f>
        <v>05.99</v>
      </c>
      <c r="C230" t="s">
        <v>6160</v>
      </c>
      <c r="D230" t="s">
        <v>6161</v>
      </c>
    </row>
    <row r="231" spans="1:6" x14ac:dyDescent="0.3">
      <c r="A231" t="str">
        <f>"05"</f>
        <v>05</v>
      </c>
      <c r="B231" t="str">
        <f>"05.9999"</f>
        <v>05.9999</v>
      </c>
      <c r="C231" t="s">
        <v>6160</v>
      </c>
      <c r="D231" t="s">
        <v>6159</v>
      </c>
    </row>
    <row r="232" spans="1:6" x14ac:dyDescent="0.3">
      <c r="A232" t="str">
        <f>"09"</f>
        <v>09</v>
      </c>
      <c r="B232" t="str">
        <f>"09"</f>
        <v>09</v>
      </c>
      <c r="C232" t="s">
        <v>4070</v>
      </c>
      <c r="D232" t="s">
        <v>4069</v>
      </c>
    </row>
    <row r="233" spans="1:6" x14ac:dyDescent="0.3">
      <c r="A233" t="str">
        <f>"09"</f>
        <v>09</v>
      </c>
      <c r="B233" t="str">
        <f>"09.01"</f>
        <v>09.01</v>
      </c>
      <c r="C233" t="s">
        <v>4068</v>
      </c>
      <c r="D233" t="s">
        <v>4067</v>
      </c>
    </row>
    <row r="234" spans="1:6" x14ac:dyDescent="0.3">
      <c r="A234" t="str">
        <f>"09"</f>
        <v>09</v>
      </c>
      <c r="B234" t="str">
        <f>"09.0100"</f>
        <v>09.0100</v>
      </c>
      <c r="C234" t="s">
        <v>4065</v>
      </c>
      <c r="D234" t="s">
        <v>4064</v>
      </c>
      <c r="F234" t="s">
        <v>6158</v>
      </c>
    </row>
    <row r="235" spans="1:6" x14ac:dyDescent="0.3">
      <c r="A235" t="str">
        <f>"09"</f>
        <v>09</v>
      </c>
      <c r="B235" t="str">
        <f>"09.0101"</f>
        <v>09.0101</v>
      </c>
      <c r="C235" t="s">
        <v>4063</v>
      </c>
      <c r="D235" t="s">
        <v>4062</v>
      </c>
      <c r="E235" t="s">
        <v>4061</v>
      </c>
    </row>
    <row r="236" spans="1:6" x14ac:dyDescent="0.3">
      <c r="A236" t="str">
        <f>"09"</f>
        <v>09</v>
      </c>
      <c r="B236" t="str">
        <f>"09.0102"</f>
        <v>09.0102</v>
      </c>
      <c r="C236" t="s">
        <v>4060</v>
      </c>
      <c r="D236" t="s">
        <v>4059</v>
      </c>
      <c r="F236" t="s">
        <v>4048</v>
      </c>
    </row>
    <row r="237" spans="1:6" x14ac:dyDescent="0.3">
      <c r="A237" t="str">
        <f>"09"</f>
        <v>09</v>
      </c>
      <c r="B237" t="str">
        <f>"09.0199"</f>
        <v>09.0199</v>
      </c>
      <c r="C237" t="s">
        <v>4058</v>
      </c>
      <c r="D237" t="s">
        <v>4057</v>
      </c>
    </row>
    <row r="238" spans="1:6" x14ac:dyDescent="0.3">
      <c r="A238" t="str">
        <f>"09"</f>
        <v>09</v>
      </c>
      <c r="B238" t="str">
        <f>"09.04"</f>
        <v>09.04</v>
      </c>
      <c r="C238" t="s">
        <v>4055</v>
      </c>
      <c r="D238" t="s">
        <v>4056</v>
      </c>
    </row>
    <row r="239" spans="1:6" x14ac:dyDescent="0.3">
      <c r="A239" t="str">
        <f>"09"</f>
        <v>09</v>
      </c>
      <c r="B239" t="str">
        <f>"09.0401"</f>
        <v>09.0401</v>
      </c>
      <c r="C239" t="s">
        <v>4055</v>
      </c>
      <c r="D239" t="s">
        <v>4054</v>
      </c>
    </row>
    <row r="240" spans="1:6" x14ac:dyDescent="0.3">
      <c r="A240" t="str">
        <f>"09"</f>
        <v>09</v>
      </c>
      <c r="B240" t="str">
        <f>"09.0402"</f>
        <v>09.0402</v>
      </c>
      <c r="C240" t="s">
        <v>4053</v>
      </c>
      <c r="D240" t="s">
        <v>4052</v>
      </c>
    </row>
    <row r="241" spans="1:6" x14ac:dyDescent="0.3">
      <c r="A241" t="str">
        <f>"09"</f>
        <v>09</v>
      </c>
      <c r="B241" t="str">
        <f>"09.0404"</f>
        <v>09.0404</v>
      </c>
      <c r="C241" t="s">
        <v>4051</v>
      </c>
      <c r="D241" t="s">
        <v>4050</v>
      </c>
      <c r="E241" t="s">
        <v>4049</v>
      </c>
    </row>
    <row r="242" spans="1:6" x14ac:dyDescent="0.3">
      <c r="A242" t="str">
        <f>"09"</f>
        <v>09</v>
      </c>
      <c r="B242" t="str">
        <f>"09.0405"</f>
        <v>09.0405</v>
      </c>
      <c r="C242" t="s">
        <v>6157</v>
      </c>
      <c r="D242" t="s">
        <v>6156</v>
      </c>
    </row>
    <row r="243" spans="1:6" x14ac:dyDescent="0.3">
      <c r="A243" t="str">
        <f>"09"</f>
        <v>09</v>
      </c>
      <c r="B243" t="str">
        <f>"09.0406"</f>
        <v>09.0406</v>
      </c>
      <c r="C243" t="s">
        <v>6155</v>
      </c>
      <c r="D243" t="s">
        <v>6154</v>
      </c>
    </row>
    <row r="244" spans="1:6" x14ac:dyDescent="0.3">
      <c r="A244" t="str">
        <f>"09"</f>
        <v>09</v>
      </c>
      <c r="B244" t="str">
        <f>"09.0407"</f>
        <v>09.0407</v>
      </c>
      <c r="C244" t="s">
        <v>6153</v>
      </c>
      <c r="D244" t="s">
        <v>6152</v>
      </c>
      <c r="E244" t="s">
        <v>6151</v>
      </c>
    </row>
    <row r="245" spans="1:6" x14ac:dyDescent="0.3">
      <c r="A245" t="str">
        <f>"09"</f>
        <v>09</v>
      </c>
      <c r="B245" t="str">
        <f>"09.0499"</f>
        <v>09.0499</v>
      </c>
      <c r="C245" t="s">
        <v>4047</v>
      </c>
      <c r="D245" t="s">
        <v>4046</v>
      </c>
      <c r="F245" t="s">
        <v>4043</v>
      </c>
    </row>
    <row r="246" spans="1:6" x14ac:dyDescent="0.3">
      <c r="A246" t="str">
        <f>"09"</f>
        <v>09</v>
      </c>
      <c r="B246" t="str">
        <f>"09.07"</f>
        <v>09.07</v>
      </c>
      <c r="C246" t="s">
        <v>4045</v>
      </c>
      <c r="D246" t="s">
        <v>4044</v>
      </c>
    </row>
    <row r="247" spans="1:6" x14ac:dyDescent="0.3">
      <c r="A247" t="str">
        <f>"09"</f>
        <v>09</v>
      </c>
      <c r="B247" t="str">
        <f>"09.0701"</f>
        <v>09.0701</v>
      </c>
      <c r="C247" t="s">
        <v>4042</v>
      </c>
      <c r="D247" t="s">
        <v>4041</v>
      </c>
      <c r="F247" t="s">
        <v>4040</v>
      </c>
    </row>
    <row r="248" spans="1:6" x14ac:dyDescent="0.3">
      <c r="A248" t="str">
        <f>"09"</f>
        <v>09</v>
      </c>
      <c r="B248" t="str">
        <f>"09.0702"</f>
        <v>09.0702</v>
      </c>
      <c r="C248" t="s">
        <v>4039</v>
      </c>
      <c r="D248" t="s">
        <v>4038</v>
      </c>
      <c r="E248" t="s">
        <v>4037</v>
      </c>
      <c r="F248" t="s">
        <v>4033</v>
      </c>
    </row>
    <row r="249" spans="1:6" x14ac:dyDescent="0.3">
      <c r="A249" t="str">
        <f>"09"</f>
        <v>09</v>
      </c>
      <c r="B249" t="str">
        <f>"09.0799"</f>
        <v>09.0799</v>
      </c>
      <c r="C249" t="s">
        <v>4036</v>
      </c>
      <c r="D249" t="s">
        <v>4035</v>
      </c>
    </row>
    <row r="250" spans="1:6" x14ac:dyDescent="0.3">
      <c r="A250" t="str">
        <f>"09"</f>
        <v>09</v>
      </c>
      <c r="B250" t="str">
        <f>"09.09"</f>
        <v>09.09</v>
      </c>
      <c r="C250" t="s">
        <v>4032</v>
      </c>
      <c r="D250" t="s">
        <v>4034</v>
      </c>
    </row>
    <row r="251" spans="1:6" x14ac:dyDescent="0.3">
      <c r="A251" t="str">
        <f>"09"</f>
        <v>09</v>
      </c>
      <c r="B251" t="str">
        <f>"09.0900"</f>
        <v>09.0900</v>
      </c>
      <c r="C251" t="s">
        <v>4032</v>
      </c>
      <c r="D251" t="s">
        <v>4031</v>
      </c>
      <c r="E251" t="s">
        <v>6150</v>
      </c>
      <c r="F251" t="s">
        <v>4020</v>
      </c>
    </row>
    <row r="252" spans="1:6" x14ac:dyDescent="0.3">
      <c r="A252" t="str">
        <f>"09"</f>
        <v>09</v>
      </c>
      <c r="B252" t="str">
        <f>"09.0901"</f>
        <v>09.0901</v>
      </c>
      <c r="C252" t="s">
        <v>4030</v>
      </c>
      <c r="D252" t="s">
        <v>4029</v>
      </c>
      <c r="E252" t="s">
        <v>1868</v>
      </c>
    </row>
    <row r="253" spans="1:6" x14ac:dyDescent="0.3">
      <c r="A253" t="str">
        <f>"09"</f>
        <v>09</v>
      </c>
      <c r="B253" t="str">
        <f>"09.0902"</f>
        <v>09.0902</v>
      </c>
      <c r="C253" t="s">
        <v>4028</v>
      </c>
      <c r="D253" t="s">
        <v>4027</v>
      </c>
      <c r="E253" t="s">
        <v>4026</v>
      </c>
      <c r="F253" t="s">
        <v>6149</v>
      </c>
    </row>
    <row r="254" spans="1:6" x14ac:dyDescent="0.3">
      <c r="A254" t="str">
        <f>"09"</f>
        <v>09</v>
      </c>
      <c r="B254" t="str">
        <f>"09.0903"</f>
        <v>09.0903</v>
      </c>
      <c r="C254" t="s">
        <v>4025</v>
      </c>
      <c r="D254" t="s">
        <v>4024</v>
      </c>
      <c r="E254" t="s">
        <v>4023</v>
      </c>
    </row>
    <row r="255" spans="1:6" x14ac:dyDescent="0.3">
      <c r="A255" t="str">
        <f>"09"</f>
        <v>09</v>
      </c>
      <c r="B255" t="str">
        <f>"09.0904"</f>
        <v>09.0904</v>
      </c>
      <c r="C255" t="s">
        <v>4022</v>
      </c>
      <c r="D255" t="s">
        <v>4021</v>
      </c>
    </row>
    <row r="256" spans="1:6" x14ac:dyDescent="0.3">
      <c r="A256" t="str">
        <f>"09"</f>
        <v>09</v>
      </c>
      <c r="B256" t="str">
        <f>"09.0905"</f>
        <v>09.0905</v>
      </c>
      <c r="C256" t="s">
        <v>4019</v>
      </c>
      <c r="D256" t="s">
        <v>4018</v>
      </c>
      <c r="F256" t="s">
        <v>4011</v>
      </c>
    </row>
    <row r="257" spans="1:6" x14ac:dyDescent="0.3">
      <c r="A257" t="str">
        <f>"09"</f>
        <v>09</v>
      </c>
      <c r="B257" t="str">
        <f>"09.0906"</f>
        <v>09.0906</v>
      </c>
      <c r="C257" t="s">
        <v>4017</v>
      </c>
      <c r="D257" t="s">
        <v>4016</v>
      </c>
      <c r="E257" t="s">
        <v>4015</v>
      </c>
    </row>
    <row r="258" spans="1:6" x14ac:dyDescent="0.3">
      <c r="A258" t="str">
        <f>"09"</f>
        <v>09</v>
      </c>
      <c r="B258" t="str">
        <f>"09.0907"</f>
        <v>09.0907</v>
      </c>
      <c r="C258" t="s">
        <v>4014</v>
      </c>
      <c r="D258" t="s">
        <v>4013</v>
      </c>
      <c r="E258" t="s">
        <v>4012</v>
      </c>
    </row>
    <row r="259" spans="1:6" x14ac:dyDescent="0.3">
      <c r="A259" t="str">
        <f>"09"</f>
        <v>09</v>
      </c>
      <c r="B259" t="str">
        <f>"09.0908"</f>
        <v>09.0908</v>
      </c>
      <c r="C259" t="s">
        <v>4010</v>
      </c>
      <c r="D259" t="s">
        <v>4009</v>
      </c>
      <c r="E259" t="s">
        <v>4008</v>
      </c>
      <c r="F259" t="s">
        <v>3990</v>
      </c>
    </row>
    <row r="260" spans="1:6" x14ac:dyDescent="0.3">
      <c r="A260" t="str">
        <f>"09"</f>
        <v>09</v>
      </c>
      <c r="B260" t="str">
        <f>"09.0909"</f>
        <v>09.0909</v>
      </c>
      <c r="C260" t="s">
        <v>6148</v>
      </c>
      <c r="D260" t="s">
        <v>6147</v>
      </c>
    </row>
    <row r="261" spans="1:6" x14ac:dyDescent="0.3">
      <c r="A261" t="str">
        <f>"09"</f>
        <v>09</v>
      </c>
      <c r="B261" t="str">
        <f>"09.0999"</f>
        <v>09.0999</v>
      </c>
      <c r="C261" t="s">
        <v>6146</v>
      </c>
      <c r="D261" t="s">
        <v>4007</v>
      </c>
    </row>
    <row r="262" spans="1:6" x14ac:dyDescent="0.3">
      <c r="A262" t="str">
        <f>"09"</f>
        <v>09</v>
      </c>
      <c r="B262" t="str">
        <f>"09.10"</f>
        <v>09.10</v>
      </c>
      <c r="C262" t="s">
        <v>4005</v>
      </c>
      <c r="D262" t="s">
        <v>4006</v>
      </c>
    </row>
    <row r="263" spans="1:6" x14ac:dyDescent="0.3">
      <c r="A263" t="str">
        <f>"09"</f>
        <v>09</v>
      </c>
      <c r="B263" t="str">
        <f>"09.1001"</f>
        <v>09.1001</v>
      </c>
      <c r="C263" t="s">
        <v>4005</v>
      </c>
      <c r="D263" t="s">
        <v>4004</v>
      </c>
    </row>
    <row r="264" spans="1:6" x14ac:dyDescent="0.3">
      <c r="A264" t="str">
        <f>"09"</f>
        <v>09</v>
      </c>
      <c r="B264" t="str">
        <f>"09.99"</f>
        <v>09.99</v>
      </c>
      <c r="C264" t="s">
        <v>4002</v>
      </c>
      <c r="D264" t="s">
        <v>4003</v>
      </c>
    </row>
    <row r="265" spans="1:6" x14ac:dyDescent="0.3">
      <c r="A265" t="str">
        <f>"09"</f>
        <v>09</v>
      </c>
      <c r="B265" t="str">
        <f>"09.9999"</f>
        <v>09.9999</v>
      </c>
      <c r="C265" t="s">
        <v>4002</v>
      </c>
      <c r="D265" t="s">
        <v>4001</v>
      </c>
    </row>
    <row r="266" spans="1:6" x14ac:dyDescent="0.3">
      <c r="A266" t="str">
        <f>"10"</f>
        <v>10</v>
      </c>
      <c r="B266" t="str">
        <f>"10"</f>
        <v>10</v>
      </c>
      <c r="C266" t="s">
        <v>4000</v>
      </c>
      <c r="D266" t="s">
        <v>3999</v>
      </c>
    </row>
    <row r="267" spans="1:6" x14ac:dyDescent="0.3">
      <c r="A267" t="str">
        <f>"10"</f>
        <v>10</v>
      </c>
      <c r="B267" t="str">
        <f>"10.01"</f>
        <v>10.01</v>
      </c>
      <c r="C267" t="s">
        <v>6145</v>
      </c>
      <c r="D267" t="s">
        <v>3998</v>
      </c>
    </row>
    <row r="268" spans="1:6" x14ac:dyDescent="0.3">
      <c r="A268" t="str">
        <f>"10"</f>
        <v>10</v>
      </c>
      <c r="B268" t="str">
        <f>"10.0105"</f>
        <v>10.0105</v>
      </c>
      <c r="C268" t="s">
        <v>3997</v>
      </c>
      <c r="D268" t="s">
        <v>6144</v>
      </c>
    </row>
    <row r="269" spans="1:6" x14ac:dyDescent="0.3">
      <c r="A269" t="str">
        <f>"10"</f>
        <v>10</v>
      </c>
      <c r="B269" t="str">
        <f>"10.02"</f>
        <v>10.02</v>
      </c>
      <c r="C269" t="s">
        <v>3996</v>
      </c>
      <c r="D269" t="s">
        <v>3995</v>
      </c>
    </row>
    <row r="270" spans="1:6" x14ac:dyDescent="0.3">
      <c r="A270" t="str">
        <f>"10"</f>
        <v>10</v>
      </c>
      <c r="B270" t="str">
        <f>"10.0201"</f>
        <v>10.0201</v>
      </c>
      <c r="C270" t="s">
        <v>6143</v>
      </c>
      <c r="D270" t="s">
        <v>3994</v>
      </c>
      <c r="F270" t="s">
        <v>6142</v>
      </c>
    </row>
    <row r="271" spans="1:6" x14ac:dyDescent="0.3">
      <c r="A271" t="str">
        <f>"10"</f>
        <v>10</v>
      </c>
      <c r="B271" t="str">
        <f>"10.0202"</f>
        <v>10.0202</v>
      </c>
      <c r="C271" t="s">
        <v>3993</v>
      </c>
      <c r="D271" t="s">
        <v>3992</v>
      </c>
    </row>
    <row r="272" spans="1:6" x14ac:dyDescent="0.3">
      <c r="A272" t="str">
        <f>"10"</f>
        <v>10</v>
      </c>
      <c r="B272" t="str">
        <f>"10.0203"</f>
        <v>10.0203</v>
      </c>
      <c r="C272" t="s">
        <v>3991</v>
      </c>
      <c r="D272" t="s">
        <v>6141</v>
      </c>
      <c r="E272" t="s">
        <v>6140</v>
      </c>
    </row>
    <row r="273" spans="1:6" x14ac:dyDescent="0.3">
      <c r="A273" t="str">
        <f>"10"</f>
        <v>10</v>
      </c>
      <c r="B273" t="str">
        <f>"10.0204"</f>
        <v>10.0204</v>
      </c>
      <c r="C273" t="s">
        <v>6139</v>
      </c>
      <c r="D273" t="s">
        <v>6138</v>
      </c>
      <c r="E273" t="s">
        <v>6137</v>
      </c>
    </row>
    <row r="274" spans="1:6" x14ac:dyDescent="0.3">
      <c r="A274" t="str">
        <f>"10"</f>
        <v>10</v>
      </c>
      <c r="B274" t="str">
        <f>"10.0299"</f>
        <v>10.0299</v>
      </c>
      <c r="C274" t="s">
        <v>3989</v>
      </c>
      <c r="D274" t="s">
        <v>3988</v>
      </c>
      <c r="F274" t="s">
        <v>3954</v>
      </c>
    </row>
    <row r="275" spans="1:6" x14ac:dyDescent="0.3">
      <c r="A275" t="str">
        <f>"10"</f>
        <v>10</v>
      </c>
      <c r="B275" t="str">
        <f>"10.03"</f>
        <v>10.03</v>
      </c>
      <c r="C275" t="s">
        <v>3987</v>
      </c>
      <c r="D275" t="s">
        <v>3986</v>
      </c>
    </row>
    <row r="276" spans="1:6" x14ac:dyDescent="0.3">
      <c r="A276" t="str">
        <f>"10"</f>
        <v>10</v>
      </c>
      <c r="B276" t="str">
        <f>"10.0301"</f>
        <v>10.0301</v>
      </c>
      <c r="C276" t="s">
        <v>3985</v>
      </c>
      <c r="D276" t="s">
        <v>3984</v>
      </c>
      <c r="E276" t="s">
        <v>3983</v>
      </c>
    </row>
    <row r="277" spans="1:6" x14ac:dyDescent="0.3">
      <c r="A277" t="str">
        <f>"10"</f>
        <v>10</v>
      </c>
      <c r="B277" t="str">
        <f>"10.0302"</f>
        <v>10.0302</v>
      </c>
      <c r="C277" t="s">
        <v>3982</v>
      </c>
      <c r="D277" t="s">
        <v>3981</v>
      </c>
    </row>
    <row r="278" spans="1:6" x14ac:dyDescent="0.3">
      <c r="A278" t="str">
        <f>"10"</f>
        <v>10</v>
      </c>
      <c r="B278" t="str">
        <f>"10.0303"</f>
        <v>10.0303</v>
      </c>
      <c r="C278" t="s">
        <v>3980</v>
      </c>
      <c r="D278" t="s">
        <v>3979</v>
      </c>
    </row>
    <row r="279" spans="1:6" x14ac:dyDescent="0.3">
      <c r="A279" t="str">
        <f>"10"</f>
        <v>10</v>
      </c>
      <c r="B279" t="str">
        <f>"10.0304"</f>
        <v>10.0304</v>
      </c>
      <c r="C279" t="s">
        <v>6136</v>
      </c>
      <c r="D279" t="s">
        <v>3978</v>
      </c>
    </row>
    <row r="280" spans="1:6" x14ac:dyDescent="0.3">
      <c r="A280" t="str">
        <f>"10"</f>
        <v>10</v>
      </c>
      <c r="B280" t="str">
        <f>"10.0305"</f>
        <v>10.0305</v>
      </c>
      <c r="C280" t="s">
        <v>3977</v>
      </c>
      <c r="D280" t="s">
        <v>3976</v>
      </c>
    </row>
    <row r="281" spans="1:6" x14ac:dyDescent="0.3">
      <c r="A281" t="str">
        <f>"10"</f>
        <v>10</v>
      </c>
      <c r="B281" t="str">
        <f>"10.0306"</f>
        <v>10.0306</v>
      </c>
      <c r="C281" t="s">
        <v>3975</v>
      </c>
      <c r="D281" t="s">
        <v>3974</v>
      </c>
    </row>
    <row r="282" spans="1:6" x14ac:dyDescent="0.3">
      <c r="A282" t="str">
        <f>"10"</f>
        <v>10</v>
      </c>
      <c r="B282" t="str">
        <f>"10.0307"</f>
        <v>10.0307</v>
      </c>
      <c r="C282" t="s">
        <v>3973</v>
      </c>
      <c r="D282" t="s">
        <v>3972</v>
      </c>
    </row>
    <row r="283" spans="1:6" x14ac:dyDescent="0.3">
      <c r="A283" t="str">
        <f>"10"</f>
        <v>10</v>
      </c>
      <c r="B283" t="str">
        <f>"10.0308"</f>
        <v>10.0308</v>
      </c>
      <c r="C283" t="s">
        <v>3971</v>
      </c>
      <c r="D283" t="s">
        <v>3970</v>
      </c>
    </row>
    <row r="284" spans="1:6" x14ac:dyDescent="0.3">
      <c r="A284" t="str">
        <f>"10"</f>
        <v>10</v>
      </c>
      <c r="B284" t="str">
        <f>"10.0399"</f>
        <v>10.0399</v>
      </c>
      <c r="C284" t="s">
        <v>3969</v>
      </c>
      <c r="D284" t="s">
        <v>3968</v>
      </c>
    </row>
    <row r="285" spans="1:6" x14ac:dyDescent="0.3">
      <c r="A285" t="str">
        <f>"10"</f>
        <v>10</v>
      </c>
      <c r="B285" t="str">
        <f>"10.99"</f>
        <v>10.99</v>
      </c>
      <c r="C285" t="s">
        <v>3966</v>
      </c>
      <c r="D285" t="s">
        <v>3967</v>
      </c>
    </row>
    <row r="286" spans="1:6" x14ac:dyDescent="0.3">
      <c r="A286" t="str">
        <f>"10"</f>
        <v>10</v>
      </c>
      <c r="B286" t="str">
        <f>"10.9999"</f>
        <v>10.9999</v>
      </c>
      <c r="C286" t="s">
        <v>3966</v>
      </c>
      <c r="D286" t="s">
        <v>3965</v>
      </c>
    </row>
    <row r="287" spans="1:6" x14ac:dyDescent="0.3">
      <c r="A287" t="str">
        <f>"11"</f>
        <v>11</v>
      </c>
      <c r="B287" t="str">
        <f>"11"</f>
        <v>11</v>
      </c>
      <c r="C287" t="s">
        <v>3964</v>
      </c>
      <c r="D287" t="s">
        <v>3963</v>
      </c>
    </row>
    <row r="288" spans="1:6" x14ac:dyDescent="0.3">
      <c r="A288" t="str">
        <f>"11"</f>
        <v>11</v>
      </c>
      <c r="B288" t="str">
        <f>"11.01"</f>
        <v>11.01</v>
      </c>
      <c r="C288" t="s">
        <v>3961</v>
      </c>
      <c r="D288" t="s">
        <v>3962</v>
      </c>
    </row>
    <row r="289" spans="1:6" x14ac:dyDescent="0.3">
      <c r="A289" t="str">
        <f>"11"</f>
        <v>11</v>
      </c>
      <c r="B289" t="str">
        <f>"11.0101"</f>
        <v>11.0101</v>
      </c>
      <c r="C289" t="s">
        <v>3961</v>
      </c>
      <c r="D289" t="s">
        <v>3960</v>
      </c>
    </row>
    <row r="290" spans="1:6" x14ac:dyDescent="0.3">
      <c r="A290" t="str">
        <f>"11"</f>
        <v>11</v>
      </c>
      <c r="B290" t="str">
        <f>"11.0102"</f>
        <v>11.0102</v>
      </c>
      <c r="C290" t="s">
        <v>3959</v>
      </c>
      <c r="D290" t="s">
        <v>3958</v>
      </c>
      <c r="E290" t="s">
        <v>3957</v>
      </c>
    </row>
    <row r="291" spans="1:6" x14ac:dyDescent="0.3">
      <c r="A291" t="str">
        <f>"11"</f>
        <v>11</v>
      </c>
      <c r="B291" t="str">
        <f>"11.0103"</f>
        <v>11.0103</v>
      </c>
      <c r="C291" t="s">
        <v>3956</v>
      </c>
      <c r="D291" t="s">
        <v>3955</v>
      </c>
    </row>
    <row r="292" spans="1:6" x14ac:dyDescent="0.3">
      <c r="A292" t="str">
        <f>"11"</f>
        <v>11</v>
      </c>
      <c r="B292" t="str">
        <f>"11.0104"</f>
        <v>11.0104</v>
      </c>
      <c r="C292" t="s">
        <v>3953</v>
      </c>
      <c r="D292" t="s">
        <v>3952</v>
      </c>
      <c r="E292" t="s">
        <v>3951</v>
      </c>
      <c r="F292" t="s">
        <v>3902</v>
      </c>
    </row>
    <row r="293" spans="1:6" x14ac:dyDescent="0.3">
      <c r="A293" t="str">
        <f>"11"</f>
        <v>11</v>
      </c>
      <c r="B293" t="str">
        <f>"11.0105"</f>
        <v>11.0105</v>
      </c>
      <c r="C293" t="s">
        <v>6135</v>
      </c>
      <c r="D293" t="s">
        <v>6134</v>
      </c>
      <c r="E293" t="s">
        <v>5602</v>
      </c>
    </row>
    <row r="294" spans="1:6" x14ac:dyDescent="0.3">
      <c r="A294" t="str">
        <f>"11"</f>
        <v>11</v>
      </c>
      <c r="B294" t="str">
        <f>"11.0199"</f>
        <v>11.0199</v>
      </c>
      <c r="C294" t="s">
        <v>3950</v>
      </c>
      <c r="D294" t="s">
        <v>3949</v>
      </c>
    </row>
    <row r="295" spans="1:6" x14ac:dyDescent="0.3">
      <c r="A295" t="str">
        <f>"11"</f>
        <v>11</v>
      </c>
      <c r="B295" t="str">
        <f>"11.02"</f>
        <v>11.02</v>
      </c>
      <c r="C295" t="s">
        <v>3948</v>
      </c>
      <c r="D295" t="s">
        <v>3947</v>
      </c>
    </row>
    <row r="296" spans="1:6" x14ac:dyDescent="0.3">
      <c r="A296" t="str">
        <f>"11"</f>
        <v>11</v>
      </c>
      <c r="B296" t="str">
        <f>"11.0201"</f>
        <v>11.0201</v>
      </c>
      <c r="C296" t="s">
        <v>3946</v>
      </c>
      <c r="D296" t="s">
        <v>3945</v>
      </c>
    </row>
    <row r="297" spans="1:6" x14ac:dyDescent="0.3">
      <c r="A297" t="str">
        <f>"11"</f>
        <v>11</v>
      </c>
      <c r="B297" t="str">
        <f>"11.0202"</f>
        <v>11.0202</v>
      </c>
      <c r="C297" t="s">
        <v>3944</v>
      </c>
      <c r="D297" t="s">
        <v>3943</v>
      </c>
    </row>
    <row r="298" spans="1:6" x14ac:dyDescent="0.3">
      <c r="A298" t="str">
        <f>"11"</f>
        <v>11</v>
      </c>
      <c r="B298" t="str">
        <f>"11.0203"</f>
        <v>11.0203</v>
      </c>
      <c r="C298" t="s">
        <v>3942</v>
      </c>
      <c r="D298" t="s">
        <v>3941</v>
      </c>
    </row>
    <row r="299" spans="1:6" x14ac:dyDescent="0.3">
      <c r="A299" t="str">
        <f>"11"</f>
        <v>11</v>
      </c>
      <c r="B299" t="str">
        <f>"11.0204"</f>
        <v>11.0204</v>
      </c>
      <c r="C299" t="s">
        <v>6133</v>
      </c>
      <c r="D299" t="s">
        <v>6132</v>
      </c>
      <c r="E299" t="s">
        <v>3905</v>
      </c>
    </row>
    <row r="300" spans="1:6" x14ac:dyDescent="0.3">
      <c r="A300" t="str">
        <f>"11"</f>
        <v>11</v>
      </c>
      <c r="B300" t="str">
        <f>"11.0205"</f>
        <v>11.0205</v>
      </c>
      <c r="C300" t="s">
        <v>6131</v>
      </c>
      <c r="D300" t="s">
        <v>6130</v>
      </c>
    </row>
    <row r="301" spans="1:6" x14ac:dyDescent="0.3">
      <c r="A301" t="str">
        <f>"11"</f>
        <v>11</v>
      </c>
      <c r="B301" t="str">
        <f>"11.0299"</f>
        <v>11.0299</v>
      </c>
      <c r="C301" t="s">
        <v>3940</v>
      </c>
      <c r="D301" t="s">
        <v>3939</v>
      </c>
    </row>
    <row r="302" spans="1:6" x14ac:dyDescent="0.3">
      <c r="A302" t="str">
        <f>"11"</f>
        <v>11</v>
      </c>
      <c r="B302" t="str">
        <f>"11.03"</f>
        <v>11.03</v>
      </c>
      <c r="C302" t="s">
        <v>3938</v>
      </c>
      <c r="D302" t="s">
        <v>3937</v>
      </c>
    </row>
    <row r="303" spans="1:6" x14ac:dyDescent="0.3">
      <c r="A303" t="str">
        <f>"11"</f>
        <v>11</v>
      </c>
      <c r="B303" t="str">
        <f>"11.0301"</f>
        <v>11.0301</v>
      </c>
      <c r="C303" t="s">
        <v>3936</v>
      </c>
      <c r="D303" t="s">
        <v>3935</v>
      </c>
    </row>
    <row r="304" spans="1:6" x14ac:dyDescent="0.3">
      <c r="A304" t="str">
        <f>"11"</f>
        <v>11</v>
      </c>
      <c r="B304" t="str">
        <f>"11.04"</f>
        <v>11.04</v>
      </c>
      <c r="C304" t="s">
        <v>3933</v>
      </c>
      <c r="D304" t="s">
        <v>3934</v>
      </c>
    </row>
    <row r="305" spans="1:5" x14ac:dyDescent="0.3">
      <c r="A305" t="str">
        <f>"11"</f>
        <v>11</v>
      </c>
      <c r="B305" t="str">
        <f>"11.0401"</f>
        <v>11.0401</v>
      </c>
      <c r="C305" t="s">
        <v>3933</v>
      </c>
      <c r="D305" t="s">
        <v>3932</v>
      </c>
      <c r="E305" t="s">
        <v>3931</v>
      </c>
    </row>
    <row r="306" spans="1:5" x14ac:dyDescent="0.3">
      <c r="A306" t="str">
        <f>"11"</f>
        <v>11</v>
      </c>
      <c r="B306" t="str">
        <f>"11.05"</f>
        <v>11.05</v>
      </c>
      <c r="C306" t="s">
        <v>3930</v>
      </c>
      <c r="D306" t="s">
        <v>3929</v>
      </c>
    </row>
    <row r="307" spans="1:5" x14ac:dyDescent="0.3">
      <c r="A307" t="str">
        <f>"11"</f>
        <v>11</v>
      </c>
      <c r="B307" t="str">
        <f>"11.0501"</f>
        <v>11.0501</v>
      </c>
      <c r="C307" t="s">
        <v>3928</v>
      </c>
      <c r="D307" t="s">
        <v>3927</v>
      </c>
      <c r="E307" t="s">
        <v>2380</v>
      </c>
    </row>
    <row r="308" spans="1:5" x14ac:dyDescent="0.3">
      <c r="A308" t="str">
        <f>"11"</f>
        <v>11</v>
      </c>
      <c r="B308" t="str">
        <f>"11.06"</f>
        <v>11.06</v>
      </c>
      <c r="C308" t="s">
        <v>3926</v>
      </c>
      <c r="D308" t="s">
        <v>3925</v>
      </c>
    </row>
    <row r="309" spans="1:5" x14ac:dyDescent="0.3">
      <c r="A309" t="str">
        <f>"11"</f>
        <v>11</v>
      </c>
      <c r="B309" t="str">
        <f>"11.0601"</f>
        <v>11.0601</v>
      </c>
      <c r="C309" t="s">
        <v>3924</v>
      </c>
      <c r="D309" t="s">
        <v>3923</v>
      </c>
    </row>
    <row r="310" spans="1:5" x14ac:dyDescent="0.3">
      <c r="A310" t="str">
        <f>"11"</f>
        <v>11</v>
      </c>
      <c r="B310" t="str">
        <f>"11.0602"</f>
        <v>11.0602</v>
      </c>
      <c r="C310" t="s">
        <v>3922</v>
      </c>
      <c r="D310" t="s">
        <v>3921</v>
      </c>
    </row>
    <row r="311" spans="1:5" x14ac:dyDescent="0.3">
      <c r="A311" t="str">
        <f>"11"</f>
        <v>11</v>
      </c>
      <c r="B311" t="str">
        <f>"11.0699"</f>
        <v>11.0699</v>
      </c>
      <c r="C311" t="s">
        <v>3920</v>
      </c>
      <c r="D311" t="s">
        <v>3919</v>
      </c>
    </row>
    <row r="312" spans="1:5" x14ac:dyDescent="0.3">
      <c r="A312" t="str">
        <f>"11"</f>
        <v>11</v>
      </c>
      <c r="B312" t="str">
        <f>"11.07"</f>
        <v>11.07</v>
      </c>
      <c r="C312" t="s">
        <v>3917</v>
      </c>
      <c r="D312" t="s">
        <v>3918</v>
      </c>
    </row>
    <row r="313" spans="1:5" x14ac:dyDescent="0.3">
      <c r="A313" t="str">
        <f>"11"</f>
        <v>11</v>
      </c>
      <c r="B313" t="str">
        <f>"11.0701"</f>
        <v>11.0701</v>
      </c>
      <c r="C313" t="s">
        <v>3917</v>
      </c>
      <c r="D313" t="s">
        <v>3916</v>
      </c>
      <c r="E313" t="s">
        <v>3915</v>
      </c>
    </row>
    <row r="314" spans="1:5" x14ac:dyDescent="0.3">
      <c r="A314" t="str">
        <f>"11"</f>
        <v>11</v>
      </c>
      <c r="B314" t="str">
        <f>"11.08"</f>
        <v>11.08</v>
      </c>
      <c r="C314" t="s">
        <v>3914</v>
      </c>
      <c r="D314" t="s">
        <v>3913</v>
      </c>
    </row>
    <row r="315" spans="1:5" x14ac:dyDescent="0.3">
      <c r="A315" t="str">
        <f>"11"</f>
        <v>11</v>
      </c>
      <c r="B315" t="str">
        <f>"11.0801"</f>
        <v>11.0801</v>
      </c>
      <c r="C315" t="s">
        <v>3912</v>
      </c>
      <c r="D315" t="s">
        <v>6129</v>
      </c>
    </row>
    <row r="316" spans="1:5" x14ac:dyDescent="0.3">
      <c r="A316" t="str">
        <f>"11"</f>
        <v>11</v>
      </c>
      <c r="B316" t="str">
        <f>"11.0802"</f>
        <v>11.0802</v>
      </c>
      <c r="C316" t="s">
        <v>3911</v>
      </c>
      <c r="D316" t="s">
        <v>3910</v>
      </c>
    </row>
    <row r="317" spans="1:5" x14ac:dyDescent="0.3">
      <c r="A317" t="str">
        <f>"11"</f>
        <v>11</v>
      </c>
      <c r="B317" t="str">
        <f>"11.0803"</f>
        <v>11.0803</v>
      </c>
      <c r="C317" t="s">
        <v>3909</v>
      </c>
      <c r="D317" t="s">
        <v>3908</v>
      </c>
    </row>
    <row r="318" spans="1:5" x14ac:dyDescent="0.3">
      <c r="A318" t="str">
        <f>"11"</f>
        <v>11</v>
      </c>
      <c r="B318" t="str">
        <f>"11.0804"</f>
        <v>11.0804</v>
      </c>
      <c r="C318" t="s">
        <v>3907</v>
      </c>
      <c r="D318" t="s">
        <v>3906</v>
      </c>
      <c r="E318" t="s">
        <v>3905</v>
      </c>
    </row>
    <row r="319" spans="1:5" x14ac:dyDescent="0.3">
      <c r="A319" t="str">
        <f>"11"</f>
        <v>11</v>
      </c>
      <c r="B319" t="str">
        <f>"11.0899"</f>
        <v>11.0899</v>
      </c>
      <c r="C319" t="s">
        <v>3904</v>
      </c>
      <c r="D319" t="s">
        <v>3903</v>
      </c>
    </row>
    <row r="320" spans="1:5" x14ac:dyDescent="0.3">
      <c r="A320" t="str">
        <f>"11"</f>
        <v>11</v>
      </c>
      <c r="B320" t="str">
        <f>"11.09"</f>
        <v>11.09</v>
      </c>
      <c r="C320" t="s">
        <v>3901</v>
      </c>
      <c r="D320" t="s">
        <v>6128</v>
      </c>
    </row>
    <row r="321" spans="1:6" x14ac:dyDescent="0.3">
      <c r="A321" t="str">
        <f>"11"</f>
        <v>11</v>
      </c>
      <c r="B321" t="str">
        <f>"11.0901"</f>
        <v>11.0901</v>
      </c>
      <c r="C321" t="s">
        <v>3901</v>
      </c>
      <c r="D321" t="s">
        <v>3900</v>
      </c>
      <c r="F321" t="s">
        <v>3897</v>
      </c>
    </row>
    <row r="322" spans="1:6" x14ac:dyDescent="0.3">
      <c r="A322" t="str">
        <f>"11"</f>
        <v>11</v>
      </c>
      <c r="B322" t="str">
        <f>"11.0902"</f>
        <v>11.0902</v>
      </c>
      <c r="C322" t="s">
        <v>6127</v>
      </c>
      <c r="D322" t="s">
        <v>6126</v>
      </c>
    </row>
    <row r="323" spans="1:6" x14ac:dyDescent="0.3">
      <c r="A323" t="str">
        <f>"11"</f>
        <v>11</v>
      </c>
      <c r="B323" t="str">
        <f>"11.0999"</f>
        <v>11.0999</v>
      </c>
      <c r="C323" t="s">
        <v>6125</v>
      </c>
      <c r="D323" t="s">
        <v>6124</v>
      </c>
    </row>
    <row r="324" spans="1:6" x14ac:dyDescent="0.3">
      <c r="A324" t="str">
        <f>"11"</f>
        <v>11</v>
      </c>
      <c r="B324" t="str">
        <f>"11.10"</f>
        <v>11.10</v>
      </c>
      <c r="C324" t="s">
        <v>3899</v>
      </c>
      <c r="D324" t="s">
        <v>3898</v>
      </c>
    </row>
    <row r="325" spans="1:6" x14ac:dyDescent="0.3">
      <c r="A325" t="str">
        <f>"11"</f>
        <v>11</v>
      </c>
      <c r="B325" t="str">
        <f>"11.1001"</f>
        <v>11.1001</v>
      </c>
      <c r="C325" t="s">
        <v>3896</v>
      </c>
      <c r="D325" t="s">
        <v>3895</v>
      </c>
      <c r="F325" t="s">
        <v>3892</v>
      </c>
    </row>
    <row r="326" spans="1:6" x14ac:dyDescent="0.3">
      <c r="A326" t="str">
        <f>"11"</f>
        <v>11</v>
      </c>
      <c r="B326" t="str">
        <f>"11.1002"</f>
        <v>11.1002</v>
      </c>
      <c r="C326" t="s">
        <v>3894</v>
      </c>
      <c r="D326" t="s">
        <v>3893</v>
      </c>
    </row>
    <row r="327" spans="1:6" x14ac:dyDescent="0.3">
      <c r="A327" t="str">
        <f>"11"</f>
        <v>11</v>
      </c>
      <c r="B327" t="str">
        <f>"11.1003"</f>
        <v>11.1003</v>
      </c>
      <c r="C327" t="s">
        <v>6123</v>
      </c>
      <c r="D327" t="s">
        <v>6122</v>
      </c>
      <c r="E327" t="s">
        <v>6121</v>
      </c>
      <c r="F327" t="s">
        <v>6120</v>
      </c>
    </row>
    <row r="328" spans="1:6" x14ac:dyDescent="0.3">
      <c r="A328" t="str">
        <f>"11"</f>
        <v>11</v>
      </c>
      <c r="B328" t="str">
        <f>"11.1004"</f>
        <v>11.1004</v>
      </c>
      <c r="C328" t="s">
        <v>3891</v>
      </c>
      <c r="D328" t="s">
        <v>3890</v>
      </c>
      <c r="F328" t="s">
        <v>3886</v>
      </c>
    </row>
    <row r="329" spans="1:6" x14ac:dyDescent="0.3">
      <c r="A329" t="str">
        <f>"11"</f>
        <v>11</v>
      </c>
      <c r="B329" t="str">
        <f>"11.1005"</f>
        <v>11.1005</v>
      </c>
      <c r="C329" t="s">
        <v>3889</v>
      </c>
      <c r="D329" t="s">
        <v>3888</v>
      </c>
      <c r="E329" t="s">
        <v>3887</v>
      </c>
    </row>
    <row r="330" spans="1:6" x14ac:dyDescent="0.3">
      <c r="A330" t="str">
        <f>"11"</f>
        <v>11</v>
      </c>
      <c r="B330" t="str">
        <f>"11.1006"</f>
        <v>11.1006</v>
      </c>
      <c r="C330" t="s">
        <v>3885</v>
      </c>
      <c r="D330" t="s">
        <v>3884</v>
      </c>
      <c r="F330" t="s">
        <v>3856</v>
      </c>
    </row>
    <row r="331" spans="1:6" x14ac:dyDescent="0.3">
      <c r="A331" t="str">
        <f>"11"</f>
        <v>11</v>
      </c>
      <c r="B331" t="str">
        <f>"11.1099"</f>
        <v>11.1099</v>
      </c>
      <c r="C331" t="s">
        <v>3883</v>
      </c>
      <c r="D331" t="s">
        <v>3882</v>
      </c>
      <c r="E331" t="s">
        <v>3881</v>
      </c>
    </row>
    <row r="332" spans="1:6" x14ac:dyDescent="0.3">
      <c r="A332" t="str">
        <f>"11"</f>
        <v>11</v>
      </c>
      <c r="B332" t="str">
        <f>"11.99"</f>
        <v>11.99</v>
      </c>
      <c r="C332" t="s">
        <v>3879</v>
      </c>
      <c r="D332" t="s">
        <v>3880</v>
      </c>
    </row>
    <row r="333" spans="1:6" x14ac:dyDescent="0.3">
      <c r="A333" t="str">
        <f>"11"</f>
        <v>11</v>
      </c>
      <c r="B333" t="str">
        <f>"11.9999"</f>
        <v>11.9999</v>
      </c>
      <c r="C333" t="s">
        <v>3879</v>
      </c>
      <c r="D333" t="s">
        <v>3878</v>
      </c>
      <c r="E333" t="s">
        <v>3877</v>
      </c>
    </row>
    <row r="334" spans="1:6" x14ac:dyDescent="0.3">
      <c r="A334" t="str">
        <f>"12"</f>
        <v>12</v>
      </c>
      <c r="B334" t="str">
        <f>"12"</f>
        <v>12</v>
      </c>
      <c r="C334" t="s">
        <v>6119</v>
      </c>
      <c r="D334" t="s">
        <v>6118</v>
      </c>
    </row>
    <row r="335" spans="1:6" x14ac:dyDescent="0.3">
      <c r="A335" t="str">
        <f>"12"</f>
        <v>12</v>
      </c>
      <c r="B335" t="str">
        <f>"12.03"</f>
        <v>12.03</v>
      </c>
      <c r="C335" t="s">
        <v>3876</v>
      </c>
      <c r="D335" t="s">
        <v>3875</v>
      </c>
    </row>
    <row r="336" spans="1:6" x14ac:dyDescent="0.3">
      <c r="A336" t="str">
        <f>"12"</f>
        <v>12</v>
      </c>
      <c r="B336" t="str">
        <f>"12.0301"</f>
        <v>12.0301</v>
      </c>
      <c r="C336" t="s">
        <v>3874</v>
      </c>
      <c r="D336" t="s">
        <v>3873</v>
      </c>
    </row>
    <row r="337" spans="1:6" x14ac:dyDescent="0.3">
      <c r="A337" t="str">
        <f>"12"</f>
        <v>12</v>
      </c>
      <c r="B337" t="str">
        <f>"12.0302"</f>
        <v>12.0302</v>
      </c>
      <c r="C337" t="s">
        <v>3872</v>
      </c>
      <c r="D337" t="s">
        <v>3871</v>
      </c>
    </row>
    <row r="338" spans="1:6" x14ac:dyDescent="0.3">
      <c r="A338" t="str">
        <f>"12"</f>
        <v>12</v>
      </c>
      <c r="B338" t="str">
        <f>"12.0303"</f>
        <v>12.0303</v>
      </c>
      <c r="C338" t="s">
        <v>3870</v>
      </c>
      <c r="D338" t="s">
        <v>3869</v>
      </c>
    </row>
    <row r="339" spans="1:6" x14ac:dyDescent="0.3">
      <c r="A339" t="str">
        <f>"12"</f>
        <v>12</v>
      </c>
      <c r="B339" t="str">
        <f>"12.0399"</f>
        <v>12.0399</v>
      </c>
      <c r="C339" t="s">
        <v>3868</v>
      </c>
      <c r="D339" t="s">
        <v>3867</v>
      </c>
    </row>
    <row r="340" spans="1:6" x14ac:dyDescent="0.3">
      <c r="A340" t="str">
        <f>"12"</f>
        <v>12</v>
      </c>
      <c r="B340" t="str">
        <f>"12.04"</f>
        <v>12.04</v>
      </c>
      <c r="C340" t="s">
        <v>3866</v>
      </c>
      <c r="D340" t="s">
        <v>3865</v>
      </c>
    </row>
    <row r="341" spans="1:6" x14ac:dyDescent="0.3">
      <c r="A341" t="str">
        <f>"12"</f>
        <v>12</v>
      </c>
      <c r="B341" t="str">
        <f>"12.0401"</f>
        <v>12.0401</v>
      </c>
      <c r="C341" t="s">
        <v>3864</v>
      </c>
      <c r="D341" t="s">
        <v>3863</v>
      </c>
    </row>
    <row r="342" spans="1:6" x14ac:dyDescent="0.3">
      <c r="A342" t="str">
        <f>"12"</f>
        <v>12</v>
      </c>
      <c r="B342" t="str">
        <f>"12.0402"</f>
        <v>12.0402</v>
      </c>
      <c r="C342" t="s">
        <v>3862</v>
      </c>
      <c r="D342" t="s">
        <v>3861</v>
      </c>
    </row>
    <row r="343" spans="1:6" x14ac:dyDescent="0.3">
      <c r="A343" t="str">
        <f>"12"</f>
        <v>12</v>
      </c>
      <c r="B343" t="str">
        <f>"12.0404"</f>
        <v>12.0404</v>
      </c>
      <c r="C343" t="s">
        <v>3860</v>
      </c>
      <c r="D343" t="s">
        <v>3859</v>
      </c>
    </row>
    <row r="344" spans="1:6" x14ac:dyDescent="0.3">
      <c r="A344" t="str">
        <f>"12"</f>
        <v>12</v>
      </c>
      <c r="B344" t="str">
        <f>"12.0406"</f>
        <v>12.0406</v>
      </c>
      <c r="C344" t="s">
        <v>3858</v>
      </c>
      <c r="D344" t="s">
        <v>3857</v>
      </c>
    </row>
    <row r="345" spans="1:6" x14ac:dyDescent="0.3">
      <c r="A345" t="str">
        <f>"12"</f>
        <v>12</v>
      </c>
      <c r="B345" t="str">
        <f>"12.0407"</f>
        <v>12.0407</v>
      </c>
      <c r="C345" t="s">
        <v>3855</v>
      </c>
      <c r="D345" t="s">
        <v>3854</v>
      </c>
      <c r="F345" t="s">
        <v>3851</v>
      </c>
    </row>
    <row r="346" spans="1:6" x14ac:dyDescent="0.3">
      <c r="A346" t="str">
        <f>"12"</f>
        <v>12</v>
      </c>
      <c r="B346" t="str">
        <f>"12.0408"</f>
        <v>12.0408</v>
      </c>
      <c r="C346" t="s">
        <v>3853</v>
      </c>
      <c r="D346" t="s">
        <v>3852</v>
      </c>
    </row>
    <row r="347" spans="1:6" x14ac:dyDescent="0.3">
      <c r="A347" t="str">
        <f>"12"</f>
        <v>12</v>
      </c>
      <c r="B347" t="str">
        <f>"12.0409"</f>
        <v>12.0409</v>
      </c>
      <c r="C347" t="s">
        <v>3850</v>
      </c>
      <c r="D347" t="s">
        <v>3849</v>
      </c>
      <c r="F347" t="s">
        <v>3840</v>
      </c>
    </row>
    <row r="348" spans="1:6" x14ac:dyDescent="0.3">
      <c r="A348" t="str">
        <f>"12"</f>
        <v>12</v>
      </c>
      <c r="B348" t="str">
        <f>"12.0410"</f>
        <v>12.0410</v>
      </c>
      <c r="C348" t="s">
        <v>3848</v>
      </c>
      <c r="D348" t="s">
        <v>3847</v>
      </c>
    </row>
    <row r="349" spans="1:6" x14ac:dyDescent="0.3">
      <c r="A349" t="str">
        <f>"12"</f>
        <v>12</v>
      </c>
      <c r="B349" t="str">
        <f>"12.0411"</f>
        <v>12.0411</v>
      </c>
      <c r="C349" t="s">
        <v>3846</v>
      </c>
      <c r="D349" t="s">
        <v>3845</v>
      </c>
    </row>
    <row r="350" spans="1:6" x14ac:dyDescent="0.3">
      <c r="A350" t="str">
        <f>"12"</f>
        <v>12</v>
      </c>
      <c r="B350" t="str">
        <f>"12.0412"</f>
        <v>12.0412</v>
      </c>
      <c r="C350" t="s">
        <v>3844</v>
      </c>
      <c r="D350" t="s">
        <v>3843</v>
      </c>
    </row>
    <row r="351" spans="1:6" x14ac:dyDescent="0.3">
      <c r="A351" t="str">
        <f>"12"</f>
        <v>12</v>
      </c>
      <c r="B351" t="str">
        <f>"12.0413"</f>
        <v>12.0413</v>
      </c>
      <c r="C351" t="s">
        <v>3842</v>
      </c>
      <c r="D351" t="s">
        <v>3841</v>
      </c>
      <c r="F351" t="s">
        <v>6117</v>
      </c>
    </row>
    <row r="352" spans="1:6" x14ac:dyDescent="0.3">
      <c r="A352" t="str">
        <f>"12"</f>
        <v>12</v>
      </c>
      <c r="B352" t="str">
        <f>"12.0414"</f>
        <v>12.0414</v>
      </c>
      <c r="C352" t="s">
        <v>3839</v>
      </c>
      <c r="D352" t="s">
        <v>3838</v>
      </c>
      <c r="F352" t="s">
        <v>3833</v>
      </c>
    </row>
    <row r="353" spans="1:6" x14ac:dyDescent="0.3">
      <c r="A353" t="str">
        <f>"12"</f>
        <v>12</v>
      </c>
      <c r="B353" t="str">
        <f>"12.0499"</f>
        <v>12.0499</v>
      </c>
      <c r="C353" t="s">
        <v>3837</v>
      </c>
      <c r="D353" t="s">
        <v>3836</v>
      </c>
    </row>
    <row r="354" spans="1:6" x14ac:dyDescent="0.3">
      <c r="A354" t="str">
        <f>"12"</f>
        <v>12</v>
      </c>
      <c r="B354" t="str">
        <f>"12.05"</f>
        <v>12.05</v>
      </c>
      <c r="C354" t="s">
        <v>3835</v>
      </c>
      <c r="D354" t="s">
        <v>3834</v>
      </c>
    </row>
    <row r="355" spans="1:6" x14ac:dyDescent="0.3">
      <c r="A355" t="str">
        <f>"12"</f>
        <v>12</v>
      </c>
      <c r="B355" t="str">
        <f>"12.0500"</f>
        <v>12.0500</v>
      </c>
      <c r="C355" t="s">
        <v>3832</v>
      </c>
      <c r="D355" t="s">
        <v>3831</v>
      </c>
      <c r="F355" t="s">
        <v>3785</v>
      </c>
    </row>
    <row r="356" spans="1:6" x14ac:dyDescent="0.3">
      <c r="A356" t="str">
        <f>"12"</f>
        <v>12</v>
      </c>
      <c r="B356" t="str">
        <f>"12.0501"</f>
        <v>12.0501</v>
      </c>
      <c r="C356" t="s">
        <v>3830</v>
      </c>
      <c r="D356" t="s">
        <v>3829</v>
      </c>
    </row>
    <row r="357" spans="1:6" x14ac:dyDescent="0.3">
      <c r="A357" t="str">
        <f>"12"</f>
        <v>12</v>
      </c>
      <c r="B357" t="str">
        <f>"12.0502"</f>
        <v>12.0502</v>
      </c>
      <c r="C357" t="s">
        <v>3828</v>
      </c>
      <c r="D357" t="s">
        <v>3827</v>
      </c>
    </row>
    <row r="358" spans="1:6" x14ac:dyDescent="0.3">
      <c r="A358" t="str">
        <f>"12"</f>
        <v>12</v>
      </c>
      <c r="B358" t="str">
        <f>"12.0503"</f>
        <v>12.0503</v>
      </c>
      <c r="C358" t="s">
        <v>3826</v>
      </c>
      <c r="D358" t="s">
        <v>3825</v>
      </c>
    </row>
    <row r="359" spans="1:6" x14ac:dyDescent="0.3">
      <c r="A359" t="str">
        <f>"12"</f>
        <v>12</v>
      </c>
      <c r="B359" t="str">
        <f>"12.0504"</f>
        <v>12.0504</v>
      </c>
      <c r="C359" t="s">
        <v>3824</v>
      </c>
      <c r="D359" t="s">
        <v>3823</v>
      </c>
      <c r="E359" t="s">
        <v>3822</v>
      </c>
    </row>
    <row r="360" spans="1:6" x14ac:dyDescent="0.3">
      <c r="A360" t="str">
        <f>"12"</f>
        <v>12</v>
      </c>
      <c r="B360" t="str">
        <f>"12.0505"</f>
        <v>12.0505</v>
      </c>
      <c r="C360" t="s">
        <v>3821</v>
      </c>
      <c r="D360" t="s">
        <v>3820</v>
      </c>
    </row>
    <row r="361" spans="1:6" x14ac:dyDescent="0.3">
      <c r="A361" t="str">
        <f>"12"</f>
        <v>12</v>
      </c>
      <c r="B361" t="str">
        <f>"12.0506"</f>
        <v>12.0506</v>
      </c>
      <c r="C361" t="s">
        <v>3819</v>
      </c>
      <c r="D361" t="s">
        <v>3818</v>
      </c>
    </row>
    <row r="362" spans="1:6" x14ac:dyDescent="0.3">
      <c r="A362" t="str">
        <f>"12"</f>
        <v>12</v>
      </c>
      <c r="B362" t="str">
        <f>"12.0507"</f>
        <v>12.0507</v>
      </c>
      <c r="C362" t="s">
        <v>3817</v>
      </c>
      <c r="D362" t="s">
        <v>3816</v>
      </c>
    </row>
    <row r="363" spans="1:6" x14ac:dyDescent="0.3">
      <c r="A363" t="str">
        <f>"12"</f>
        <v>12</v>
      </c>
      <c r="B363" t="str">
        <f>"12.0508"</f>
        <v>12.0508</v>
      </c>
      <c r="C363" t="s">
        <v>3815</v>
      </c>
      <c r="D363" t="s">
        <v>3814</v>
      </c>
    </row>
    <row r="364" spans="1:6" x14ac:dyDescent="0.3">
      <c r="A364" t="str">
        <f>"12"</f>
        <v>12</v>
      </c>
      <c r="B364" t="str">
        <f>"12.0509"</f>
        <v>12.0509</v>
      </c>
      <c r="C364" t="s">
        <v>3813</v>
      </c>
      <c r="D364" t="s">
        <v>3812</v>
      </c>
      <c r="E364" t="s">
        <v>3011</v>
      </c>
    </row>
    <row r="365" spans="1:6" x14ac:dyDescent="0.3">
      <c r="A365" t="str">
        <f>"12"</f>
        <v>12</v>
      </c>
      <c r="B365" t="str">
        <f>"12.0510"</f>
        <v>12.0510</v>
      </c>
      <c r="C365" t="s">
        <v>3811</v>
      </c>
      <c r="D365" t="s">
        <v>3810</v>
      </c>
    </row>
    <row r="366" spans="1:6" x14ac:dyDescent="0.3">
      <c r="A366" t="str">
        <f>"12"</f>
        <v>12</v>
      </c>
      <c r="B366" t="str">
        <f>"12.0580"</f>
        <v>12.0580</v>
      </c>
      <c r="C366" t="s">
        <v>5243</v>
      </c>
      <c r="D366" t="s">
        <v>5242</v>
      </c>
    </row>
    <row r="367" spans="1:6" x14ac:dyDescent="0.3">
      <c r="A367" t="str">
        <f>"12"</f>
        <v>12</v>
      </c>
      <c r="B367" t="str">
        <f>"12.0599"</f>
        <v>12.0599</v>
      </c>
      <c r="C367" t="s">
        <v>3809</v>
      </c>
      <c r="D367" t="s">
        <v>3808</v>
      </c>
    </row>
    <row r="368" spans="1:6" x14ac:dyDescent="0.3">
      <c r="A368" t="str">
        <f>"12"</f>
        <v>12</v>
      </c>
      <c r="B368" t="str">
        <f>"12.06"</f>
        <v>12.06</v>
      </c>
      <c r="C368" t="s">
        <v>6116</v>
      </c>
      <c r="D368" t="s">
        <v>6115</v>
      </c>
    </row>
    <row r="369" spans="1:6" x14ac:dyDescent="0.3">
      <c r="A369" t="str">
        <f>"12"</f>
        <v>12</v>
      </c>
      <c r="B369" t="str">
        <f>"12.0601"</f>
        <v>12.0601</v>
      </c>
      <c r="C369" t="s">
        <v>6114</v>
      </c>
      <c r="D369" t="s">
        <v>6113</v>
      </c>
      <c r="E369" t="s">
        <v>6110</v>
      </c>
    </row>
    <row r="370" spans="1:6" x14ac:dyDescent="0.3">
      <c r="A370" t="str">
        <f>"12"</f>
        <v>12</v>
      </c>
      <c r="B370" t="str">
        <f>"12.0602"</f>
        <v>12.0602</v>
      </c>
      <c r="C370" t="s">
        <v>6112</v>
      </c>
      <c r="D370" t="s">
        <v>6111</v>
      </c>
      <c r="E370" t="s">
        <v>6110</v>
      </c>
    </row>
    <row r="371" spans="1:6" x14ac:dyDescent="0.3">
      <c r="A371" t="str">
        <f>"12"</f>
        <v>12</v>
      </c>
      <c r="B371" t="str">
        <f>"12.0699"</f>
        <v>12.0699</v>
      </c>
      <c r="C371" t="s">
        <v>6109</v>
      </c>
      <c r="D371" t="s">
        <v>6108</v>
      </c>
    </row>
    <row r="372" spans="1:6" x14ac:dyDescent="0.3">
      <c r="A372" t="str">
        <f>"12"</f>
        <v>12</v>
      </c>
      <c r="B372" t="str">
        <f>"12.99"</f>
        <v>12.99</v>
      </c>
      <c r="C372" t="s">
        <v>6107</v>
      </c>
      <c r="D372" t="s">
        <v>3807</v>
      </c>
    </row>
    <row r="373" spans="1:6" x14ac:dyDescent="0.3">
      <c r="A373" t="str">
        <f>"12"</f>
        <v>12</v>
      </c>
      <c r="B373" t="str">
        <f>"12.9999"</f>
        <v>12.9999</v>
      </c>
      <c r="C373" t="s">
        <v>6107</v>
      </c>
      <c r="D373" t="s">
        <v>6106</v>
      </c>
    </row>
    <row r="374" spans="1:6" x14ac:dyDescent="0.3">
      <c r="A374" t="str">
        <f>"13"</f>
        <v>13</v>
      </c>
      <c r="B374" t="str">
        <f>"13"</f>
        <v>13</v>
      </c>
      <c r="C374" t="s">
        <v>3806</v>
      </c>
      <c r="D374" t="s">
        <v>3805</v>
      </c>
    </row>
    <row r="375" spans="1:6" x14ac:dyDescent="0.3">
      <c r="A375" t="str">
        <f>"13"</f>
        <v>13</v>
      </c>
      <c r="B375" t="str">
        <f>"13.01"</f>
        <v>13.01</v>
      </c>
      <c r="C375" t="s">
        <v>3803</v>
      </c>
      <c r="D375" t="s">
        <v>3804</v>
      </c>
    </row>
    <row r="376" spans="1:6" x14ac:dyDescent="0.3">
      <c r="A376" t="str">
        <f>"13"</f>
        <v>13</v>
      </c>
      <c r="B376" t="str">
        <f>"13.0101"</f>
        <v>13.0101</v>
      </c>
      <c r="C376" t="s">
        <v>3803</v>
      </c>
      <c r="D376" t="s">
        <v>3802</v>
      </c>
    </row>
    <row r="377" spans="1:6" x14ac:dyDescent="0.3">
      <c r="A377" t="str">
        <f>"13"</f>
        <v>13</v>
      </c>
      <c r="B377" t="str">
        <f>"13.02"</f>
        <v>13.02</v>
      </c>
      <c r="C377" t="s">
        <v>3801</v>
      </c>
      <c r="D377" t="s">
        <v>3800</v>
      </c>
    </row>
    <row r="378" spans="1:6" x14ac:dyDescent="0.3">
      <c r="A378" t="str">
        <f>"13"</f>
        <v>13</v>
      </c>
      <c r="B378" t="str">
        <f>"13.0201"</f>
        <v>13.0201</v>
      </c>
      <c r="C378" t="s">
        <v>3799</v>
      </c>
      <c r="D378" t="s">
        <v>3798</v>
      </c>
      <c r="E378" t="s">
        <v>3795</v>
      </c>
    </row>
    <row r="379" spans="1:6" x14ac:dyDescent="0.3">
      <c r="A379" t="str">
        <f>"13"</f>
        <v>13</v>
      </c>
      <c r="B379" t="str">
        <f>"13.0202"</f>
        <v>13.0202</v>
      </c>
      <c r="C379" t="s">
        <v>3797</v>
      </c>
      <c r="D379" t="s">
        <v>3796</v>
      </c>
      <c r="E379" t="s">
        <v>3795</v>
      </c>
    </row>
    <row r="380" spans="1:6" x14ac:dyDescent="0.3">
      <c r="A380" t="str">
        <f>"13"</f>
        <v>13</v>
      </c>
      <c r="B380" t="str">
        <f>"13.0203"</f>
        <v>13.0203</v>
      </c>
      <c r="C380" t="s">
        <v>3794</v>
      </c>
      <c r="D380" t="s">
        <v>3793</v>
      </c>
    </row>
    <row r="381" spans="1:6" x14ac:dyDescent="0.3">
      <c r="A381" t="str">
        <f>"13"</f>
        <v>13</v>
      </c>
      <c r="B381" t="str">
        <f>"13.0299"</f>
        <v>13.0299</v>
      </c>
      <c r="C381" t="s">
        <v>3792</v>
      </c>
      <c r="D381" t="s">
        <v>3791</v>
      </c>
    </row>
    <row r="382" spans="1:6" x14ac:dyDescent="0.3">
      <c r="A382" t="str">
        <f>"13"</f>
        <v>13</v>
      </c>
      <c r="B382" t="str">
        <f>"13.03"</f>
        <v>13.03</v>
      </c>
      <c r="C382" t="s">
        <v>3789</v>
      </c>
      <c r="D382" t="s">
        <v>3790</v>
      </c>
    </row>
    <row r="383" spans="1:6" x14ac:dyDescent="0.3">
      <c r="A383" t="str">
        <f>"13"</f>
        <v>13</v>
      </c>
      <c r="B383" t="str">
        <f>"13.0301"</f>
        <v>13.0301</v>
      </c>
      <c r="C383" t="s">
        <v>3789</v>
      </c>
      <c r="D383" t="s">
        <v>3788</v>
      </c>
      <c r="F383" t="s">
        <v>6105</v>
      </c>
    </row>
    <row r="384" spans="1:6" x14ac:dyDescent="0.3">
      <c r="A384" t="str">
        <f>"13"</f>
        <v>13</v>
      </c>
      <c r="B384" t="str">
        <f>"13.04"</f>
        <v>13.04</v>
      </c>
      <c r="C384" t="s">
        <v>3787</v>
      </c>
      <c r="D384" t="s">
        <v>3786</v>
      </c>
    </row>
    <row r="385" spans="1:6" x14ac:dyDescent="0.3">
      <c r="A385" t="str">
        <f>"13"</f>
        <v>13</v>
      </c>
      <c r="B385" t="str">
        <f>"13.0401"</f>
        <v>13.0401</v>
      </c>
      <c r="C385" t="s">
        <v>3784</v>
      </c>
      <c r="D385" t="s">
        <v>3783</v>
      </c>
      <c r="F385" t="s">
        <v>6104</v>
      </c>
    </row>
    <row r="386" spans="1:6" x14ac:dyDescent="0.3">
      <c r="A386" t="str">
        <f>"13"</f>
        <v>13</v>
      </c>
      <c r="B386" t="str">
        <f>"13.0402"</f>
        <v>13.0402</v>
      </c>
      <c r="C386" t="s">
        <v>3782</v>
      </c>
      <c r="D386" t="s">
        <v>3781</v>
      </c>
    </row>
    <row r="387" spans="1:6" x14ac:dyDescent="0.3">
      <c r="A387" t="str">
        <f>"13"</f>
        <v>13</v>
      </c>
      <c r="B387" t="str">
        <f>"13.0403"</f>
        <v>13.0403</v>
      </c>
      <c r="C387" t="s">
        <v>3780</v>
      </c>
      <c r="D387" t="s">
        <v>3779</v>
      </c>
    </row>
    <row r="388" spans="1:6" x14ac:dyDescent="0.3">
      <c r="A388" t="str">
        <f>"13"</f>
        <v>13</v>
      </c>
      <c r="B388" t="str">
        <f>"13.0404"</f>
        <v>13.0404</v>
      </c>
      <c r="C388" t="s">
        <v>3778</v>
      </c>
      <c r="D388" t="s">
        <v>3777</v>
      </c>
    </row>
    <row r="389" spans="1:6" x14ac:dyDescent="0.3">
      <c r="A389" t="str">
        <f>"13"</f>
        <v>13</v>
      </c>
      <c r="B389" t="str">
        <f>"13.0406"</f>
        <v>13.0406</v>
      </c>
      <c r="C389" t="s">
        <v>3776</v>
      </c>
      <c r="D389" t="s">
        <v>3775</v>
      </c>
      <c r="E389" t="s">
        <v>3774</v>
      </c>
      <c r="F389" t="s">
        <v>3763</v>
      </c>
    </row>
    <row r="390" spans="1:6" x14ac:dyDescent="0.3">
      <c r="A390" t="str">
        <f>"13"</f>
        <v>13</v>
      </c>
      <c r="B390" t="str">
        <f>"13.0407"</f>
        <v>13.0407</v>
      </c>
      <c r="C390" t="s">
        <v>6103</v>
      </c>
      <c r="D390" t="s">
        <v>3773</v>
      </c>
      <c r="F390" t="s">
        <v>6102</v>
      </c>
    </row>
    <row r="391" spans="1:6" x14ac:dyDescent="0.3">
      <c r="A391" t="str">
        <f>"13"</f>
        <v>13</v>
      </c>
      <c r="B391" t="str">
        <f>"13.0408"</f>
        <v>13.0408</v>
      </c>
      <c r="C391" t="s">
        <v>3772</v>
      </c>
      <c r="D391" t="s">
        <v>6101</v>
      </c>
    </row>
    <row r="392" spans="1:6" x14ac:dyDescent="0.3">
      <c r="A392" t="str">
        <f>"13"</f>
        <v>13</v>
      </c>
      <c r="B392" t="str">
        <f>"13.0409"</f>
        <v>13.0409</v>
      </c>
      <c r="C392" t="s">
        <v>3771</v>
      </c>
      <c r="D392" t="s">
        <v>6100</v>
      </c>
    </row>
    <row r="393" spans="1:6" x14ac:dyDescent="0.3">
      <c r="A393" t="str">
        <f>"13"</f>
        <v>13</v>
      </c>
      <c r="B393" t="str">
        <f>"13.0410"</f>
        <v>13.0410</v>
      </c>
      <c r="C393" t="s">
        <v>3770</v>
      </c>
      <c r="D393" t="s">
        <v>3769</v>
      </c>
    </row>
    <row r="394" spans="1:6" x14ac:dyDescent="0.3">
      <c r="A394" t="str">
        <f>"13"</f>
        <v>13</v>
      </c>
      <c r="B394" t="str">
        <f>"13.0411"</f>
        <v>13.0411</v>
      </c>
      <c r="C394" t="s">
        <v>3768</v>
      </c>
      <c r="D394" t="s">
        <v>6099</v>
      </c>
    </row>
    <row r="395" spans="1:6" x14ac:dyDescent="0.3">
      <c r="A395" t="str">
        <f>"13"</f>
        <v>13</v>
      </c>
      <c r="B395" t="str">
        <f>"13.0412"</f>
        <v>13.0412</v>
      </c>
      <c r="C395" t="s">
        <v>6098</v>
      </c>
      <c r="D395" t="s">
        <v>6097</v>
      </c>
    </row>
    <row r="396" spans="1:6" x14ac:dyDescent="0.3">
      <c r="A396" t="str">
        <f>"13"</f>
        <v>13</v>
      </c>
      <c r="B396" t="str">
        <f>"13.0413"</f>
        <v>13.0413</v>
      </c>
      <c r="C396" t="s">
        <v>6096</v>
      </c>
      <c r="D396" t="s">
        <v>6095</v>
      </c>
      <c r="E396" t="s">
        <v>6094</v>
      </c>
      <c r="F396" t="s">
        <v>6093</v>
      </c>
    </row>
    <row r="397" spans="1:6" x14ac:dyDescent="0.3">
      <c r="A397" t="str">
        <f>"13"</f>
        <v>13</v>
      </c>
      <c r="B397" t="str">
        <f>"13.0414"</f>
        <v>13.0414</v>
      </c>
      <c r="C397" t="s">
        <v>6092</v>
      </c>
      <c r="D397" t="s">
        <v>6091</v>
      </c>
    </row>
    <row r="398" spans="1:6" x14ac:dyDescent="0.3">
      <c r="A398" t="str">
        <f>"13"</f>
        <v>13</v>
      </c>
      <c r="B398" t="str">
        <f>"13.0499"</f>
        <v>13.0499</v>
      </c>
      <c r="C398" t="s">
        <v>3767</v>
      </c>
      <c r="D398" t="s">
        <v>3766</v>
      </c>
    </row>
    <row r="399" spans="1:6" x14ac:dyDescent="0.3">
      <c r="A399" t="str">
        <f>"13"</f>
        <v>13</v>
      </c>
      <c r="B399" t="str">
        <f>"13.05"</f>
        <v>13.05</v>
      </c>
      <c r="C399" t="s">
        <v>3765</v>
      </c>
      <c r="D399" t="s">
        <v>3764</v>
      </c>
    </row>
    <row r="400" spans="1:6" x14ac:dyDescent="0.3">
      <c r="A400" t="str">
        <f>"13"</f>
        <v>13</v>
      </c>
      <c r="B400" t="str">
        <f>"13.0501"</f>
        <v>13.0501</v>
      </c>
      <c r="C400" t="s">
        <v>3762</v>
      </c>
      <c r="D400" t="s">
        <v>3761</v>
      </c>
      <c r="F400" t="s">
        <v>3751</v>
      </c>
    </row>
    <row r="401" spans="1:6" x14ac:dyDescent="0.3">
      <c r="A401" t="str">
        <f>"13"</f>
        <v>13</v>
      </c>
      <c r="B401" t="str">
        <f>"13.06"</f>
        <v>13.06</v>
      </c>
      <c r="C401" t="s">
        <v>3760</v>
      </c>
      <c r="D401" t="s">
        <v>3759</v>
      </c>
    </row>
    <row r="402" spans="1:6" x14ac:dyDescent="0.3">
      <c r="A402" t="str">
        <f>"13"</f>
        <v>13</v>
      </c>
      <c r="B402" t="str">
        <f>"13.0601"</f>
        <v>13.0601</v>
      </c>
      <c r="C402" t="s">
        <v>3758</v>
      </c>
      <c r="D402" t="s">
        <v>3757</v>
      </c>
    </row>
    <row r="403" spans="1:6" x14ac:dyDescent="0.3">
      <c r="A403" t="str">
        <f>"13"</f>
        <v>13</v>
      </c>
      <c r="B403" t="str">
        <f>"13.0603"</f>
        <v>13.0603</v>
      </c>
      <c r="C403" t="s">
        <v>3756</v>
      </c>
      <c r="D403" t="s">
        <v>3755</v>
      </c>
      <c r="E403" t="s">
        <v>3754</v>
      </c>
    </row>
    <row r="404" spans="1:6" x14ac:dyDescent="0.3">
      <c r="A404" t="str">
        <f>"13"</f>
        <v>13</v>
      </c>
      <c r="B404" t="str">
        <f>"13.0604"</f>
        <v>13.0604</v>
      </c>
      <c r="C404" t="s">
        <v>3753</v>
      </c>
      <c r="D404" t="s">
        <v>3752</v>
      </c>
    </row>
    <row r="405" spans="1:6" x14ac:dyDescent="0.3">
      <c r="A405" t="str">
        <f>"13"</f>
        <v>13</v>
      </c>
      <c r="B405" t="str">
        <f>"13.0607"</f>
        <v>13.0607</v>
      </c>
      <c r="C405" t="s">
        <v>3750</v>
      </c>
      <c r="D405" t="s">
        <v>3749</v>
      </c>
      <c r="F405" t="s">
        <v>3680</v>
      </c>
    </row>
    <row r="406" spans="1:6" x14ac:dyDescent="0.3">
      <c r="A406" t="str">
        <f>"13"</f>
        <v>13</v>
      </c>
      <c r="B406" t="str">
        <f>"13.0608"</f>
        <v>13.0608</v>
      </c>
      <c r="C406" t="s">
        <v>6090</v>
      </c>
      <c r="D406" t="s">
        <v>6089</v>
      </c>
    </row>
    <row r="407" spans="1:6" x14ac:dyDescent="0.3">
      <c r="A407" t="str">
        <f>"13"</f>
        <v>13</v>
      </c>
      <c r="B407" t="str">
        <f>"13.0699"</f>
        <v>13.0699</v>
      </c>
      <c r="C407" t="s">
        <v>3748</v>
      </c>
      <c r="D407" t="s">
        <v>3747</v>
      </c>
    </row>
    <row r="408" spans="1:6" x14ac:dyDescent="0.3">
      <c r="A408" t="str">
        <f>"13"</f>
        <v>13</v>
      </c>
      <c r="B408" t="str">
        <f>"13.07"</f>
        <v>13.07</v>
      </c>
      <c r="C408" t="s">
        <v>3745</v>
      </c>
      <c r="D408" t="s">
        <v>3746</v>
      </c>
    </row>
    <row r="409" spans="1:6" x14ac:dyDescent="0.3">
      <c r="A409" t="str">
        <f>"13"</f>
        <v>13</v>
      </c>
      <c r="B409" t="str">
        <f>"13.0701"</f>
        <v>13.0701</v>
      </c>
      <c r="C409" t="s">
        <v>3745</v>
      </c>
      <c r="D409" t="s">
        <v>6088</v>
      </c>
    </row>
    <row r="410" spans="1:6" x14ac:dyDescent="0.3">
      <c r="A410" t="str">
        <f>"13"</f>
        <v>13</v>
      </c>
      <c r="B410" t="str">
        <f>"13.09"</f>
        <v>13.09</v>
      </c>
      <c r="C410" t="s">
        <v>3743</v>
      </c>
      <c r="D410" t="s">
        <v>3744</v>
      </c>
    </row>
    <row r="411" spans="1:6" x14ac:dyDescent="0.3">
      <c r="A411" t="str">
        <f>"13"</f>
        <v>13</v>
      </c>
      <c r="B411" t="str">
        <f>"13.0901"</f>
        <v>13.0901</v>
      </c>
      <c r="C411" t="s">
        <v>3743</v>
      </c>
      <c r="D411" t="s">
        <v>3742</v>
      </c>
    </row>
    <row r="412" spans="1:6" x14ac:dyDescent="0.3">
      <c r="A412" t="str">
        <f>"13"</f>
        <v>13</v>
      </c>
      <c r="B412" t="str">
        <f>"13.10"</f>
        <v>13.10</v>
      </c>
      <c r="C412" t="s">
        <v>3741</v>
      </c>
      <c r="D412" t="s">
        <v>3740</v>
      </c>
    </row>
    <row r="413" spans="1:6" x14ac:dyDescent="0.3">
      <c r="A413" t="str">
        <f>"13"</f>
        <v>13</v>
      </c>
      <c r="B413" t="str">
        <f>"13.1001"</f>
        <v>13.1001</v>
      </c>
      <c r="C413" t="s">
        <v>3739</v>
      </c>
      <c r="D413" t="s">
        <v>6087</v>
      </c>
      <c r="F413" t="s">
        <v>6086</v>
      </c>
    </row>
    <row r="414" spans="1:6" x14ac:dyDescent="0.3">
      <c r="A414" t="str">
        <f>"13"</f>
        <v>13</v>
      </c>
      <c r="B414" t="str">
        <f>"13.1003"</f>
        <v>13.1003</v>
      </c>
      <c r="C414" t="s">
        <v>3738</v>
      </c>
      <c r="D414" t="s">
        <v>3737</v>
      </c>
    </row>
    <row r="415" spans="1:6" x14ac:dyDescent="0.3">
      <c r="A415" t="str">
        <f>"13"</f>
        <v>13</v>
      </c>
      <c r="B415" t="str">
        <f>"13.1004"</f>
        <v>13.1004</v>
      </c>
      <c r="C415" t="s">
        <v>3736</v>
      </c>
      <c r="D415" t="s">
        <v>3735</v>
      </c>
    </row>
    <row r="416" spans="1:6" x14ac:dyDescent="0.3">
      <c r="A416" t="str">
        <f>"13"</f>
        <v>13</v>
      </c>
      <c r="B416" t="str">
        <f>"13.1005"</f>
        <v>13.1005</v>
      </c>
      <c r="C416" t="s">
        <v>3734</v>
      </c>
      <c r="D416" t="s">
        <v>6085</v>
      </c>
    </row>
    <row r="417" spans="1:5" x14ac:dyDescent="0.3">
      <c r="A417" t="str">
        <f>"13"</f>
        <v>13</v>
      </c>
      <c r="B417" t="str">
        <f>"13.1006"</f>
        <v>13.1006</v>
      </c>
      <c r="C417" t="s">
        <v>6084</v>
      </c>
      <c r="D417" t="s">
        <v>6083</v>
      </c>
    </row>
    <row r="418" spans="1:5" x14ac:dyDescent="0.3">
      <c r="A418" t="str">
        <f>"13"</f>
        <v>13</v>
      </c>
      <c r="B418" t="str">
        <f>"13.1007"</f>
        <v>13.1007</v>
      </c>
      <c r="C418" t="s">
        <v>3733</v>
      </c>
      <c r="D418" t="s">
        <v>3732</v>
      </c>
    </row>
    <row r="419" spans="1:5" x14ac:dyDescent="0.3">
      <c r="A419" t="str">
        <f>"13"</f>
        <v>13</v>
      </c>
      <c r="B419" t="str">
        <f>"13.1008"</f>
        <v>13.1008</v>
      </c>
      <c r="C419" t="s">
        <v>3731</v>
      </c>
      <c r="D419" t="s">
        <v>3730</v>
      </c>
    </row>
    <row r="420" spans="1:5" x14ac:dyDescent="0.3">
      <c r="A420" t="str">
        <f>"13"</f>
        <v>13</v>
      </c>
      <c r="B420" t="str">
        <f>"13.1009"</f>
        <v>13.1009</v>
      </c>
      <c r="C420" t="s">
        <v>3729</v>
      </c>
      <c r="D420" t="s">
        <v>3728</v>
      </c>
    </row>
    <row r="421" spans="1:5" x14ac:dyDescent="0.3">
      <c r="A421" t="str">
        <f>"13"</f>
        <v>13</v>
      </c>
      <c r="B421" t="str">
        <f>"13.1011"</f>
        <v>13.1011</v>
      </c>
      <c r="C421" t="s">
        <v>3727</v>
      </c>
      <c r="D421" t="s">
        <v>3726</v>
      </c>
    </row>
    <row r="422" spans="1:5" x14ac:dyDescent="0.3">
      <c r="A422" t="str">
        <f>"13"</f>
        <v>13</v>
      </c>
      <c r="B422" t="str">
        <f>"13.1012"</f>
        <v>13.1012</v>
      </c>
      <c r="C422" t="s">
        <v>3725</v>
      </c>
      <c r="D422" t="s">
        <v>3724</v>
      </c>
      <c r="E422" t="s">
        <v>1156</v>
      </c>
    </row>
    <row r="423" spans="1:5" x14ac:dyDescent="0.3">
      <c r="A423" t="str">
        <f>"13"</f>
        <v>13</v>
      </c>
      <c r="B423" t="str">
        <f>"13.1013"</f>
        <v>13.1013</v>
      </c>
      <c r="C423" t="s">
        <v>3723</v>
      </c>
      <c r="D423" t="s">
        <v>3722</v>
      </c>
    </row>
    <row r="424" spans="1:5" x14ac:dyDescent="0.3">
      <c r="A424" t="str">
        <f>"13"</f>
        <v>13</v>
      </c>
      <c r="B424" t="str">
        <f>"13.1014"</f>
        <v>13.1014</v>
      </c>
      <c r="C424" t="s">
        <v>3721</v>
      </c>
      <c r="D424" t="s">
        <v>3720</v>
      </c>
    </row>
    <row r="425" spans="1:5" x14ac:dyDescent="0.3">
      <c r="A425" t="str">
        <f>"13"</f>
        <v>13</v>
      </c>
      <c r="B425" t="str">
        <f>"13.1015"</f>
        <v>13.1015</v>
      </c>
      <c r="C425" t="s">
        <v>3719</v>
      </c>
      <c r="D425" t="s">
        <v>3718</v>
      </c>
    </row>
    <row r="426" spans="1:5" x14ac:dyDescent="0.3">
      <c r="A426" t="str">
        <f>"13"</f>
        <v>13</v>
      </c>
      <c r="B426" t="str">
        <f>"13.1016"</f>
        <v>13.1016</v>
      </c>
      <c r="C426" t="s">
        <v>3717</v>
      </c>
      <c r="D426" t="s">
        <v>3716</v>
      </c>
    </row>
    <row r="427" spans="1:5" x14ac:dyDescent="0.3">
      <c r="A427" t="str">
        <f>"13"</f>
        <v>13</v>
      </c>
      <c r="B427" t="str">
        <f>"13.1017"</f>
        <v>13.1017</v>
      </c>
      <c r="C427" t="s">
        <v>3715</v>
      </c>
      <c r="D427" t="s">
        <v>3714</v>
      </c>
    </row>
    <row r="428" spans="1:5" x14ac:dyDescent="0.3">
      <c r="A428" t="str">
        <f>"13"</f>
        <v>13</v>
      </c>
      <c r="B428" t="str">
        <f>"13.1018"</f>
        <v>13.1018</v>
      </c>
      <c r="C428" t="s">
        <v>3713</v>
      </c>
      <c r="D428" t="s">
        <v>3712</v>
      </c>
    </row>
    <row r="429" spans="1:5" x14ac:dyDescent="0.3">
      <c r="A429" t="str">
        <f>"13"</f>
        <v>13</v>
      </c>
      <c r="B429" t="str">
        <f>"13.1019"</f>
        <v>13.1019</v>
      </c>
      <c r="C429" t="s">
        <v>3711</v>
      </c>
      <c r="D429" t="s">
        <v>3710</v>
      </c>
    </row>
    <row r="430" spans="1:5" x14ac:dyDescent="0.3">
      <c r="A430" t="str">
        <f>"13"</f>
        <v>13</v>
      </c>
      <c r="B430" t="str">
        <f>"13.1099"</f>
        <v>13.1099</v>
      </c>
      <c r="C430" t="s">
        <v>3709</v>
      </c>
      <c r="D430" t="s">
        <v>3708</v>
      </c>
    </row>
    <row r="431" spans="1:5" x14ac:dyDescent="0.3">
      <c r="A431" t="str">
        <f>"13"</f>
        <v>13</v>
      </c>
      <c r="B431" t="str">
        <f>"13.11"</f>
        <v>13.11</v>
      </c>
      <c r="C431" t="s">
        <v>3707</v>
      </c>
      <c r="D431" t="s">
        <v>3706</v>
      </c>
    </row>
    <row r="432" spans="1:5" x14ac:dyDescent="0.3">
      <c r="A432" t="str">
        <f>"13"</f>
        <v>13</v>
      </c>
      <c r="B432" t="str">
        <f>"13.1101"</f>
        <v>13.1101</v>
      </c>
      <c r="C432" t="s">
        <v>3705</v>
      </c>
      <c r="D432" t="s">
        <v>3704</v>
      </c>
      <c r="E432" t="s">
        <v>3703</v>
      </c>
    </row>
    <row r="433" spans="1:6" x14ac:dyDescent="0.3">
      <c r="A433" t="str">
        <f>"13"</f>
        <v>13</v>
      </c>
      <c r="B433" t="str">
        <f>"13.1102"</f>
        <v>13.1102</v>
      </c>
      <c r="C433" t="s">
        <v>3702</v>
      </c>
      <c r="D433" t="s">
        <v>3701</v>
      </c>
    </row>
    <row r="434" spans="1:6" x14ac:dyDescent="0.3">
      <c r="A434" t="str">
        <f>"13"</f>
        <v>13</v>
      </c>
      <c r="B434" t="str">
        <f>"13.1199"</f>
        <v>13.1199</v>
      </c>
      <c r="C434" t="s">
        <v>3700</v>
      </c>
      <c r="D434" t="s">
        <v>3699</v>
      </c>
    </row>
    <row r="435" spans="1:6" x14ac:dyDescent="0.3">
      <c r="A435" t="str">
        <f>"13"</f>
        <v>13</v>
      </c>
      <c r="B435" t="str">
        <f>"13.12"</f>
        <v>13.12</v>
      </c>
      <c r="C435" t="s">
        <v>3698</v>
      </c>
      <c r="D435" t="s">
        <v>3697</v>
      </c>
    </row>
    <row r="436" spans="1:6" x14ac:dyDescent="0.3">
      <c r="A436" t="str">
        <f>"13"</f>
        <v>13</v>
      </c>
      <c r="B436" t="str">
        <f>"13.1201"</f>
        <v>13.1201</v>
      </c>
      <c r="C436" t="s">
        <v>3696</v>
      </c>
      <c r="D436" t="s">
        <v>3695</v>
      </c>
      <c r="F436" t="s">
        <v>6082</v>
      </c>
    </row>
    <row r="437" spans="1:6" x14ac:dyDescent="0.3">
      <c r="A437" t="str">
        <f>"13"</f>
        <v>13</v>
      </c>
      <c r="B437" t="str">
        <f>"13.1202"</f>
        <v>13.1202</v>
      </c>
      <c r="C437" t="s">
        <v>3694</v>
      </c>
      <c r="D437" t="s">
        <v>3693</v>
      </c>
    </row>
    <row r="438" spans="1:6" x14ac:dyDescent="0.3">
      <c r="A438" t="str">
        <f>"13"</f>
        <v>13</v>
      </c>
      <c r="B438" t="str">
        <f>"13.1203"</f>
        <v>13.1203</v>
      </c>
      <c r="C438" t="s">
        <v>3692</v>
      </c>
      <c r="D438" t="s">
        <v>3691</v>
      </c>
    </row>
    <row r="439" spans="1:6" x14ac:dyDescent="0.3">
      <c r="A439" t="str">
        <f>"13"</f>
        <v>13</v>
      </c>
      <c r="B439" t="str">
        <f>"13.1205"</f>
        <v>13.1205</v>
      </c>
      <c r="C439" t="s">
        <v>3690</v>
      </c>
      <c r="D439" t="s">
        <v>3689</v>
      </c>
    </row>
    <row r="440" spans="1:6" x14ac:dyDescent="0.3">
      <c r="A440" t="str">
        <f>"13"</f>
        <v>13</v>
      </c>
      <c r="B440" t="str">
        <f>"13.1206"</f>
        <v>13.1206</v>
      </c>
      <c r="C440" t="s">
        <v>3688</v>
      </c>
      <c r="D440" t="s">
        <v>3687</v>
      </c>
    </row>
    <row r="441" spans="1:6" x14ac:dyDescent="0.3">
      <c r="A441" t="str">
        <f>"13"</f>
        <v>13</v>
      </c>
      <c r="B441" t="str">
        <f>"13.1207"</f>
        <v>13.1207</v>
      </c>
      <c r="C441" t="s">
        <v>3686</v>
      </c>
      <c r="D441" t="s">
        <v>3685</v>
      </c>
    </row>
    <row r="442" spans="1:6" x14ac:dyDescent="0.3">
      <c r="A442" t="str">
        <f>"13"</f>
        <v>13</v>
      </c>
      <c r="B442" t="str">
        <f>"13.1208"</f>
        <v>13.1208</v>
      </c>
      <c r="C442" t="s">
        <v>3684</v>
      </c>
      <c r="D442" t="s">
        <v>3683</v>
      </c>
    </row>
    <row r="443" spans="1:6" x14ac:dyDescent="0.3">
      <c r="A443" t="str">
        <f>"13"</f>
        <v>13</v>
      </c>
      <c r="B443" t="str">
        <f>"13.1209"</f>
        <v>13.1209</v>
      </c>
      <c r="C443" t="s">
        <v>3682</v>
      </c>
      <c r="D443" t="s">
        <v>3681</v>
      </c>
    </row>
    <row r="444" spans="1:6" x14ac:dyDescent="0.3">
      <c r="A444" t="str">
        <f>"13"</f>
        <v>13</v>
      </c>
      <c r="B444" t="str">
        <f>"13.1210"</f>
        <v>13.1210</v>
      </c>
      <c r="C444" t="s">
        <v>3679</v>
      </c>
      <c r="D444" t="s">
        <v>3678</v>
      </c>
      <c r="E444" t="s">
        <v>3677</v>
      </c>
      <c r="F444" t="s">
        <v>3676</v>
      </c>
    </row>
    <row r="445" spans="1:6" x14ac:dyDescent="0.3">
      <c r="A445" t="str">
        <f>"13"</f>
        <v>13</v>
      </c>
      <c r="B445" t="str">
        <f>"13.1211"</f>
        <v>13.1211</v>
      </c>
      <c r="C445" t="s">
        <v>6081</v>
      </c>
      <c r="D445" t="s">
        <v>6080</v>
      </c>
    </row>
    <row r="446" spans="1:6" x14ac:dyDescent="0.3">
      <c r="A446" t="str">
        <f>"13"</f>
        <v>13</v>
      </c>
      <c r="B446" t="str">
        <f>"13.1212"</f>
        <v>13.1212</v>
      </c>
      <c r="C446" t="s">
        <v>6079</v>
      </c>
      <c r="D446" t="s">
        <v>6078</v>
      </c>
    </row>
    <row r="447" spans="1:6" x14ac:dyDescent="0.3">
      <c r="A447" t="str">
        <f>"13"</f>
        <v>13</v>
      </c>
      <c r="B447" t="str">
        <f>"13.1213"</f>
        <v>13.1213</v>
      </c>
      <c r="C447" t="s">
        <v>6077</v>
      </c>
      <c r="D447" t="s">
        <v>6076</v>
      </c>
      <c r="F447" t="s">
        <v>6075</v>
      </c>
    </row>
    <row r="448" spans="1:6" x14ac:dyDescent="0.3">
      <c r="A448" t="str">
        <f>"13"</f>
        <v>13</v>
      </c>
      <c r="B448" t="str">
        <f>"13.1214"</f>
        <v>13.1214</v>
      </c>
      <c r="C448" t="s">
        <v>6074</v>
      </c>
      <c r="D448" t="s">
        <v>6073</v>
      </c>
      <c r="F448" t="s">
        <v>6072</v>
      </c>
    </row>
    <row r="449" spans="1:6" x14ac:dyDescent="0.3">
      <c r="A449" t="str">
        <f>"13"</f>
        <v>13</v>
      </c>
      <c r="B449" t="str">
        <f>"13.1299"</f>
        <v>13.1299</v>
      </c>
      <c r="C449" t="s">
        <v>3675</v>
      </c>
      <c r="D449" t="s">
        <v>3674</v>
      </c>
    </row>
    <row r="450" spans="1:6" x14ac:dyDescent="0.3">
      <c r="A450" t="str">
        <f>"13"</f>
        <v>13</v>
      </c>
      <c r="B450" t="str">
        <f>"13.13"</f>
        <v>13.13</v>
      </c>
      <c r="C450" t="s">
        <v>3673</v>
      </c>
      <c r="D450" t="s">
        <v>3672</v>
      </c>
    </row>
    <row r="451" spans="1:6" x14ac:dyDescent="0.3">
      <c r="A451" t="str">
        <f>"13"</f>
        <v>13</v>
      </c>
      <c r="B451" t="str">
        <f>"13.1301"</f>
        <v>13.1301</v>
      </c>
      <c r="C451" t="s">
        <v>3671</v>
      </c>
      <c r="D451" t="s">
        <v>3670</v>
      </c>
      <c r="E451" t="s">
        <v>3669</v>
      </c>
    </row>
    <row r="452" spans="1:6" x14ac:dyDescent="0.3">
      <c r="A452" t="str">
        <f>"13"</f>
        <v>13</v>
      </c>
      <c r="B452" t="str">
        <f>"13.1302"</f>
        <v>13.1302</v>
      </c>
      <c r="C452" t="s">
        <v>3668</v>
      </c>
      <c r="D452" t="s">
        <v>3667</v>
      </c>
    </row>
    <row r="453" spans="1:6" x14ac:dyDescent="0.3">
      <c r="A453" t="str">
        <f>"13"</f>
        <v>13</v>
      </c>
      <c r="B453" t="str">
        <f>"13.1303"</f>
        <v>13.1303</v>
      </c>
      <c r="C453" t="s">
        <v>6071</v>
      </c>
      <c r="D453" t="s">
        <v>6070</v>
      </c>
      <c r="F453" t="s">
        <v>6069</v>
      </c>
    </row>
    <row r="454" spans="1:6" x14ac:dyDescent="0.3">
      <c r="A454" t="str">
        <f>"13"</f>
        <v>13</v>
      </c>
      <c r="B454" t="str">
        <f>"13.1304"</f>
        <v>13.1304</v>
      </c>
      <c r="C454" t="s">
        <v>3666</v>
      </c>
      <c r="D454" t="s">
        <v>3665</v>
      </c>
    </row>
    <row r="455" spans="1:6" x14ac:dyDescent="0.3">
      <c r="A455" t="str">
        <f>"13"</f>
        <v>13</v>
      </c>
      <c r="B455" t="str">
        <f>"13.1305"</f>
        <v>13.1305</v>
      </c>
      <c r="C455" t="s">
        <v>3664</v>
      </c>
      <c r="D455" t="s">
        <v>3663</v>
      </c>
    </row>
    <row r="456" spans="1:6" x14ac:dyDescent="0.3">
      <c r="A456" t="str">
        <f>"13"</f>
        <v>13</v>
      </c>
      <c r="B456" t="str">
        <f>"13.1306"</f>
        <v>13.1306</v>
      </c>
      <c r="C456" t="s">
        <v>3662</v>
      </c>
      <c r="D456" t="s">
        <v>3661</v>
      </c>
    </row>
    <row r="457" spans="1:6" x14ac:dyDescent="0.3">
      <c r="A457" t="str">
        <f>"13"</f>
        <v>13</v>
      </c>
      <c r="B457" t="str">
        <f>"13.1307"</f>
        <v>13.1307</v>
      </c>
      <c r="C457" t="s">
        <v>3660</v>
      </c>
      <c r="D457" t="s">
        <v>3659</v>
      </c>
    </row>
    <row r="458" spans="1:6" x14ac:dyDescent="0.3">
      <c r="A458" t="str">
        <f>"13"</f>
        <v>13</v>
      </c>
      <c r="B458" t="str">
        <f>"13.1308"</f>
        <v>13.1308</v>
      </c>
      <c r="C458" t="s">
        <v>3658</v>
      </c>
      <c r="D458" t="s">
        <v>3657</v>
      </c>
      <c r="E458" t="s">
        <v>3656</v>
      </c>
    </row>
    <row r="459" spans="1:6" x14ac:dyDescent="0.3">
      <c r="A459" t="str">
        <f>"13"</f>
        <v>13</v>
      </c>
      <c r="B459" t="str">
        <f>"13.1309"</f>
        <v>13.1309</v>
      </c>
      <c r="C459" t="s">
        <v>3655</v>
      </c>
      <c r="D459" t="s">
        <v>3654</v>
      </c>
    </row>
    <row r="460" spans="1:6" x14ac:dyDescent="0.3">
      <c r="A460" t="str">
        <f>"13"</f>
        <v>13</v>
      </c>
      <c r="B460" t="str">
        <f>"13.1310"</f>
        <v>13.1310</v>
      </c>
      <c r="C460" t="s">
        <v>3653</v>
      </c>
      <c r="D460" t="s">
        <v>3652</v>
      </c>
    </row>
    <row r="461" spans="1:6" x14ac:dyDescent="0.3">
      <c r="A461" t="str">
        <f>"13"</f>
        <v>13</v>
      </c>
      <c r="B461" t="str">
        <f>"13.1311"</f>
        <v>13.1311</v>
      </c>
      <c r="C461" t="s">
        <v>3651</v>
      </c>
      <c r="D461" t="s">
        <v>3650</v>
      </c>
      <c r="F461" t="s">
        <v>3602</v>
      </c>
    </row>
    <row r="462" spans="1:6" x14ac:dyDescent="0.3">
      <c r="A462" t="str">
        <f>"13"</f>
        <v>13</v>
      </c>
      <c r="B462" t="str">
        <f>"13.1312"</f>
        <v>13.1312</v>
      </c>
      <c r="C462" t="s">
        <v>3649</v>
      </c>
      <c r="D462" t="s">
        <v>3648</v>
      </c>
    </row>
    <row r="463" spans="1:6" x14ac:dyDescent="0.3">
      <c r="A463" t="str">
        <f>"13"</f>
        <v>13</v>
      </c>
      <c r="B463" t="str">
        <f>"13.1314"</f>
        <v>13.1314</v>
      </c>
      <c r="C463" t="s">
        <v>3647</v>
      </c>
      <c r="D463" t="s">
        <v>3646</v>
      </c>
    </row>
    <row r="464" spans="1:6" x14ac:dyDescent="0.3">
      <c r="A464" t="str">
        <f>"13"</f>
        <v>13</v>
      </c>
      <c r="B464" t="str">
        <f>"13.1315"</f>
        <v>13.1315</v>
      </c>
      <c r="C464" t="s">
        <v>3645</v>
      </c>
      <c r="D464" t="s">
        <v>3644</v>
      </c>
    </row>
    <row r="465" spans="1:4" x14ac:dyDescent="0.3">
      <c r="A465" t="str">
        <f>"13"</f>
        <v>13</v>
      </c>
      <c r="B465" t="str">
        <f>"13.1316"</f>
        <v>13.1316</v>
      </c>
      <c r="C465" t="s">
        <v>3643</v>
      </c>
      <c r="D465" t="s">
        <v>3642</v>
      </c>
    </row>
    <row r="466" spans="1:4" x14ac:dyDescent="0.3">
      <c r="A466" t="str">
        <f>"13"</f>
        <v>13</v>
      </c>
      <c r="B466" t="str">
        <f>"13.1317"</f>
        <v>13.1317</v>
      </c>
      <c r="C466" t="s">
        <v>3641</v>
      </c>
      <c r="D466" t="s">
        <v>3640</v>
      </c>
    </row>
    <row r="467" spans="1:4" x14ac:dyDescent="0.3">
      <c r="A467" t="str">
        <f>"13"</f>
        <v>13</v>
      </c>
      <c r="B467" t="str">
        <f>"13.1318"</f>
        <v>13.1318</v>
      </c>
      <c r="C467" t="s">
        <v>3639</v>
      </c>
      <c r="D467" t="s">
        <v>3638</v>
      </c>
    </row>
    <row r="468" spans="1:4" x14ac:dyDescent="0.3">
      <c r="A468" t="str">
        <f>"13"</f>
        <v>13</v>
      </c>
      <c r="B468" t="str">
        <f>"13.1319"</f>
        <v>13.1319</v>
      </c>
      <c r="C468" t="s">
        <v>3637</v>
      </c>
      <c r="D468" t="s">
        <v>3636</v>
      </c>
    </row>
    <row r="469" spans="1:4" x14ac:dyDescent="0.3">
      <c r="A469" t="str">
        <f>"13"</f>
        <v>13</v>
      </c>
      <c r="B469" t="str">
        <f>"13.1320"</f>
        <v>13.1320</v>
      </c>
      <c r="C469" t="s">
        <v>3635</v>
      </c>
      <c r="D469" t="s">
        <v>3634</v>
      </c>
    </row>
    <row r="470" spans="1:4" x14ac:dyDescent="0.3">
      <c r="A470" t="str">
        <f>"13"</f>
        <v>13</v>
      </c>
      <c r="B470" t="str">
        <f>"13.1321"</f>
        <v>13.1321</v>
      </c>
      <c r="C470" t="s">
        <v>3633</v>
      </c>
      <c r="D470" t="s">
        <v>3632</v>
      </c>
    </row>
    <row r="471" spans="1:4" x14ac:dyDescent="0.3">
      <c r="A471" t="str">
        <f>"13"</f>
        <v>13</v>
      </c>
      <c r="B471" t="str">
        <f>"13.1322"</f>
        <v>13.1322</v>
      </c>
      <c r="C471" t="s">
        <v>3631</v>
      </c>
      <c r="D471" t="s">
        <v>3630</v>
      </c>
    </row>
    <row r="472" spans="1:4" x14ac:dyDescent="0.3">
      <c r="A472" t="str">
        <f>"13"</f>
        <v>13</v>
      </c>
      <c r="B472" t="str">
        <f>"13.1323"</f>
        <v>13.1323</v>
      </c>
      <c r="C472" t="s">
        <v>3629</v>
      </c>
      <c r="D472" t="s">
        <v>3628</v>
      </c>
    </row>
    <row r="473" spans="1:4" x14ac:dyDescent="0.3">
      <c r="A473" t="str">
        <f>"13"</f>
        <v>13</v>
      </c>
      <c r="B473" t="str">
        <f>"13.1324"</f>
        <v>13.1324</v>
      </c>
      <c r="C473" t="s">
        <v>3627</v>
      </c>
      <c r="D473" t="s">
        <v>3626</v>
      </c>
    </row>
    <row r="474" spans="1:4" x14ac:dyDescent="0.3">
      <c r="A474" t="str">
        <f>"13"</f>
        <v>13</v>
      </c>
      <c r="B474" t="str">
        <f>"13.1325"</f>
        <v>13.1325</v>
      </c>
      <c r="C474" t="s">
        <v>3625</v>
      </c>
      <c r="D474" t="s">
        <v>3624</v>
      </c>
    </row>
    <row r="475" spans="1:4" x14ac:dyDescent="0.3">
      <c r="A475" t="str">
        <f>"13"</f>
        <v>13</v>
      </c>
      <c r="B475" t="str">
        <f>"13.1326"</f>
        <v>13.1326</v>
      </c>
      <c r="C475" t="s">
        <v>3623</v>
      </c>
      <c r="D475" t="s">
        <v>3622</v>
      </c>
    </row>
    <row r="476" spans="1:4" x14ac:dyDescent="0.3">
      <c r="A476" t="str">
        <f>"13"</f>
        <v>13</v>
      </c>
      <c r="B476" t="str">
        <f>"13.1327"</f>
        <v>13.1327</v>
      </c>
      <c r="C476" t="s">
        <v>3621</v>
      </c>
      <c r="D476" t="s">
        <v>3620</v>
      </c>
    </row>
    <row r="477" spans="1:4" x14ac:dyDescent="0.3">
      <c r="A477" t="str">
        <f>"13"</f>
        <v>13</v>
      </c>
      <c r="B477" t="str">
        <f>"13.1328"</f>
        <v>13.1328</v>
      </c>
      <c r="C477" t="s">
        <v>3619</v>
      </c>
      <c r="D477" t="s">
        <v>3618</v>
      </c>
    </row>
    <row r="478" spans="1:4" x14ac:dyDescent="0.3">
      <c r="A478" t="str">
        <f>"13"</f>
        <v>13</v>
      </c>
      <c r="B478" t="str">
        <f>"13.1329"</f>
        <v>13.1329</v>
      </c>
      <c r="C478" t="s">
        <v>3617</v>
      </c>
      <c r="D478" t="s">
        <v>3616</v>
      </c>
    </row>
    <row r="479" spans="1:4" x14ac:dyDescent="0.3">
      <c r="A479" t="str">
        <f>"13"</f>
        <v>13</v>
      </c>
      <c r="B479" t="str">
        <f>"13.1330"</f>
        <v>13.1330</v>
      </c>
      <c r="C479" t="s">
        <v>3615</v>
      </c>
      <c r="D479" t="s">
        <v>3614</v>
      </c>
    </row>
    <row r="480" spans="1:4" x14ac:dyDescent="0.3">
      <c r="A480" t="str">
        <f>"13"</f>
        <v>13</v>
      </c>
      <c r="B480" t="str">
        <f>"13.1331"</f>
        <v>13.1331</v>
      </c>
      <c r="C480" t="s">
        <v>3613</v>
      </c>
      <c r="D480" t="s">
        <v>3612</v>
      </c>
    </row>
    <row r="481" spans="1:6" x14ac:dyDescent="0.3">
      <c r="A481" t="str">
        <f>"13"</f>
        <v>13</v>
      </c>
      <c r="B481" t="str">
        <f>"13.1332"</f>
        <v>13.1332</v>
      </c>
      <c r="C481" t="s">
        <v>3611</v>
      </c>
      <c r="D481" t="s">
        <v>3610</v>
      </c>
    </row>
    <row r="482" spans="1:6" x14ac:dyDescent="0.3">
      <c r="A482" t="str">
        <f>"13"</f>
        <v>13</v>
      </c>
      <c r="B482" t="str">
        <f>"13.1333"</f>
        <v>13.1333</v>
      </c>
      <c r="C482" t="s">
        <v>3609</v>
      </c>
      <c r="D482" t="s">
        <v>3608</v>
      </c>
    </row>
    <row r="483" spans="1:6" x14ac:dyDescent="0.3">
      <c r="A483" t="str">
        <f>"13"</f>
        <v>13</v>
      </c>
      <c r="B483" t="str">
        <f>"13.1334"</f>
        <v>13.1334</v>
      </c>
      <c r="C483" t="s">
        <v>3607</v>
      </c>
      <c r="D483" t="s">
        <v>3606</v>
      </c>
      <c r="E483" t="s">
        <v>3605</v>
      </c>
    </row>
    <row r="484" spans="1:6" x14ac:dyDescent="0.3">
      <c r="A484" t="str">
        <f>"13"</f>
        <v>13</v>
      </c>
      <c r="B484" t="str">
        <f>"13.1335"</f>
        <v>13.1335</v>
      </c>
      <c r="C484" t="s">
        <v>3604</v>
      </c>
      <c r="D484" t="s">
        <v>3603</v>
      </c>
    </row>
    <row r="485" spans="1:6" x14ac:dyDescent="0.3">
      <c r="A485" t="str">
        <f>"13"</f>
        <v>13</v>
      </c>
      <c r="B485" t="str">
        <f>"13.1337"</f>
        <v>13.1337</v>
      </c>
      <c r="C485" t="s">
        <v>3601</v>
      </c>
      <c r="D485" t="s">
        <v>3600</v>
      </c>
      <c r="F485" t="s">
        <v>3584</v>
      </c>
    </row>
    <row r="486" spans="1:6" x14ac:dyDescent="0.3">
      <c r="A486" t="str">
        <f>"13"</f>
        <v>13</v>
      </c>
      <c r="B486" t="str">
        <f>"13.1338"</f>
        <v>13.1338</v>
      </c>
      <c r="C486" t="s">
        <v>3599</v>
      </c>
      <c r="D486" t="s">
        <v>3598</v>
      </c>
      <c r="E486" t="s">
        <v>3597</v>
      </c>
    </row>
    <row r="487" spans="1:6" x14ac:dyDescent="0.3">
      <c r="A487" t="str">
        <f>"13"</f>
        <v>13</v>
      </c>
      <c r="B487" t="str">
        <f>"13.1339"</f>
        <v>13.1339</v>
      </c>
      <c r="C487" t="s">
        <v>6068</v>
      </c>
      <c r="D487" t="s">
        <v>6067</v>
      </c>
    </row>
    <row r="488" spans="1:6" x14ac:dyDescent="0.3">
      <c r="A488" t="str">
        <f>"13"</f>
        <v>13</v>
      </c>
      <c r="B488" t="str">
        <f>"13.1399"</f>
        <v>13.1399</v>
      </c>
      <c r="C488" t="s">
        <v>3596</v>
      </c>
      <c r="D488" t="s">
        <v>3595</v>
      </c>
    </row>
    <row r="489" spans="1:6" x14ac:dyDescent="0.3">
      <c r="A489" t="str">
        <f>"13"</f>
        <v>13</v>
      </c>
      <c r="B489" t="str">
        <f>"13.14"</f>
        <v>13.14</v>
      </c>
      <c r="C489" t="s">
        <v>3594</v>
      </c>
      <c r="D489" t="s">
        <v>3593</v>
      </c>
    </row>
    <row r="490" spans="1:6" x14ac:dyDescent="0.3">
      <c r="A490" t="str">
        <f>"13"</f>
        <v>13</v>
      </c>
      <c r="B490" t="str">
        <f>"13.1401"</f>
        <v>13.1401</v>
      </c>
      <c r="C490" t="s">
        <v>3592</v>
      </c>
      <c r="D490" t="s">
        <v>3591</v>
      </c>
    </row>
    <row r="491" spans="1:6" x14ac:dyDescent="0.3">
      <c r="A491" t="str">
        <f>"13"</f>
        <v>13</v>
      </c>
      <c r="B491" t="str">
        <f>"13.1402"</f>
        <v>13.1402</v>
      </c>
      <c r="C491" t="s">
        <v>3590</v>
      </c>
      <c r="D491" t="s">
        <v>3589</v>
      </c>
    </row>
    <row r="492" spans="1:6" x14ac:dyDescent="0.3">
      <c r="A492" t="str">
        <f>"13"</f>
        <v>13</v>
      </c>
      <c r="B492" t="str">
        <f>"13.1499"</f>
        <v>13.1499</v>
      </c>
      <c r="C492" t="s">
        <v>3588</v>
      </c>
      <c r="D492" t="s">
        <v>3587</v>
      </c>
    </row>
    <row r="493" spans="1:6" x14ac:dyDescent="0.3">
      <c r="A493" t="str">
        <f>"13"</f>
        <v>13</v>
      </c>
      <c r="B493" t="str">
        <f>"13.15"</f>
        <v>13.15</v>
      </c>
      <c r="C493" t="s">
        <v>3586</v>
      </c>
      <c r="D493" t="s">
        <v>3585</v>
      </c>
    </row>
    <row r="494" spans="1:6" x14ac:dyDescent="0.3">
      <c r="A494" t="str">
        <f>"13"</f>
        <v>13</v>
      </c>
      <c r="B494" t="str">
        <f>"13.1501"</f>
        <v>13.1501</v>
      </c>
      <c r="C494" t="s">
        <v>3583</v>
      </c>
      <c r="D494" t="s">
        <v>3582</v>
      </c>
      <c r="E494" t="s">
        <v>3581</v>
      </c>
      <c r="F494" t="s">
        <v>3569</v>
      </c>
    </row>
    <row r="495" spans="1:6" x14ac:dyDescent="0.3">
      <c r="A495" t="str">
        <f>"13"</f>
        <v>13</v>
      </c>
      <c r="B495" t="str">
        <f>"13.1502"</f>
        <v>13.1502</v>
      </c>
      <c r="C495" t="s">
        <v>3580</v>
      </c>
      <c r="D495" t="s">
        <v>3579</v>
      </c>
    </row>
    <row r="496" spans="1:6" x14ac:dyDescent="0.3">
      <c r="A496" t="str">
        <f>"13"</f>
        <v>13</v>
      </c>
      <c r="B496" t="str">
        <f>"13.1599"</f>
        <v>13.1599</v>
      </c>
      <c r="C496" t="s">
        <v>3578</v>
      </c>
      <c r="D496" t="s">
        <v>3577</v>
      </c>
    </row>
    <row r="497" spans="1:6" x14ac:dyDescent="0.3">
      <c r="A497" t="str">
        <f>"13"</f>
        <v>13</v>
      </c>
      <c r="B497" t="str">
        <f>"13.99"</f>
        <v>13.99</v>
      </c>
      <c r="C497" t="s">
        <v>3575</v>
      </c>
      <c r="D497" t="s">
        <v>3576</v>
      </c>
    </row>
    <row r="498" spans="1:6" x14ac:dyDescent="0.3">
      <c r="A498" t="str">
        <f>"13"</f>
        <v>13</v>
      </c>
      <c r="B498" t="str">
        <f>"13.9999"</f>
        <v>13.9999</v>
      </c>
      <c r="C498" t="s">
        <v>3575</v>
      </c>
      <c r="D498" t="s">
        <v>3574</v>
      </c>
    </row>
    <row r="499" spans="1:6" x14ac:dyDescent="0.3">
      <c r="A499" t="str">
        <f>"14"</f>
        <v>14</v>
      </c>
      <c r="B499" t="str">
        <f>"14"</f>
        <v>14</v>
      </c>
      <c r="C499" t="s">
        <v>3573</v>
      </c>
      <c r="D499" t="s">
        <v>3572</v>
      </c>
    </row>
    <row r="500" spans="1:6" x14ac:dyDescent="0.3">
      <c r="A500" t="str">
        <f>"14"</f>
        <v>14</v>
      </c>
      <c r="B500" t="str">
        <f>"14.01"</f>
        <v>14.01</v>
      </c>
      <c r="C500" t="s">
        <v>3571</v>
      </c>
      <c r="D500" t="s">
        <v>6066</v>
      </c>
    </row>
    <row r="501" spans="1:6" x14ac:dyDescent="0.3">
      <c r="A501" t="str">
        <f>"14"</f>
        <v>14</v>
      </c>
      <c r="B501" t="str">
        <f>"14.0101"</f>
        <v>14.0101</v>
      </c>
      <c r="C501" t="s">
        <v>3571</v>
      </c>
      <c r="D501" t="s">
        <v>3570</v>
      </c>
    </row>
    <row r="502" spans="1:6" x14ac:dyDescent="0.3">
      <c r="A502" t="str">
        <f>"14"</f>
        <v>14</v>
      </c>
      <c r="B502" t="str">
        <f>"14.0102"</f>
        <v>14.0102</v>
      </c>
      <c r="C502" t="s">
        <v>3568</v>
      </c>
      <c r="D502" t="s">
        <v>3567</v>
      </c>
      <c r="F502" t="s">
        <v>3566</v>
      </c>
    </row>
    <row r="503" spans="1:6" x14ac:dyDescent="0.3">
      <c r="A503" t="str">
        <f>"14"</f>
        <v>14</v>
      </c>
      <c r="B503" t="str">
        <f>"14.0103"</f>
        <v>14.0103</v>
      </c>
      <c r="C503" t="s">
        <v>6065</v>
      </c>
      <c r="D503" t="s">
        <v>6064</v>
      </c>
    </row>
    <row r="504" spans="1:6" x14ac:dyDescent="0.3">
      <c r="A504" t="str">
        <f>"14"</f>
        <v>14</v>
      </c>
      <c r="B504" t="str">
        <f>"14.02"</f>
        <v>14.02</v>
      </c>
      <c r="C504" t="s">
        <v>6063</v>
      </c>
      <c r="D504" t="s">
        <v>6062</v>
      </c>
    </row>
    <row r="505" spans="1:6" x14ac:dyDescent="0.3">
      <c r="A505" t="str">
        <f>"14"</f>
        <v>14</v>
      </c>
      <c r="B505" t="str">
        <f>"14.0201"</f>
        <v>14.0201</v>
      </c>
      <c r="C505" t="s">
        <v>6061</v>
      </c>
      <c r="D505" t="s">
        <v>3565</v>
      </c>
      <c r="F505" t="s">
        <v>6060</v>
      </c>
    </row>
    <row r="506" spans="1:6" x14ac:dyDescent="0.3">
      <c r="A506" t="str">
        <f>"14"</f>
        <v>14</v>
      </c>
      <c r="B506" t="str">
        <f>"14.0202"</f>
        <v>14.0202</v>
      </c>
      <c r="C506" t="s">
        <v>6059</v>
      </c>
      <c r="D506" t="s">
        <v>6058</v>
      </c>
    </row>
    <row r="507" spans="1:6" x14ac:dyDescent="0.3">
      <c r="A507" t="str">
        <f>"14"</f>
        <v>14</v>
      </c>
      <c r="B507" t="str">
        <f>"14.0299"</f>
        <v>14.0299</v>
      </c>
      <c r="C507" t="s">
        <v>6057</v>
      </c>
      <c r="D507" t="s">
        <v>6056</v>
      </c>
    </row>
    <row r="508" spans="1:6" x14ac:dyDescent="0.3">
      <c r="A508" t="str">
        <f>"14"</f>
        <v>14</v>
      </c>
      <c r="B508" t="str">
        <f>"14.03"</f>
        <v>14.03</v>
      </c>
      <c r="C508" t="s">
        <v>3563</v>
      </c>
      <c r="D508" t="s">
        <v>3564</v>
      </c>
    </row>
    <row r="509" spans="1:6" x14ac:dyDescent="0.3">
      <c r="A509" t="str">
        <f>"14"</f>
        <v>14</v>
      </c>
      <c r="B509" t="str">
        <f>"14.0301"</f>
        <v>14.0301</v>
      </c>
      <c r="C509" t="s">
        <v>3563</v>
      </c>
      <c r="D509" t="s">
        <v>3562</v>
      </c>
      <c r="F509" t="s">
        <v>3555</v>
      </c>
    </row>
    <row r="510" spans="1:6" x14ac:dyDescent="0.3">
      <c r="A510" t="str">
        <f>"14"</f>
        <v>14</v>
      </c>
      <c r="B510" t="str">
        <f>"14.04"</f>
        <v>14.04</v>
      </c>
      <c r="C510" t="s">
        <v>3560</v>
      </c>
      <c r="D510" t="s">
        <v>3561</v>
      </c>
    </row>
    <row r="511" spans="1:6" x14ac:dyDescent="0.3">
      <c r="A511" t="str">
        <f>"14"</f>
        <v>14</v>
      </c>
      <c r="B511" t="str">
        <f>"14.0401"</f>
        <v>14.0401</v>
      </c>
      <c r="C511" t="s">
        <v>3560</v>
      </c>
      <c r="D511" t="s">
        <v>3559</v>
      </c>
      <c r="E511" t="s">
        <v>3558</v>
      </c>
    </row>
    <row r="512" spans="1:6" x14ac:dyDescent="0.3">
      <c r="A512" t="str">
        <f>"14"</f>
        <v>14</v>
      </c>
      <c r="B512" t="str">
        <f>"14.05"</f>
        <v>14.05</v>
      </c>
      <c r="C512" t="s">
        <v>3557</v>
      </c>
      <c r="D512" t="s">
        <v>3556</v>
      </c>
    </row>
    <row r="513" spans="1:6" x14ac:dyDescent="0.3">
      <c r="A513" t="str">
        <f>"14"</f>
        <v>14</v>
      </c>
      <c r="B513" t="str">
        <f>"14.0501"</f>
        <v>14.0501</v>
      </c>
      <c r="C513" t="s">
        <v>3554</v>
      </c>
      <c r="D513" t="s">
        <v>3553</v>
      </c>
      <c r="E513" t="s">
        <v>6055</v>
      </c>
      <c r="F513" t="s">
        <v>6054</v>
      </c>
    </row>
    <row r="514" spans="1:6" x14ac:dyDescent="0.3">
      <c r="A514" t="str">
        <f>"14"</f>
        <v>14</v>
      </c>
      <c r="B514" t="str">
        <f>"14.06"</f>
        <v>14.06</v>
      </c>
      <c r="C514" t="s">
        <v>3551</v>
      </c>
      <c r="D514" t="s">
        <v>3552</v>
      </c>
    </row>
    <row r="515" spans="1:6" x14ac:dyDescent="0.3">
      <c r="A515" t="str">
        <f>"14"</f>
        <v>14</v>
      </c>
      <c r="B515" t="str">
        <f>"14.0601"</f>
        <v>14.0601</v>
      </c>
      <c r="C515" t="s">
        <v>3551</v>
      </c>
      <c r="D515" t="s">
        <v>3550</v>
      </c>
      <c r="E515" t="s">
        <v>3549</v>
      </c>
    </row>
    <row r="516" spans="1:6" x14ac:dyDescent="0.3">
      <c r="A516" t="str">
        <f>"14"</f>
        <v>14</v>
      </c>
      <c r="B516" t="str">
        <f>"14.07"</f>
        <v>14.07</v>
      </c>
      <c r="C516" t="s">
        <v>3547</v>
      </c>
      <c r="D516" t="s">
        <v>3548</v>
      </c>
    </row>
    <row r="517" spans="1:6" x14ac:dyDescent="0.3">
      <c r="A517" t="str">
        <f>"14"</f>
        <v>14</v>
      </c>
      <c r="B517" t="str">
        <f>"14.0701"</f>
        <v>14.0701</v>
      </c>
      <c r="C517" t="s">
        <v>3547</v>
      </c>
      <c r="D517" t="s">
        <v>3546</v>
      </c>
      <c r="E517" t="s">
        <v>3545</v>
      </c>
    </row>
    <row r="518" spans="1:6" x14ac:dyDescent="0.3">
      <c r="A518" t="str">
        <f>"14"</f>
        <v>14</v>
      </c>
      <c r="B518" t="str">
        <f>"14.0702"</f>
        <v>14.0702</v>
      </c>
      <c r="C518" t="s">
        <v>3544</v>
      </c>
      <c r="D518" t="s">
        <v>3543</v>
      </c>
    </row>
    <row r="519" spans="1:6" x14ac:dyDescent="0.3">
      <c r="A519" t="str">
        <f>"14"</f>
        <v>14</v>
      </c>
      <c r="B519" t="str">
        <f>"14.0799"</f>
        <v>14.0799</v>
      </c>
      <c r="C519" t="s">
        <v>3542</v>
      </c>
      <c r="D519" t="s">
        <v>3541</v>
      </c>
    </row>
    <row r="520" spans="1:6" x14ac:dyDescent="0.3">
      <c r="A520" t="str">
        <f>"14"</f>
        <v>14</v>
      </c>
      <c r="B520" t="str">
        <f>"14.08"</f>
        <v>14.08</v>
      </c>
      <c r="C520" t="s">
        <v>3540</v>
      </c>
      <c r="D520" t="s">
        <v>3539</v>
      </c>
    </row>
    <row r="521" spans="1:6" x14ac:dyDescent="0.3">
      <c r="A521" t="str">
        <f>"14"</f>
        <v>14</v>
      </c>
      <c r="B521" t="str">
        <f>"14.0801"</f>
        <v>14.0801</v>
      </c>
      <c r="C521" t="s">
        <v>3538</v>
      </c>
      <c r="D521" t="s">
        <v>3537</v>
      </c>
    </row>
    <row r="522" spans="1:6" x14ac:dyDescent="0.3">
      <c r="A522" t="str">
        <f>"14"</f>
        <v>14</v>
      </c>
      <c r="B522" t="str">
        <f>"14.0802"</f>
        <v>14.0802</v>
      </c>
      <c r="C522" t="s">
        <v>3536</v>
      </c>
      <c r="D522" t="s">
        <v>3535</v>
      </c>
      <c r="F522" t="s">
        <v>3524</v>
      </c>
    </row>
    <row r="523" spans="1:6" x14ac:dyDescent="0.3">
      <c r="A523" t="str">
        <f>"14"</f>
        <v>14</v>
      </c>
      <c r="B523" t="str">
        <f>"14.0803"</f>
        <v>14.0803</v>
      </c>
      <c r="C523" t="s">
        <v>3534</v>
      </c>
      <c r="D523" t="s">
        <v>3533</v>
      </c>
    </row>
    <row r="524" spans="1:6" x14ac:dyDescent="0.3">
      <c r="A524" t="str">
        <f>"14"</f>
        <v>14</v>
      </c>
      <c r="B524" t="str">
        <f>"14.0804"</f>
        <v>14.0804</v>
      </c>
      <c r="C524" t="s">
        <v>3532</v>
      </c>
      <c r="D524" t="s">
        <v>3531</v>
      </c>
    </row>
    <row r="525" spans="1:6" x14ac:dyDescent="0.3">
      <c r="A525" t="str">
        <f>"14"</f>
        <v>14</v>
      </c>
      <c r="B525" t="str">
        <f>"14.0805"</f>
        <v>14.0805</v>
      </c>
      <c r="C525" t="s">
        <v>3530</v>
      </c>
      <c r="D525" t="s">
        <v>3529</v>
      </c>
      <c r="E525" t="s">
        <v>6053</v>
      </c>
    </row>
    <row r="526" spans="1:6" x14ac:dyDescent="0.3">
      <c r="A526" t="str">
        <f>"14"</f>
        <v>14</v>
      </c>
      <c r="B526" t="str">
        <f>"14.0899"</f>
        <v>14.0899</v>
      </c>
      <c r="C526" t="s">
        <v>3528</v>
      </c>
      <c r="D526" t="s">
        <v>3527</v>
      </c>
    </row>
    <row r="527" spans="1:6" x14ac:dyDescent="0.3">
      <c r="A527" t="str">
        <f>"14"</f>
        <v>14</v>
      </c>
      <c r="B527" t="str">
        <f>"14.09"</f>
        <v>14.09</v>
      </c>
      <c r="C527" t="s">
        <v>3526</v>
      </c>
      <c r="D527" t="s">
        <v>3525</v>
      </c>
    </row>
    <row r="528" spans="1:6" x14ac:dyDescent="0.3">
      <c r="A528" t="str">
        <f>"14"</f>
        <v>14</v>
      </c>
      <c r="B528" t="str">
        <f>"14.0901"</f>
        <v>14.0901</v>
      </c>
      <c r="C528" t="s">
        <v>3523</v>
      </c>
      <c r="D528" t="s">
        <v>3522</v>
      </c>
      <c r="E528" t="s">
        <v>3521</v>
      </c>
      <c r="F528" t="s">
        <v>3513</v>
      </c>
    </row>
    <row r="529" spans="1:6" x14ac:dyDescent="0.3">
      <c r="A529" t="str">
        <f>"14"</f>
        <v>14</v>
      </c>
      <c r="B529" t="str">
        <f>"14.0902"</f>
        <v>14.0902</v>
      </c>
      <c r="C529" t="s">
        <v>3520</v>
      </c>
      <c r="D529" t="s">
        <v>3519</v>
      </c>
    </row>
    <row r="530" spans="1:6" x14ac:dyDescent="0.3">
      <c r="A530" t="str">
        <f>"14"</f>
        <v>14</v>
      </c>
      <c r="B530" t="str">
        <f>"14.0903"</f>
        <v>14.0903</v>
      </c>
      <c r="C530" t="s">
        <v>3518</v>
      </c>
      <c r="D530" t="s">
        <v>3517</v>
      </c>
    </row>
    <row r="531" spans="1:6" x14ac:dyDescent="0.3">
      <c r="A531" t="str">
        <f>"14"</f>
        <v>14</v>
      </c>
      <c r="B531" t="str">
        <f>"14.0999"</f>
        <v>14.0999</v>
      </c>
      <c r="C531" t="s">
        <v>3516</v>
      </c>
      <c r="D531" t="s">
        <v>3515</v>
      </c>
      <c r="F531" t="s">
        <v>6052</v>
      </c>
    </row>
    <row r="532" spans="1:6" x14ac:dyDescent="0.3">
      <c r="A532" t="str">
        <f>"14"</f>
        <v>14</v>
      </c>
      <c r="B532" t="str">
        <f>"14.10"</f>
        <v>14.10</v>
      </c>
      <c r="C532" t="s">
        <v>6051</v>
      </c>
      <c r="D532" t="s">
        <v>3514</v>
      </c>
    </row>
    <row r="533" spans="1:6" x14ac:dyDescent="0.3">
      <c r="A533" t="str">
        <f>"14"</f>
        <v>14</v>
      </c>
      <c r="B533" t="str">
        <f>"14.1001"</f>
        <v>14.1001</v>
      </c>
      <c r="C533" t="s">
        <v>6050</v>
      </c>
      <c r="D533" t="s">
        <v>3512</v>
      </c>
      <c r="F533" t="s">
        <v>3511</v>
      </c>
    </row>
    <row r="534" spans="1:6" x14ac:dyDescent="0.3">
      <c r="A534" t="str">
        <f>"14"</f>
        <v>14</v>
      </c>
      <c r="B534" t="str">
        <f>"14.1003"</f>
        <v>14.1003</v>
      </c>
      <c r="C534" t="s">
        <v>3510</v>
      </c>
      <c r="D534" t="s">
        <v>3509</v>
      </c>
      <c r="E534" t="s">
        <v>3508</v>
      </c>
      <c r="F534" t="s">
        <v>3507</v>
      </c>
    </row>
    <row r="535" spans="1:6" x14ac:dyDescent="0.3">
      <c r="A535" t="str">
        <f>"14"</f>
        <v>14</v>
      </c>
      <c r="B535" t="str">
        <f>"14.1004"</f>
        <v>14.1004</v>
      </c>
      <c r="C535" t="s">
        <v>3506</v>
      </c>
      <c r="D535" t="s">
        <v>3505</v>
      </c>
      <c r="F535" t="s">
        <v>3499</v>
      </c>
    </row>
    <row r="536" spans="1:6" x14ac:dyDescent="0.3">
      <c r="A536" t="str">
        <f>"14"</f>
        <v>14</v>
      </c>
      <c r="B536" t="str">
        <f>"14.1099"</f>
        <v>14.1099</v>
      </c>
      <c r="C536" t="s">
        <v>6049</v>
      </c>
      <c r="D536" t="s">
        <v>6048</v>
      </c>
    </row>
    <row r="537" spans="1:6" x14ac:dyDescent="0.3">
      <c r="A537" t="str">
        <f>"14"</f>
        <v>14</v>
      </c>
      <c r="B537" t="str">
        <f>"14.11"</f>
        <v>14.11</v>
      </c>
      <c r="C537" t="s">
        <v>3503</v>
      </c>
      <c r="D537" t="s">
        <v>3504</v>
      </c>
    </row>
    <row r="538" spans="1:6" x14ac:dyDescent="0.3">
      <c r="A538" t="str">
        <f>"14"</f>
        <v>14</v>
      </c>
      <c r="B538" t="str">
        <f>"14.1101"</f>
        <v>14.1101</v>
      </c>
      <c r="C538" t="s">
        <v>3503</v>
      </c>
      <c r="D538" t="s">
        <v>3502</v>
      </c>
    </row>
    <row r="539" spans="1:6" x14ac:dyDescent="0.3">
      <c r="A539" t="str">
        <f>"14"</f>
        <v>14</v>
      </c>
      <c r="B539" t="str">
        <f>"14.12"</f>
        <v>14.12</v>
      </c>
      <c r="C539" t="s">
        <v>3501</v>
      </c>
      <c r="D539" t="s">
        <v>3500</v>
      </c>
    </row>
    <row r="540" spans="1:6" x14ac:dyDescent="0.3">
      <c r="A540" t="str">
        <f>"14"</f>
        <v>14</v>
      </c>
      <c r="B540" t="str">
        <f>"14.1201"</f>
        <v>14.1201</v>
      </c>
      <c r="C540" t="s">
        <v>3498</v>
      </c>
      <c r="D540" t="s">
        <v>3497</v>
      </c>
      <c r="E540" t="s">
        <v>3496</v>
      </c>
      <c r="F540" t="s">
        <v>3492</v>
      </c>
    </row>
    <row r="541" spans="1:6" x14ac:dyDescent="0.3">
      <c r="A541" t="str">
        <f>"14"</f>
        <v>14</v>
      </c>
      <c r="B541" t="str">
        <f>"14.13"</f>
        <v>14.13</v>
      </c>
      <c r="C541" t="s">
        <v>3494</v>
      </c>
      <c r="D541" t="s">
        <v>3495</v>
      </c>
    </row>
    <row r="542" spans="1:6" x14ac:dyDescent="0.3">
      <c r="A542" t="str">
        <f>"14"</f>
        <v>14</v>
      </c>
      <c r="B542" t="str">
        <f>"14.1301"</f>
        <v>14.1301</v>
      </c>
      <c r="C542" t="s">
        <v>3494</v>
      </c>
      <c r="D542" t="s">
        <v>6047</v>
      </c>
    </row>
    <row r="543" spans="1:6" x14ac:dyDescent="0.3">
      <c r="A543" t="str">
        <f>"14"</f>
        <v>14</v>
      </c>
      <c r="B543" t="str">
        <f>"14.14"</f>
        <v>14.14</v>
      </c>
      <c r="C543" t="s">
        <v>3491</v>
      </c>
      <c r="D543" t="s">
        <v>3493</v>
      </c>
    </row>
    <row r="544" spans="1:6" x14ac:dyDescent="0.3">
      <c r="A544" t="str">
        <f>"14"</f>
        <v>14</v>
      </c>
      <c r="B544" t="str">
        <f>"14.1401"</f>
        <v>14.1401</v>
      </c>
      <c r="C544" t="s">
        <v>3491</v>
      </c>
      <c r="D544" t="s">
        <v>3490</v>
      </c>
      <c r="E544" t="s">
        <v>3489</v>
      </c>
      <c r="F544" t="s">
        <v>3487</v>
      </c>
    </row>
    <row r="545" spans="1:6" x14ac:dyDescent="0.3">
      <c r="A545" t="str">
        <f>"14"</f>
        <v>14</v>
      </c>
      <c r="B545" t="str">
        <f>"14.18"</f>
        <v>14.18</v>
      </c>
      <c r="C545" t="s">
        <v>3486</v>
      </c>
      <c r="D545" t="s">
        <v>3488</v>
      </c>
    </row>
    <row r="546" spans="1:6" x14ac:dyDescent="0.3">
      <c r="A546" t="str">
        <f>"14"</f>
        <v>14</v>
      </c>
      <c r="B546" t="str">
        <f>"14.1801"</f>
        <v>14.1801</v>
      </c>
      <c r="C546" t="s">
        <v>3486</v>
      </c>
      <c r="D546" t="s">
        <v>3485</v>
      </c>
      <c r="E546" t="s">
        <v>3484</v>
      </c>
      <c r="F546" t="s">
        <v>3470</v>
      </c>
    </row>
    <row r="547" spans="1:6" x14ac:dyDescent="0.3">
      <c r="A547" t="str">
        <f>"14"</f>
        <v>14</v>
      </c>
      <c r="B547" t="str">
        <f>"14.19"</f>
        <v>14.19</v>
      </c>
      <c r="C547" t="s">
        <v>3482</v>
      </c>
      <c r="D547" t="s">
        <v>3483</v>
      </c>
    </row>
    <row r="548" spans="1:6" x14ac:dyDescent="0.3">
      <c r="A548" t="str">
        <f>"14"</f>
        <v>14</v>
      </c>
      <c r="B548" t="str">
        <f>"14.1901"</f>
        <v>14.1901</v>
      </c>
      <c r="C548" t="s">
        <v>3482</v>
      </c>
      <c r="D548" t="s">
        <v>3481</v>
      </c>
    </row>
    <row r="549" spans="1:6" x14ac:dyDescent="0.3">
      <c r="A549" t="str">
        <f>"14"</f>
        <v>14</v>
      </c>
      <c r="B549" t="str">
        <f>"14.20"</f>
        <v>14.20</v>
      </c>
      <c r="C549" t="s">
        <v>3479</v>
      </c>
      <c r="D549" t="s">
        <v>3480</v>
      </c>
    </row>
    <row r="550" spans="1:6" x14ac:dyDescent="0.3">
      <c r="A550" t="str">
        <f>"14"</f>
        <v>14</v>
      </c>
      <c r="B550" t="str">
        <f>"14.2001"</f>
        <v>14.2001</v>
      </c>
      <c r="C550" t="s">
        <v>3479</v>
      </c>
      <c r="D550" t="s">
        <v>3478</v>
      </c>
    </row>
    <row r="551" spans="1:6" x14ac:dyDescent="0.3">
      <c r="A551" t="str">
        <f>"14"</f>
        <v>14</v>
      </c>
      <c r="B551" t="str">
        <f>"14.21"</f>
        <v>14.21</v>
      </c>
      <c r="C551" t="s">
        <v>3476</v>
      </c>
      <c r="D551" t="s">
        <v>3477</v>
      </c>
    </row>
    <row r="552" spans="1:6" x14ac:dyDescent="0.3">
      <c r="A552" t="str">
        <f>"14"</f>
        <v>14</v>
      </c>
      <c r="B552" t="str">
        <f>"14.2101"</f>
        <v>14.2101</v>
      </c>
      <c r="C552" t="s">
        <v>3476</v>
      </c>
      <c r="D552" t="s">
        <v>3475</v>
      </c>
    </row>
    <row r="553" spans="1:6" x14ac:dyDescent="0.3">
      <c r="A553" t="str">
        <f>"14"</f>
        <v>14</v>
      </c>
      <c r="B553" t="str">
        <f>"14.22"</f>
        <v>14.22</v>
      </c>
      <c r="C553" t="s">
        <v>3473</v>
      </c>
      <c r="D553" t="s">
        <v>3474</v>
      </c>
    </row>
    <row r="554" spans="1:6" x14ac:dyDescent="0.3">
      <c r="A554" t="str">
        <f>"14"</f>
        <v>14</v>
      </c>
      <c r="B554" t="str">
        <f>"14.2201"</f>
        <v>14.2201</v>
      </c>
      <c r="C554" t="s">
        <v>3473</v>
      </c>
      <c r="D554" t="s">
        <v>3472</v>
      </c>
    </row>
    <row r="555" spans="1:6" x14ac:dyDescent="0.3">
      <c r="A555" t="str">
        <f>"14"</f>
        <v>14</v>
      </c>
      <c r="B555" t="str">
        <f>"14.23"</f>
        <v>14.23</v>
      </c>
      <c r="C555" t="s">
        <v>3469</v>
      </c>
      <c r="D555" t="s">
        <v>3471</v>
      </c>
    </row>
    <row r="556" spans="1:6" x14ac:dyDescent="0.3">
      <c r="A556" t="str">
        <f>"14"</f>
        <v>14</v>
      </c>
      <c r="B556" t="str">
        <f>"14.2301"</f>
        <v>14.2301</v>
      </c>
      <c r="C556" t="s">
        <v>3469</v>
      </c>
      <c r="D556" t="s">
        <v>3468</v>
      </c>
      <c r="E556" t="s">
        <v>3467</v>
      </c>
      <c r="F556" t="s">
        <v>3459</v>
      </c>
    </row>
    <row r="557" spans="1:6" x14ac:dyDescent="0.3">
      <c r="A557" t="str">
        <f>"14"</f>
        <v>14</v>
      </c>
      <c r="B557" t="str">
        <f>"14.24"</f>
        <v>14.24</v>
      </c>
      <c r="C557" t="s">
        <v>3465</v>
      </c>
      <c r="D557" t="s">
        <v>3466</v>
      </c>
    </row>
    <row r="558" spans="1:6" x14ac:dyDescent="0.3">
      <c r="A558" t="str">
        <f>"14"</f>
        <v>14</v>
      </c>
      <c r="B558" t="str">
        <f>"14.2401"</f>
        <v>14.2401</v>
      </c>
      <c r="C558" t="s">
        <v>3465</v>
      </c>
      <c r="D558" t="s">
        <v>3464</v>
      </c>
    </row>
    <row r="559" spans="1:6" x14ac:dyDescent="0.3">
      <c r="A559" t="str">
        <f>"14"</f>
        <v>14</v>
      </c>
      <c r="B559" t="str">
        <f>"14.25"</f>
        <v>14.25</v>
      </c>
      <c r="C559" t="s">
        <v>3462</v>
      </c>
      <c r="D559" t="s">
        <v>3463</v>
      </c>
    </row>
    <row r="560" spans="1:6" x14ac:dyDescent="0.3">
      <c r="A560" t="str">
        <f>"14"</f>
        <v>14</v>
      </c>
      <c r="B560" t="str">
        <f>"14.2501"</f>
        <v>14.2501</v>
      </c>
      <c r="C560" t="s">
        <v>3462</v>
      </c>
      <c r="D560" t="s">
        <v>3461</v>
      </c>
    </row>
    <row r="561" spans="1:6" x14ac:dyDescent="0.3">
      <c r="A561" t="str">
        <f>"14"</f>
        <v>14</v>
      </c>
      <c r="B561" t="str">
        <f>"14.27"</f>
        <v>14.27</v>
      </c>
      <c r="C561" t="s">
        <v>3458</v>
      </c>
      <c r="D561" t="s">
        <v>3460</v>
      </c>
    </row>
    <row r="562" spans="1:6" x14ac:dyDescent="0.3">
      <c r="A562" t="str">
        <f>"14"</f>
        <v>14</v>
      </c>
      <c r="B562" t="str">
        <f>"14.2701"</f>
        <v>14.2701</v>
      </c>
      <c r="C562" t="s">
        <v>3458</v>
      </c>
      <c r="D562" t="s">
        <v>3457</v>
      </c>
      <c r="E562" t="s">
        <v>3456</v>
      </c>
      <c r="F562" t="s">
        <v>6046</v>
      </c>
    </row>
    <row r="563" spans="1:6" x14ac:dyDescent="0.3">
      <c r="A563" t="str">
        <f>"14"</f>
        <v>14</v>
      </c>
      <c r="B563" t="str">
        <f>"14.28"</f>
        <v>14.28</v>
      </c>
      <c r="C563" t="s">
        <v>3454</v>
      </c>
      <c r="D563" t="s">
        <v>3455</v>
      </c>
    </row>
    <row r="564" spans="1:6" x14ac:dyDescent="0.3">
      <c r="A564" t="str">
        <f>"14"</f>
        <v>14</v>
      </c>
      <c r="B564" t="str">
        <f>"14.2801"</f>
        <v>14.2801</v>
      </c>
      <c r="C564" t="s">
        <v>3454</v>
      </c>
      <c r="D564" t="s">
        <v>3453</v>
      </c>
      <c r="E564" t="s">
        <v>3452</v>
      </c>
    </row>
    <row r="565" spans="1:6" x14ac:dyDescent="0.3">
      <c r="A565" t="str">
        <f>"14"</f>
        <v>14</v>
      </c>
      <c r="B565" t="str">
        <f>"14.32"</f>
        <v>14.32</v>
      </c>
      <c r="C565" t="s">
        <v>3450</v>
      </c>
      <c r="D565" t="s">
        <v>3451</v>
      </c>
    </row>
    <row r="566" spans="1:6" x14ac:dyDescent="0.3">
      <c r="A566" t="str">
        <f>"14"</f>
        <v>14</v>
      </c>
      <c r="B566" t="str">
        <f>"14.3201"</f>
        <v>14.3201</v>
      </c>
      <c r="C566" t="s">
        <v>3450</v>
      </c>
      <c r="D566" t="s">
        <v>3449</v>
      </c>
      <c r="E566" t="s">
        <v>3448</v>
      </c>
    </row>
    <row r="567" spans="1:6" x14ac:dyDescent="0.3">
      <c r="A567" t="str">
        <f>"14"</f>
        <v>14</v>
      </c>
      <c r="B567" t="str">
        <f>"14.33"</f>
        <v>14.33</v>
      </c>
      <c r="C567" t="s">
        <v>3446</v>
      </c>
      <c r="D567" t="s">
        <v>3447</v>
      </c>
    </row>
    <row r="568" spans="1:6" x14ac:dyDescent="0.3">
      <c r="A568" t="str">
        <f>"14"</f>
        <v>14</v>
      </c>
      <c r="B568" t="str">
        <f>"14.3301"</f>
        <v>14.3301</v>
      </c>
      <c r="C568" t="s">
        <v>3446</v>
      </c>
      <c r="D568" t="s">
        <v>3445</v>
      </c>
      <c r="F568" t="s">
        <v>3433</v>
      </c>
    </row>
    <row r="569" spans="1:6" x14ac:dyDescent="0.3">
      <c r="A569" t="str">
        <f>"14"</f>
        <v>14</v>
      </c>
      <c r="B569" t="str">
        <f>"14.34"</f>
        <v>14.34</v>
      </c>
      <c r="C569" t="s">
        <v>3443</v>
      </c>
      <c r="D569" t="s">
        <v>3444</v>
      </c>
    </row>
    <row r="570" spans="1:6" x14ac:dyDescent="0.3">
      <c r="A570" t="str">
        <f>"14"</f>
        <v>14</v>
      </c>
      <c r="B570" t="str">
        <f>"14.3401"</f>
        <v>14.3401</v>
      </c>
      <c r="C570" t="s">
        <v>3443</v>
      </c>
      <c r="D570" t="s">
        <v>3442</v>
      </c>
      <c r="E570" t="s">
        <v>3441</v>
      </c>
    </row>
    <row r="571" spans="1:6" x14ac:dyDescent="0.3">
      <c r="A571" t="str">
        <f>"14"</f>
        <v>14</v>
      </c>
      <c r="B571" t="str">
        <f>"14.35"</f>
        <v>14.35</v>
      </c>
      <c r="C571" t="s">
        <v>3439</v>
      </c>
      <c r="D571" t="s">
        <v>3440</v>
      </c>
    </row>
    <row r="572" spans="1:6" x14ac:dyDescent="0.3">
      <c r="A572" t="str">
        <f>"14"</f>
        <v>14</v>
      </c>
      <c r="B572" t="str">
        <f>"14.3501"</f>
        <v>14.3501</v>
      </c>
      <c r="C572" t="s">
        <v>3439</v>
      </c>
      <c r="D572" t="s">
        <v>3438</v>
      </c>
      <c r="F572" t="s">
        <v>6045</v>
      </c>
    </row>
    <row r="573" spans="1:6" x14ac:dyDescent="0.3">
      <c r="A573" t="str">
        <f>"14"</f>
        <v>14</v>
      </c>
      <c r="B573" t="str">
        <f>"14.36"</f>
        <v>14.36</v>
      </c>
      <c r="C573" t="s">
        <v>3436</v>
      </c>
      <c r="D573" t="s">
        <v>3437</v>
      </c>
    </row>
    <row r="574" spans="1:6" x14ac:dyDescent="0.3">
      <c r="A574" t="str">
        <f>"14"</f>
        <v>14</v>
      </c>
      <c r="B574" t="str">
        <f>"14.3601"</f>
        <v>14.3601</v>
      </c>
      <c r="C574" t="s">
        <v>3436</v>
      </c>
      <c r="D574" t="s">
        <v>3435</v>
      </c>
    </row>
    <row r="575" spans="1:6" x14ac:dyDescent="0.3">
      <c r="A575" t="str">
        <f>"14"</f>
        <v>14</v>
      </c>
      <c r="B575" t="str">
        <f>"14.37"</f>
        <v>14.37</v>
      </c>
      <c r="C575" t="s">
        <v>3432</v>
      </c>
      <c r="D575" t="s">
        <v>3434</v>
      </c>
    </row>
    <row r="576" spans="1:6" x14ac:dyDescent="0.3">
      <c r="A576" t="str">
        <f>"14"</f>
        <v>14</v>
      </c>
      <c r="B576" t="str">
        <f>"14.3701"</f>
        <v>14.3701</v>
      </c>
      <c r="C576" t="s">
        <v>3432</v>
      </c>
      <c r="D576" t="s">
        <v>3431</v>
      </c>
      <c r="F576" t="s">
        <v>6044</v>
      </c>
    </row>
    <row r="577" spans="1:6" x14ac:dyDescent="0.3">
      <c r="A577" t="str">
        <f>"14"</f>
        <v>14</v>
      </c>
      <c r="B577" t="str">
        <f>"14.38"</f>
        <v>14.38</v>
      </c>
      <c r="C577" t="s">
        <v>3429</v>
      </c>
      <c r="D577" t="s">
        <v>3430</v>
      </c>
    </row>
    <row r="578" spans="1:6" x14ac:dyDescent="0.3">
      <c r="A578" t="str">
        <f>"14"</f>
        <v>14</v>
      </c>
      <c r="B578" t="str">
        <f>"14.3801"</f>
        <v>14.3801</v>
      </c>
      <c r="C578" t="s">
        <v>3429</v>
      </c>
      <c r="D578" t="s">
        <v>3428</v>
      </c>
    </row>
    <row r="579" spans="1:6" x14ac:dyDescent="0.3">
      <c r="A579" t="str">
        <f>"14"</f>
        <v>14</v>
      </c>
      <c r="B579" t="str">
        <f>"14.39"</f>
        <v>14.39</v>
      </c>
      <c r="C579" t="s">
        <v>3426</v>
      </c>
      <c r="D579" t="s">
        <v>3427</v>
      </c>
    </row>
    <row r="580" spans="1:6" x14ac:dyDescent="0.3">
      <c r="A580" t="str">
        <f>"14"</f>
        <v>14</v>
      </c>
      <c r="B580" t="str">
        <f>"14.3901"</f>
        <v>14.3901</v>
      </c>
      <c r="C580" t="s">
        <v>3426</v>
      </c>
      <c r="D580" t="s">
        <v>3425</v>
      </c>
      <c r="E580" t="s">
        <v>3424</v>
      </c>
    </row>
    <row r="581" spans="1:6" x14ac:dyDescent="0.3">
      <c r="A581" t="str">
        <f>"14"</f>
        <v>14</v>
      </c>
      <c r="B581" t="str">
        <f>"14.40"</f>
        <v>14.40</v>
      </c>
      <c r="C581" t="s">
        <v>3422</v>
      </c>
      <c r="D581" t="s">
        <v>3423</v>
      </c>
    </row>
    <row r="582" spans="1:6" x14ac:dyDescent="0.3">
      <c r="A582" t="str">
        <f>"14"</f>
        <v>14</v>
      </c>
      <c r="B582" t="str">
        <f>"14.4001"</f>
        <v>14.4001</v>
      </c>
      <c r="C582" t="s">
        <v>3422</v>
      </c>
      <c r="D582" t="s">
        <v>3421</v>
      </c>
      <c r="E582" t="s">
        <v>6043</v>
      </c>
      <c r="F582" t="s">
        <v>3412</v>
      </c>
    </row>
    <row r="583" spans="1:6" x14ac:dyDescent="0.3">
      <c r="A583" t="str">
        <f>"14"</f>
        <v>14</v>
      </c>
      <c r="B583" t="str">
        <f>"14.41"</f>
        <v>14.41</v>
      </c>
      <c r="C583" t="s">
        <v>3419</v>
      </c>
      <c r="D583" t="s">
        <v>3420</v>
      </c>
    </row>
    <row r="584" spans="1:6" x14ac:dyDescent="0.3">
      <c r="A584" t="str">
        <f>"14"</f>
        <v>14</v>
      </c>
      <c r="B584" t="str">
        <f>"14.4101"</f>
        <v>14.4101</v>
      </c>
      <c r="C584" t="s">
        <v>3419</v>
      </c>
      <c r="D584" t="s">
        <v>3418</v>
      </c>
    </row>
    <row r="585" spans="1:6" x14ac:dyDescent="0.3">
      <c r="A585" t="str">
        <f>"14"</f>
        <v>14</v>
      </c>
      <c r="B585" t="str">
        <f>"14.42"</f>
        <v>14.42</v>
      </c>
      <c r="C585" t="s">
        <v>3416</v>
      </c>
      <c r="D585" t="s">
        <v>3417</v>
      </c>
    </row>
    <row r="586" spans="1:6" x14ac:dyDescent="0.3">
      <c r="A586" t="str">
        <f>"14"</f>
        <v>14</v>
      </c>
      <c r="B586" t="str">
        <f>"14.4201"</f>
        <v>14.4201</v>
      </c>
      <c r="C586" t="s">
        <v>3416</v>
      </c>
      <c r="D586" t="s">
        <v>3415</v>
      </c>
      <c r="E586" t="s">
        <v>3414</v>
      </c>
    </row>
    <row r="587" spans="1:6" x14ac:dyDescent="0.3">
      <c r="A587" t="str">
        <f>"14"</f>
        <v>14</v>
      </c>
      <c r="B587" t="str">
        <f>"14.43"</f>
        <v>14.43</v>
      </c>
      <c r="C587" t="s">
        <v>3411</v>
      </c>
      <c r="D587" t="s">
        <v>3413</v>
      </c>
    </row>
    <row r="588" spans="1:6" x14ac:dyDescent="0.3">
      <c r="A588" t="str">
        <f>"14"</f>
        <v>14</v>
      </c>
      <c r="B588" t="str">
        <f>"14.4301"</f>
        <v>14.4301</v>
      </c>
      <c r="C588" t="s">
        <v>3411</v>
      </c>
      <c r="D588" t="s">
        <v>3410</v>
      </c>
      <c r="F588" t="s">
        <v>3405</v>
      </c>
    </row>
    <row r="589" spans="1:6" x14ac:dyDescent="0.3">
      <c r="A589" t="str">
        <f>"14"</f>
        <v>14</v>
      </c>
      <c r="B589" t="str">
        <f>"14.44"</f>
        <v>14.44</v>
      </c>
      <c r="C589" t="s">
        <v>3408</v>
      </c>
      <c r="D589" t="s">
        <v>3409</v>
      </c>
    </row>
    <row r="590" spans="1:6" x14ac:dyDescent="0.3">
      <c r="A590" t="str">
        <f>"14"</f>
        <v>14</v>
      </c>
      <c r="B590" t="str">
        <f>"14.4401"</f>
        <v>14.4401</v>
      </c>
      <c r="C590" t="s">
        <v>3408</v>
      </c>
      <c r="D590" t="s">
        <v>3407</v>
      </c>
    </row>
    <row r="591" spans="1:6" x14ac:dyDescent="0.3">
      <c r="A591" t="str">
        <f>"14"</f>
        <v>14</v>
      </c>
      <c r="B591" t="str">
        <f>"14.45"</f>
        <v>14.45</v>
      </c>
      <c r="C591" t="s">
        <v>3404</v>
      </c>
      <c r="D591" t="s">
        <v>3406</v>
      </c>
    </row>
    <row r="592" spans="1:6" x14ac:dyDescent="0.3">
      <c r="A592" t="str">
        <f>"14"</f>
        <v>14</v>
      </c>
      <c r="B592" t="str">
        <f>"14.4501"</f>
        <v>14.4501</v>
      </c>
      <c r="C592" t="s">
        <v>3404</v>
      </c>
      <c r="D592" t="s">
        <v>3403</v>
      </c>
      <c r="F592" t="s">
        <v>3401</v>
      </c>
    </row>
    <row r="593" spans="1:6" x14ac:dyDescent="0.3">
      <c r="A593" t="str">
        <f>"14"</f>
        <v>14</v>
      </c>
      <c r="B593" t="str">
        <f>"14.47"</f>
        <v>14.47</v>
      </c>
      <c r="C593" t="s">
        <v>6041</v>
      </c>
      <c r="D593" t="s">
        <v>6042</v>
      </c>
    </row>
    <row r="594" spans="1:6" x14ac:dyDescent="0.3">
      <c r="A594" t="str">
        <f>"14"</f>
        <v>14</v>
      </c>
      <c r="B594" t="str">
        <f>"14.4701"</f>
        <v>14.4701</v>
      </c>
      <c r="C594" t="s">
        <v>6041</v>
      </c>
      <c r="D594" t="s">
        <v>6040</v>
      </c>
    </row>
    <row r="595" spans="1:6" x14ac:dyDescent="0.3">
      <c r="A595" t="str">
        <f>"14"</f>
        <v>14</v>
      </c>
      <c r="B595" t="str">
        <f>"14.48"</f>
        <v>14.48</v>
      </c>
      <c r="C595" t="s">
        <v>6039</v>
      </c>
      <c r="D595" t="s">
        <v>6038</v>
      </c>
    </row>
    <row r="596" spans="1:6" x14ac:dyDescent="0.3">
      <c r="A596" t="str">
        <f>"14"</f>
        <v>14</v>
      </c>
      <c r="B596" t="str">
        <f>"14.4801"</f>
        <v>14.4801</v>
      </c>
      <c r="C596" t="s">
        <v>6037</v>
      </c>
      <c r="D596" t="s">
        <v>6036</v>
      </c>
      <c r="E596" t="s">
        <v>6035</v>
      </c>
      <c r="F596" t="s">
        <v>3390</v>
      </c>
    </row>
    <row r="597" spans="1:6" x14ac:dyDescent="0.3">
      <c r="A597" t="str">
        <f>"14"</f>
        <v>14</v>
      </c>
      <c r="B597" t="str">
        <f>"14.4802"</f>
        <v>14.4802</v>
      </c>
      <c r="C597" t="s">
        <v>6034</v>
      </c>
      <c r="D597" t="s">
        <v>6033</v>
      </c>
      <c r="E597" t="s">
        <v>6032</v>
      </c>
    </row>
    <row r="598" spans="1:6" x14ac:dyDescent="0.3">
      <c r="A598" t="str">
        <f>"14"</f>
        <v>14</v>
      </c>
      <c r="B598" t="str">
        <f>"14.4899"</f>
        <v>14.4899</v>
      </c>
      <c r="C598" t="s">
        <v>6031</v>
      </c>
      <c r="D598" t="s">
        <v>6030</v>
      </c>
    </row>
    <row r="599" spans="1:6" x14ac:dyDescent="0.3">
      <c r="A599" t="str">
        <f>"14"</f>
        <v>14</v>
      </c>
      <c r="B599" t="str">
        <f>"14.99"</f>
        <v>14.99</v>
      </c>
      <c r="C599" t="s">
        <v>3400</v>
      </c>
      <c r="D599" t="s">
        <v>3402</v>
      </c>
    </row>
    <row r="600" spans="1:6" x14ac:dyDescent="0.3">
      <c r="A600" t="str">
        <f>"14"</f>
        <v>14</v>
      </c>
      <c r="B600" t="str">
        <f>"14.9999"</f>
        <v>14.9999</v>
      </c>
      <c r="C600" t="s">
        <v>3400</v>
      </c>
      <c r="D600" t="s">
        <v>3399</v>
      </c>
    </row>
    <row r="601" spans="1:6" x14ac:dyDescent="0.3">
      <c r="A601" t="str">
        <f>"15"</f>
        <v>15</v>
      </c>
      <c r="B601" t="str">
        <f>"15"</f>
        <v>15</v>
      </c>
      <c r="C601" t="s">
        <v>6029</v>
      </c>
      <c r="D601" t="s">
        <v>3398</v>
      </c>
    </row>
    <row r="602" spans="1:6" x14ac:dyDescent="0.3">
      <c r="A602" t="str">
        <f>"15"</f>
        <v>15</v>
      </c>
      <c r="B602" t="str">
        <f>"15.00"</f>
        <v>15.00</v>
      </c>
      <c r="C602" t="s">
        <v>6027</v>
      </c>
      <c r="D602" t="s">
        <v>6028</v>
      </c>
    </row>
    <row r="603" spans="1:6" x14ac:dyDescent="0.3">
      <c r="A603" t="str">
        <f>"15"</f>
        <v>15</v>
      </c>
      <c r="B603" t="str">
        <f>"15.0000"</f>
        <v>15.0000</v>
      </c>
      <c r="C603" t="s">
        <v>6027</v>
      </c>
      <c r="D603" t="s">
        <v>6026</v>
      </c>
    </row>
    <row r="604" spans="1:6" x14ac:dyDescent="0.3">
      <c r="A604" t="str">
        <f>"15"</f>
        <v>15</v>
      </c>
      <c r="B604" t="str">
        <f>"15.0001"</f>
        <v>15.0001</v>
      </c>
      <c r="C604" t="s">
        <v>6025</v>
      </c>
      <c r="D604" t="s">
        <v>6024</v>
      </c>
      <c r="F604" t="s">
        <v>6023</v>
      </c>
    </row>
    <row r="605" spans="1:6" x14ac:dyDescent="0.3">
      <c r="A605" t="str">
        <f>"15"</f>
        <v>15</v>
      </c>
      <c r="B605" t="str">
        <f>"15.01"</f>
        <v>15.01</v>
      </c>
      <c r="C605" t="s">
        <v>3397</v>
      </c>
      <c r="D605" t="s">
        <v>3396</v>
      </c>
    </row>
    <row r="606" spans="1:6" x14ac:dyDescent="0.3">
      <c r="A606" t="str">
        <f>"15"</f>
        <v>15</v>
      </c>
      <c r="B606" t="str">
        <f>"15.0101"</f>
        <v>15.0101</v>
      </c>
      <c r="C606" t="s">
        <v>3397</v>
      </c>
      <c r="D606" t="s">
        <v>3395</v>
      </c>
    </row>
    <row r="607" spans="1:6" x14ac:dyDescent="0.3">
      <c r="A607" t="str">
        <f>"15"</f>
        <v>15</v>
      </c>
      <c r="B607" t="str">
        <f>"15.02"</f>
        <v>15.02</v>
      </c>
      <c r="C607" t="s">
        <v>3394</v>
      </c>
      <c r="D607" t="s">
        <v>3393</v>
      </c>
    </row>
    <row r="608" spans="1:6" x14ac:dyDescent="0.3">
      <c r="A608" t="str">
        <f>"15"</f>
        <v>15</v>
      </c>
      <c r="B608" t="str">
        <f>"15.0201"</f>
        <v>15.0201</v>
      </c>
      <c r="C608" t="s">
        <v>3394</v>
      </c>
      <c r="D608" t="s">
        <v>3392</v>
      </c>
    </row>
    <row r="609" spans="1:6" x14ac:dyDescent="0.3">
      <c r="A609" t="str">
        <f>"15"</f>
        <v>15</v>
      </c>
      <c r="B609" t="str">
        <f>"15.03"</f>
        <v>15.03</v>
      </c>
      <c r="C609" t="s">
        <v>6022</v>
      </c>
      <c r="D609" t="s">
        <v>3391</v>
      </c>
    </row>
    <row r="610" spans="1:6" x14ac:dyDescent="0.3">
      <c r="A610" t="str">
        <f>"15"</f>
        <v>15</v>
      </c>
      <c r="B610" t="str">
        <f>"15.0303"</f>
        <v>15.0303</v>
      </c>
      <c r="C610" t="s">
        <v>6021</v>
      </c>
      <c r="D610" t="s">
        <v>3389</v>
      </c>
      <c r="E610" t="s">
        <v>3388</v>
      </c>
      <c r="F610" t="s">
        <v>3387</v>
      </c>
    </row>
    <row r="611" spans="1:6" x14ac:dyDescent="0.3">
      <c r="A611" t="str">
        <f>"15"</f>
        <v>15</v>
      </c>
      <c r="B611" t="str">
        <f>"15.0304"</f>
        <v>15.0304</v>
      </c>
      <c r="C611" t="s">
        <v>3386</v>
      </c>
      <c r="D611" t="s">
        <v>3385</v>
      </c>
      <c r="F611" t="s">
        <v>3384</v>
      </c>
    </row>
    <row r="612" spans="1:6" x14ac:dyDescent="0.3">
      <c r="A612" t="str">
        <f>"15"</f>
        <v>15</v>
      </c>
      <c r="B612" t="str">
        <f>"15.0305"</f>
        <v>15.0305</v>
      </c>
      <c r="C612" t="s">
        <v>3383</v>
      </c>
      <c r="D612" t="s">
        <v>3382</v>
      </c>
      <c r="F612" t="s">
        <v>3381</v>
      </c>
    </row>
    <row r="613" spans="1:6" x14ac:dyDescent="0.3">
      <c r="A613" t="str">
        <f>"15"</f>
        <v>15</v>
      </c>
      <c r="B613" t="str">
        <f>"15.0306"</f>
        <v>15.0306</v>
      </c>
      <c r="C613" t="s">
        <v>6020</v>
      </c>
      <c r="D613" t="s">
        <v>3380</v>
      </c>
      <c r="F613" t="s">
        <v>3379</v>
      </c>
    </row>
    <row r="614" spans="1:6" x14ac:dyDescent="0.3">
      <c r="A614" t="str">
        <f>"15"</f>
        <v>15</v>
      </c>
      <c r="B614" t="str">
        <f>"15.0307"</f>
        <v>15.0307</v>
      </c>
      <c r="C614" t="s">
        <v>6019</v>
      </c>
      <c r="D614" t="s">
        <v>6018</v>
      </c>
    </row>
    <row r="615" spans="1:6" x14ac:dyDescent="0.3">
      <c r="A615" t="str">
        <f>"15"</f>
        <v>15</v>
      </c>
      <c r="B615" t="str">
        <f>"15.0399"</f>
        <v>15.0399</v>
      </c>
      <c r="C615" t="s">
        <v>6017</v>
      </c>
      <c r="D615" t="s">
        <v>3378</v>
      </c>
      <c r="F615" t="s">
        <v>3376</v>
      </c>
    </row>
    <row r="616" spans="1:6" x14ac:dyDescent="0.3">
      <c r="A616" t="str">
        <f>"15"</f>
        <v>15</v>
      </c>
      <c r="B616" t="str">
        <f>"15.04"</f>
        <v>15.04</v>
      </c>
      <c r="C616" t="s">
        <v>6016</v>
      </c>
      <c r="D616" t="s">
        <v>3377</v>
      </c>
    </row>
    <row r="617" spans="1:6" x14ac:dyDescent="0.3">
      <c r="A617" t="str">
        <f>"15"</f>
        <v>15</v>
      </c>
      <c r="B617" t="str">
        <f>"15.0401"</f>
        <v>15.0401</v>
      </c>
      <c r="C617" t="s">
        <v>3375</v>
      </c>
      <c r="D617" t="s">
        <v>3374</v>
      </c>
      <c r="F617" t="s">
        <v>3372</v>
      </c>
    </row>
    <row r="618" spans="1:6" x14ac:dyDescent="0.3">
      <c r="A618" t="str">
        <f>"15"</f>
        <v>15</v>
      </c>
      <c r="B618" t="str">
        <f>"15.0403"</f>
        <v>15.0403</v>
      </c>
      <c r="C618" t="s">
        <v>6015</v>
      </c>
      <c r="D618" t="s">
        <v>3373</v>
      </c>
    </row>
    <row r="619" spans="1:6" x14ac:dyDescent="0.3">
      <c r="A619" t="str">
        <f>"15"</f>
        <v>15</v>
      </c>
      <c r="B619" t="str">
        <f>"15.0404"</f>
        <v>15.0404</v>
      </c>
      <c r="C619" t="s">
        <v>3371</v>
      </c>
      <c r="D619" t="s">
        <v>3370</v>
      </c>
      <c r="F619" t="s">
        <v>3363</v>
      </c>
    </row>
    <row r="620" spans="1:6" x14ac:dyDescent="0.3">
      <c r="A620" t="str">
        <f>"15"</f>
        <v>15</v>
      </c>
      <c r="B620" t="str">
        <f>"15.0405"</f>
        <v>15.0405</v>
      </c>
      <c r="C620" t="s">
        <v>3369</v>
      </c>
      <c r="D620" t="s">
        <v>3368</v>
      </c>
    </row>
    <row r="621" spans="1:6" x14ac:dyDescent="0.3">
      <c r="A621" t="str">
        <f>"15"</f>
        <v>15</v>
      </c>
      <c r="B621" t="str">
        <f>"15.0406"</f>
        <v>15.0406</v>
      </c>
      <c r="C621" t="s">
        <v>3367</v>
      </c>
      <c r="D621" t="s">
        <v>3366</v>
      </c>
    </row>
    <row r="622" spans="1:6" x14ac:dyDescent="0.3">
      <c r="A622" t="str">
        <f>"15"</f>
        <v>15</v>
      </c>
      <c r="B622" t="str">
        <f>"15.0407"</f>
        <v>15.0407</v>
      </c>
      <c r="C622" t="s">
        <v>6014</v>
      </c>
      <c r="D622" t="s">
        <v>6013</v>
      </c>
      <c r="E622" t="s">
        <v>3957</v>
      </c>
    </row>
    <row r="623" spans="1:6" x14ac:dyDescent="0.3">
      <c r="A623" t="str">
        <f>"15"</f>
        <v>15</v>
      </c>
      <c r="B623" t="str">
        <f>"15.0499"</f>
        <v>15.0499</v>
      </c>
      <c r="C623" t="s">
        <v>6012</v>
      </c>
      <c r="D623" t="s">
        <v>6011</v>
      </c>
    </row>
    <row r="624" spans="1:6" x14ac:dyDescent="0.3">
      <c r="A624" t="str">
        <f>"15"</f>
        <v>15</v>
      </c>
      <c r="B624" t="str">
        <f>"15.05"</f>
        <v>15.05</v>
      </c>
      <c r="C624" t="s">
        <v>3365</v>
      </c>
      <c r="D624" t="s">
        <v>3364</v>
      </c>
    </row>
    <row r="625" spans="1:6" x14ac:dyDescent="0.3">
      <c r="A625" t="str">
        <f>"15"</f>
        <v>15</v>
      </c>
      <c r="B625" t="str">
        <f>"15.0501"</f>
        <v>15.0501</v>
      </c>
      <c r="C625" t="s">
        <v>3362</v>
      </c>
      <c r="D625" t="s">
        <v>3361</v>
      </c>
      <c r="E625" t="s">
        <v>3360</v>
      </c>
      <c r="F625" t="s">
        <v>3321</v>
      </c>
    </row>
    <row r="626" spans="1:6" x14ac:dyDescent="0.3">
      <c r="A626" t="str">
        <f>"15"</f>
        <v>15</v>
      </c>
      <c r="B626" t="str">
        <f>"15.0503"</f>
        <v>15.0503</v>
      </c>
      <c r="C626" t="s">
        <v>3359</v>
      </c>
      <c r="D626" t="s">
        <v>6010</v>
      </c>
    </row>
    <row r="627" spans="1:6" x14ac:dyDescent="0.3">
      <c r="A627" t="str">
        <f>"15"</f>
        <v>15</v>
      </c>
      <c r="B627" t="str">
        <f>"15.0505"</f>
        <v>15.0505</v>
      </c>
      <c r="C627" t="s">
        <v>3357</v>
      </c>
      <c r="D627" t="s">
        <v>6009</v>
      </c>
    </row>
    <row r="628" spans="1:6" x14ac:dyDescent="0.3">
      <c r="A628" t="str">
        <f>"15"</f>
        <v>15</v>
      </c>
      <c r="B628" t="str">
        <f>"15.0506"</f>
        <v>15.0506</v>
      </c>
      <c r="C628" t="s">
        <v>3355</v>
      </c>
      <c r="D628" t="s">
        <v>3354</v>
      </c>
    </row>
    <row r="629" spans="1:6" x14ac:dyDescent="0.3">
      <c r="A629" t="str">
        <f>"15"</f>
        <v>15</v>
      </c>
      <c r="B629" t="str">
        <f>"15.0507"</f>
        <v>15.0507</v>
      </c>
      <c r="C629" t="s">
        <v>6008</v>
      </c>
      <c r="D629" t="s">
        <v>3353</v>
      </c>
    </row>
    <row r="630" spans="1:6" x14ac:dyDescent="0.3">
      <c r="A630" t="str">
        <f>"15"</f>
        <v>15</v>
      </c>
      <c r="B630" t="str">
        <f>"15.0508"</f>
        <v>15.0508</v>
      </c>
      <c r="C630" t="s">
        <v>3352</v>
      </c>
      <c r="D630" t="s">
        <v>3351</v>
      </c>
    </row>
    <row r="631" spans="1:6" x14ac:dyDescent="0.3">
      <c r="A631" t="str">
        <f>"15"</f>
        <v>15</v>
      </c>
      <c r="B631" t="str">
        <f>"15.0599"</f>
        <v>15.0599</v>
      </c>
      <c r="C631" t="s">
        <v>3350</v>
      </c>
      <c r="D631" t="s">
        <v>3349</v>
      </c>
    </row>
    <row r="632" spans="1:6" x14ac:dyDescent="0.3">
      <c r="A632" t="str">
        <f>"15"</f>
        <v>15</v>
      </c>
      <c r="B632" t="str">
        <f>"15.06"</f>
        <v>15.06</v>
      </c>
      <c r="C632" t="s">
        <v>3348</v>
      </c>
      <c r="D632" t="s">
        <v>3347</v>
      </c>
    </row>
    <row r="633" spans="1:6" x14ac:dyDescent="0.3">
      <c r="A633" t="str">
        <f>"15"</f>
        <v>15</v>
      </c>
      <c r="B633" t="str">
        <f>"15.0607"</f>
        <v>15.0607</v>
      </c>
      <c r="C633" t="s">
        <v>3346</v>
      </c>
      <c r="D633" t="s">
        <v>3345</v>
      </c>
    </row>
    <row r="634" spans="1:6" x14ac:dyDescent="0.3">
      <c r="A634" t="str">
        <f>"15"</f>
        <v>15</v>
      </c>
      <c r="B634" t="str">
        <f>"15.0611"</f>
        <v>15.0611</v>
      </c>
      <c r="C634" t="s">
        <v>3344</v>
      </c>
      <c r="D634" t="s">
        <v>3343</v>
      </c>
    </row>
    <row r="635" spans="1:6" x14ac:dyDescent="0.3">
      <c r="A635" t="str">
        <f>"15"</f>
        <v>15</v>
      </c>
      <c r="B635" t="str">
        <f>"15.0612"</f>
        <v>15.0612</v>
      </c>
      <c r="C635" t="s">
        <v>3342</v>
      </c>
      <c r="D635" t="s">
        <v>3341</v>
      </c>
    </row>
    <row r="636" spans="1:6" x14ac:dyDescent="0.3">
      <c r="A636" t="str">
        <f>"15"</f>
        <v>15</v>
      </c>
      <c r="B636" t="str">
        <f>"15.0613"</f>
        <v>15.0613</v>
      </c>
      <c r="C636" t="s">
        <v>3340</v>
      </c>
      <c r="D636" t="s">
        <v>3339</v>
      </c>
    </row>
    <row r="637" spans="1:6" x14ac:dyDescent="0.3">
      <c r="A637" t="str">
        <f>"15"</f>
        <v>15</v>
      </c>
      <c r="B637" t="str">
        <f>"15.0614"</f>
        <v>15.0614</v>
      </c>
      <c r="C637" t="s">
        <v>3338</v>
      </c>
      <c r="D637" t="s">
        <v>3337</v>
      </c>
      <c r="E637" t="s">
        <v>3336</v>
      </c>
    </row>
    <row r="638" spans="1:6" x14ac:dyDescent="0.3">
      <c r="A638" t="str">
        <f>"15"</f>
        <v>15</v>
      </c>
      <c r="B638" t="str">
        <f>"15.0615"</f>
        <v>15.0615</v>
      </c>
      <c r="C638" t="s">
        <v>3335</v>
      </c>
      <c r="D638" t="s">
        <v>3334</v>
      </c>
    </row>
    <row r="639" spans="1:6" x14ac:dyDescent="0.3">
      <c r="A639" t="str">
        <f>"15"</f>
        <v>15</v>
      </c>
      <c r="B639" t="str">
        <f>"15.0616"</f>
        <v>15.0616</v>
      </c>
      <c r="C639" t="s">
        <v>6007</v>
      </c>
      <c r="D639" t="s">
        <v>3333</v>
      </c>
    </row>
    <row r="640" spans="1:6" x14ac:dyDescent="0.3">
      <c r="A640" t="str">
        <f>"15"</f>
        <v>15</v>
      </c>
      <c r="B640" t="str">
        <f>"15.0617"</f>
        <v>15.0617</v>
      </c>
      <c r="C640" t="s">
        <v>6006</v>
      </c>
      <c r="D640" t="s">
        <v>6005</v>
      </c>
    </row>
    <row r="641" spans="1:6" x14ac:dyDescent="0.3">
      <c r="A641" t="str">
        <f>"15"</f>
        <v>15</v>
      </c>
      <c r="B641" t="str">
        <f>"15.0699"</f>
        <v>15.0699</v>
      </c>
      <c r="C641" t="s">
        <v>3332</v>
      </c>
      <c r="D641" t="s">
        <v>3331</v>
      </c>
    </row>
    <row r="642" spans="1:6" x14ac:dyDescent="0.3">
      <c r="A642" t="str">
        <f>"15"</f>
        <v>15</v>
      </c>
      <c r="B642" t="str">
        <f>"15.07"</f>
        <v>15.07</v>
      </c>
      <c r="C642" t="s">
        <v>3330</v>
      </c>
      <c r="D642" t="s">
        <v>3329</v>
      </c>
    </row>
    <row r="643" spans="1:6" x14ac:dyDescent="0.3">
      <c r="A643" t="str">
        <f>"15"</f>
        <v>15</v>
      </c>
      <c r="B643" t="str">
        <f>"15.0701"</f>
        <v>15.0701</v>
      </c>
      <c r="C643" t="s">
        <v>3328</v>
      </c>
      <c r="D643" t="s">
        <v>3327</v>
      </c>
    </row>
    <row r="644" spans="1:6" x14ac:dyDescent="0.3">
      <c r="A644" t="str">
        <f>"15"</f>
        <v>15</v>
      </c>
      <c r="B644" t="str">
        <f>"15.0702"</f>
        <v>15.0702</v>
      </c>
      <c r="C644" t="s">
        <v>3326</v>
      </c>
      <c r="D644" t="s">
        <v>3325</v>
      </c>
    </row>
    <row r="645" spans="1:6" x14ac:dyDescent="0.3">
      <c r="A645" t="str">
        <f>"15"</f>
        <v>15</v>
      </c>
      <c r="B645" t="str">
        <f>"15.0703"</f>
        <v>15.0703</v>
      </c>
      <c r="C645" t="s">
        <v>3324</v>
      </c>
      <c r="D645" t="s">
        <v>6004</v>
      </c>
    </row>
    <row r="646" spans="1:6" x14ac:dyDescent="0.3">
      <c r="A646" t="str">
        <f>"15"</f>
        <v>15</v>
      </c>
      <c r="B646" t="str">
        <f>"15.0704"</f>
        <v>15.0704</v>
      </c>
      <c r="C646" t="s">
        <v>3323</v>
      </c>
      <c r="D646" t="s">
        <v>3322</v>
      </c>
    </row>
    <row r="647" spans="1:6" x14ac:dyDescent="0.3">
      <c r="A647" t="str">
        <f>"15"</f>
        <v>15</v>
      </c>
      <c r="B647" t="str">
        <f>"15.0705"</f>
        <v>15.0705</v>
      </c>
      <c r="C647" t="s">
        <v>6003</v>
      </c>
      <c r="D647" t="s">
        <v>6002</v>
      </c>
    </row>
    <row r="648" spans="1:6" x14ac:dyDescent="0.3">
      <c r="A648" t="str">
        <f>"15"</f>
        <v>15</v>
      </c>
      <c r="B648" t="str">
        <f>"15.0799"</f>
        <v>15.0799</v>
      </c>
      <c r="C648" t="s">
        <v>3320</v>
      </c>
      <c r="D648" t="s">
        <v>3319</v>
      </c>
      <c r="F648" t="s">
        <v>3274</v>
      </c>
    </row>
    <row r="649" spans="1:6" x14ac:dyDescent="0.3">
      <c r="A649" t="str">
        <f>"15"</f>
        <v>15</v>
      </c>
      <c r="B649" t="str">
        <f>"15.08"</f>
        <v>15.08</v>
      </c>
      <c r="C649" t="s">
        <v>3318</v>
      </c>
      <c r="D649" t="s">
        <v>3317</v>
      </c>
    </row>
    <row r="650" spans="1:6" x14ac:dyDescent="0.3">
      <c r="A650" t="str">
        <f>"15"</f>
        <v>15</v>
      </c>
      <c r="B650" t="str">
        <f>"15.0801"</f>
        <v>15.0801</v>
      </c>
      <c r="C650" t="s">
        <v>3316</v>
      </c>
      <c r="D650" t="s">
        <v>3315</v>
      </c>
      <c r="E650" t="s">
        <v>3314</v>
      </c>
    </row>
    <row r="651" spans="1:6" x14ac:dyDescent="0.3">
      <c r="A651" t="str">
        <f>"15"</f>
        <v>15</v>
      </c>
      <c r="B651" t="str">
        <f>"15.0803"</f>
        <v>15.0803</v>
      </c>
      <c r="C651" t="s">
        <v>3313</v>
      </c>
      <c r="D651" t="s">
        <v>3312</v>
      </c>
      <c r="E651" t="s">
        <v>3311</v>
      </c>
    </row>
    <row r="652" spans="1:6" x14ac:dyDescent="0.3">
      <c r="A652" t="str">
        <f>"15"</f>
        <v>15</v>
      </c>
      <c r="B652" t="str">
        <f>"15.0805"</f>
        <v>15.0805</v>
      </c>
      <c r="C652" t="s">
        <v>6001</v>
      </c>
      <c r="D652" t="s">
        <v>3310</v>
      </c>
    </row>
    <row r="653" spans="1:6" x14ac:dyDescent="0.3">
      <c r="A653" t="str">
        <f>"15"</f>
        <v>15</v>
      </c>
      <c r="B653" t="str">
        <f>"15.0806"</f>
        <v>15.0806</v>
      </c>
      <c r="C653" t="s">
        <v>6000</v>
      </c>
      <c r="D653" t="s">
        <v>5999</v>
      </c>
      <c r="E653" t="s">
        <v>5998</v>
      </c>
    </row>
    <row r="654" spans="1:6" x14ac:dyDescent="0.3">
      <c r="A654" t="str">
        <f>"15"</f>
        <v>15</v>
      </c>
      <c r="B654" t="str">
        <f>"15.0807"</f>
        <v>15.0807</v>
      </c>
      <c r="C654" t="s">
        <v>5997</v>
      </c>
      <c r="D654" t="s">
        <v>5996</v>
      </c>
    </row>
    <row r="655" spans="1:6" x14ac:dyDescent="0.3">
      <c r="A655" t="str">
        <f>"15"</f>
        <v>15</v>
      </c>
      <c r="B655" t="str">
        <f>"15.0899"</f>
        <v>15.0899</v>
      </c>
      <c r="C655" t="s">
        <v>3309</v>
      </c>
      <c r="D655" t="s">
        <v>3308</v>
      </c>
    </row>
    <row r="656" spans="1:6" x14ac:dyDescent="0.3">
      <c r="A656" t="str">
        <f>"15"</f>
        <v>15</v>
      </c>
      <c r="B656" t="str">
        <f>"15.09"</f>
        <v>15.09</v>
      </c>
      <c r="C656" t="s">
        <v>3307</v>
      </c>
      <c r="D656" t="s">
        <v>3306</v>
      </c>
    </row>
    <row r="657" spans="1:5" x14ac:dyDescent="0.3">
      <c r="A657" t="str">
        <f>"15"</f>
        <v>15</v>
      </c>
      <c r="B657" t="str">
        <f>"15.0901"</f>
        <v>15.0901</v>
      </c>
      <c r="C657" t="s">
        <v>3305</v>
      </c>
      <c r="D657" t="s">
        <v>3304</v>
      </c>
    </row>
    <row r="658" spans="1:5" x14ac:dyDescent="0.3">
      <c r="A658" t="str">
        <f>"15"</f>
        <v>15</v>
      </c>
      <c r="B658" t="str">
        <f>"15.0903"</f>
        <v>15.0903</v>
      </c>
      <c r="C658" t="s">
        <v>3303</v>
      </c>
      <c r="D658" t="s">
        <v>3302</v>
      </c>
    </row>
    <row r="659" spans="1:5" x14ac:dyDescent="0.3">
      <c r="A659" t="str">
        <f>"15"</f>
        <v>15</v>
      </c>
      <c r="B659" t="str">
        <f>"15.0999"</f>
        <v>15.0999</v>
      </c>
      <c r="C659" t="s">
        <v>3301</v>
      </c>
      <c r="D659" t="s">
        <v>3300</v>
      </c>
    </row>
    <row r="660" spans="1:5" x14ac:dyDescent="0.3">
      <c r="A660" t="str">
        <f>"15"</f>
        <v>15</v>
      </c>
      <c r="B660" t="str">
        <f>"15.10"</f>
        <v>15.10</v>
      </c>
      <c r="C660" t="s">
        <v>3298</v>
      </c>
      <c r="D660" t="s">
        <v>3299</v>
      </c>
    </row>
    <row r="661" spans="1:5" x14ac:dyDescent="0.3">
      <c r="A661" t="str">
        <f>"15"</f>
        <v>15</v>
      </c>
      <c r="B661" t="str">
        <f>"15.1001"</f>
        <v>15.1001</v>
      </c>
      <c r="C661" t="s">
        <v>3298</v>
      </c>
      <c r="D661" t="s">
        <v>3297</v>
      </c>
    </row>
    <row r="662" spans="1:5" x14ac:dyDescent="0.3">
      <c r="A662" t="str">
        <f>"15"</f>
        <v>15</v>
      </c>
      <c r="B662" t="str">
        <f>"15.11"</f>
        <v>15.11</v>
      </c>
      <c r="C662" t="s">
        <v>5995</v>
      </c>
      <c r="D662" t="s">
        <v>3296</v>
      </c>
    </row>
    <row r="663" spans="1:5" x14ac:dyDescent="0.3">
      <c r="A663" t="str">
        <f>"15"</f>
        <v>15</v>
      </c>
      <c r="B663" t="str">
        <f>"15.1102"</f>
        <v>15.1102</v>
      </c>
      <c r="C663" t="s">
        <v>3295</v>
      </c>
      <c r="D663" t="s">
        <v>3294</v>
      </c>
    </row>
    <row r="664" spans="1:5" x14ac:dyDescent="0.3">
      <c r="A664" t="str">
        <f>"15"</f>
        <v>15</v>
      </c>
      <c r="B664" t="str">
        <f>"15.1103"</f>
        <v>15.1103</v>
      </c>
      <c r="C664" t="s">
        <v>3293</v>
      </c>
      <c r="D664" t="s">
        <v>3292</v>
      </c>
    </row>
    <row r="665" spans="1:5" x14ac:dyDescent="0.3">
      <c r="A665" t="str">
        <f>"15"</f>
        <v>15</v>
      </c>
      <c r="B665" t="str">
        <f>"15.1199"</f>
        <v>15.1199</v>
      </c>
      <c r="C665" t="s">
        <v>5994</v>
      </c>
      <c r="D665" t="s">
        <v>3291</v>
      </c>
    </row>
    <row r="666" spans="1:5" x14ac:dyDescent="0.3">
      <c r="A666" t="str">
        <f>"15"</f>
        <v>15</v>
      </c>
      <c r="B666" t="str">
        <f>"15.12"</f>
        <v>15.12</v>
      </c>
      <c r="C666" t="s">
        <v>3290</v>
      </c>
      <c r="D666" t="s">
        <v>3289</v>
      </c>
    </row>
    <row r="667" spans="1:5" x14ac:dyDescent="0.3">
      <c r="A667" t="str">
        <f>"15"</f>
        <v>15</v>
      </c>
      <c r="B667" t="str">
        <f>"15.1201"</f>
        <v>15.1201</v>
      </c>
      <c r="C667" t="s">
        <v>3288</v>
      </c>
      <c r="D667" t="s">
        <v>3287</v>
      </c>
    </row>
    <row r="668" spans="1:5" x14ac:dyDescent="0.3">
      <c r="A668" t="str">
        <f>"15"</f>
        <v>15</v>
      </c>
      <c r="B668" t="str">
        <f>"15.1202"</f>
        <v>15.1202</v>
      </c>
      <c r="C668" t="s">
        <v>5993</v>
      </c>
      <c r="D668" t="s">
        <v>3286</v>
      </c>
      <c r="E668" t="s">
        <v>3285</v>
      </c>
    </row>
    <row r="669" spans="1:5" x14ac:dyDescent="0.3">
      <c r="A669" t="str">
        <f>"15"</f>
        <v>15</v>
      </c>
      <c r="B669" t="str">
        <f>"15.1203"</f>
        <v>15.1203</v>
      </c>
      <c r="C669" t="s">
        <v>3284</v>
      </c>
      <c r="D669" t="s">
        <v>3283</v>
      </c>
    </row>
    <row r="670" spans="1:5" x14ac:dyDescent="0.3">
      <c r="A670" t="str">
        <f>"15"</f>
        <v>15</v>
      </c>
      <c r="B670" t="str">
        <f>"15.1204"</f>
        <v>15.1204</v>
      </c>
      <c r="C670" t="s">
        <v>3282</v>
      </c>
      <c r="D670" t="s">
        <v>3281</v>
      </c>
    </row>
    <row r="671" spans="1:5" x14ac:dyDescent="0.3">
      <c r="A671" t="str">
        <f>"15"</f>
        <v>15</v>
      </c>
      <c r="B671" t="str">
        <f>"15.1299"</f>
        <v>15.1299</v>
      </c>
      <c r="C671" t="s">
        <v>3280</v>
      </c>
      <c r="D671" t="s">
        <v>3279</v>
      </c>
    </row>
    <row r="672" spans="1:5" x14ac:dyDescent="0.3">
      <c r="A672" t="str">
        <f>"15"</f>
        <v>15</v>
      </c>
      <c r="B672" t="str">
        <f>"15.13"</f>
        <v>15.13</v>
      </c>
      <c r="C672" t="s">
        <v>3278</v>
      </c>
      <c r="D672" t="s">
        <v>3277</v>
      </c>
    </row>
    <row r="673" spans="1:6" x14ac:dyDescent="0.3">
      <c r="A673" t="str">
        <f>"15"</f>
        <v>15</v>
      </c>
      <c r="B673" t="str">
        <f>"15.1301"</f>
        <v>15.1301</v>
      </c>
      <c r="C673" t="s">
        <v>3276</v>
      </c>
      <c r="D673" t="s">
        <v>3275</v>
      </c>
    </row>
    <row r="674" spans="1:6" x14ac:dyDescent="0.3">
      <c r="A674" t="str">
        <f>"15"</f>
        <v>15</v>
      </c>
      <c r="B674" t="str">
        <f>"15.1302"</f>
        <v>15.1302</v>
      </c>
      <c r="C674" t="s">
        <v>3273</v>
      </c>
      <c r="D674" t="s">
        <v>3272</v>
      </c>
      <c r="F674" t="s">
        <v>3246</v>
      </c>
    </row>
    <row r="675" spans="1:6" x14ac:dyDescent="0.3">
      <c r="A675" t="str">
        <f>"15"</f>
        <v>15</v>
      </c>
      <c r="B675" t="str">
        <f>"15.1303"</f>
        <v>15.1303</v>
      </c>
      <c r="C675" t="s">
        <v>3271</v>
      </c>
      <c r="D675" t="s">
        <v>3270</v>
      </c>
      <c r="E675" t="s">
        <v>3269</v>
      </c>
    </row>
    <row r="676" spans="1:6" x14ac:dyDescent="0.3">
      <c r="A676" t="str">
        <f>"15"</f>
        <v>15</v>
      </c>
      <c r="B676" t="str">
        <f>"15.1304"</f>
        <v>15.1304</v>
      </c>
      <c r="C676" t="s">
        <v>3268</v>
      </c>
      <c r="D676" t="s">
        <v>3267</v>
      </c>
    </row>
    <row r="677" spans="1:6" x14ac:dyDescent="0.3">
      <c r="A677" t="str">
        <f>"15"</f>
        <v>15</v>
      </c>
      <c r="B677" t="str">
        <f>"15.1305"</f>
        <v>15.1305</v>
      </c>
      <c r="C677" t="s">
        <v>3266</v>
      </c>
      <c r="D677" t="s">
        <v>3265</v>
      </c>
    </row>
    <row r="678" spans="1:6" x14ac:dyDescent="0.3">
      <c r="A678" t="str">
        <f>"15"</f>
        <v>15</v>
      </c>
      <c r="B678" t="str">
        <f>"15.1306"</f>
        <v>15.1306</v>
      </c>
      <c r="C678" t="s">
        <v>3264</v>
      </c>
      <c r="D678" t="s">
        <v>3263</v>
      </c>
    </row>
    <row r="679" spans="1:6" x14ac:dyDescent="0.3">
      <c r="A679" t="str">
        <f>"15"</f>
        <v>15</v>
      </c>
      <c r="B679" t="str">
        <f>"15.1307"</f>
        <v>15.1307</v>
      </c>
      <c r="C679" t="s">
        <v>5992</v>
      </c>
      <c r="D679" t="s">
        <v>5991</v>
      </c>
    </row>
    <row r="680" spans="1:6" x14ac:dyDescent="0.3">
      <c r="A680" t="str">
        <f>"15"</f>
        <v>15</v>
      </c>
      <c r="B680" t="str">
        <f>"15.1399"</f>
        <v>15.1399</v>
      </c>
      <c r="C680" t="s">
        <v>3262</v>
      </c>
      <c r="D680" t="s">
        <v>3261</v>
      </c>
    </row>
    <row r="681" spans="1:6" x14ac:dyDescent="0.3">
      <c r="A681" t="str">
        <f>"15"</f>
        <v>15</v>
      </c>
      <c r="B681" t="str">
        <f>"15.14"</f>
        <v>15.14</v>
      </c>
      <c r="C681" t="s">
        <v>3259</v>
      </c>
      <c r="D681" t="s">
        <v>3260</v>
      </c>
    </row>
    <row r="682" spans="1:6" x14ac:dyDescent="0.3">
      <c r="A682" t="str">
        <f>"15"</f>
        <v>15</v>
      </c>
      <c r="B682" t="str">
        <f>"15.1401"</f>
        <v>15.1401</v>
      </c>
      <c r="C682" t="s">
        <v>3259</v>
      </c>
      <c r="D682" t="s">
        <v>3258</v>
      </c>
    </row>
    <row r="683" spans="1:6" x14ac:dyDescent="0.3">
      <c r="A683" t="str">
        <f>"15"</f>
        <v>15</v>
      </c>
      <c r="B683" t="str">
        <f>"15.15"</f>
        <v>15.15</v>
      </c>
      <c r="C683" t="s">
        <v>3257</v>
      </c>
      <c r="D683" t="s">
        <v>3256</v>
      </c>
    </row>
    <row r="684" spans="1:6" x14ac:dyDescent="0.3">
      <c r="A684" t="str">
        <f>"15"</f>
        <v>15</v>
      </c>
      <c r="B684" t="str">
        <f>"15.1501"</f>
        <v>15.1501</v>
      </c>
      <c r="C684" t="s">
        <v>3255</v>
      </c>
      <c r="D684" t="s">
        <v>3254</v>
      </c>
    </row>
    <row r="685" spans="1:6" x14ac:dyDescent="0.3">
      <c r="A685" t="str">
        <f>"15"</f>
        <v>15</v>
      </c>
      <c r="B685" t="str">
        <f>"15.1502"</f>
        <v>15.1502</v>
      </c>
      <c r="C685" t="s">
        <v>3253</v>
      </c>
      <c r="D685" t="s">
        <v>3252</v>
      </c>
    </row>
    <row r="686" spans="1:6" x14ac:dyDescent="0.3">
      <c r="A686" t="str">
        <f>"15"</f>
        <v>15</v>
      </c>
      <c r="B686" t="str">
        <f>"15.1503"</f>
        <v>15.1503</v>
      </c>
      <c r="C686" t="s">
        <v>3251</v>
      </c>
      <c r="D686" t="s">
        <v>3250</v>
      </c>
    </row>
    <row r="687" spans="1:6" x14ac:dyDescent="0.3">
      <c r="A687" t="str">
        <f>"15"</f>
        <v>15</v>
      </c>
      <c r="B687" t="str">
        <f>"15.1599"</f>
        <v>15.1599</v>
      </c>
      <c r="C687" t="s">
        <v>3249</v>
      </c>
      <c r="D687" t="s">
        <v>3248</v>
      </c>
    </row>
    <row r="688" spans="1:6" x14ac:dyDescent="0.3">
      <c r="A688" t="str">
        <f>"15"</f>
        <v>15</v>
      </c>
      <c r="B688" t="str">
        <f>"15.16"</f>
        <v>15.16</v>
      </c>
      <c r="C688" t="s">
        <v>3245</v>
      </c>
      <c r="D688" t="s">
        <v>3247</v>
      </c>
    </row>
    <row r="689" spans="1:6" x14ac:dyDescent="0.3">
      <c r="A689" t="str">
        <f>"15"</f>
        <v>15</v>
      </c>
      <c r="B689" t="str">
        <f>"15.1601"</f>
        <v>15.1601</v>
      </c>
      <c r="C689" t="s">
        <v>3245</v>
      </c>
      <c r="D689" t="s">
        <v>3244</v>
      </c>
      <c r="F689" t="s">
        <v>3242</v>
      </c>
    </row>
    <row r="690" spans="1:6" x14ac:dyDescent="0.3">
      <c r="A690" t="str">
        <f>"15"</f>
        <v>15</v>
      </c>
      <c r="B690" t="str">
        <f>"15.17"</f>
        <v>15.17</v>
      </c>
      <c r="C690" t="s">
        <v>5990</v>
      </c>
      <c r="D690" t="s">
        <v>5989</v>
      </c>
    </row>
    <row r="691" spans="1:6" x14ac:dyDescent="0.3">
      <c r="A691" t="str">
        <f>"15"</f>
        <v>15</v>
      </c>
      <c r="B691" t="str">
        <f>"15.1701"</f>
        <v>15.1701</v>
      </c>
      <c r="C691" t="s">
        <v>5988</v>
      </c>
      <c r="D691" t="s">
        <v>3358</v>
      </c>
      <c r="E691" t="s">
        <v>5987</v>
      </c>
      <c r="F691" t="s">
        <v>5986</v>
      </c>
    </row>
    <row r="692" spans="1:6" x14ac:dyDescent="0.3">
      <c r="A692" t="str">
        <f>"15"</f>
        <v>15</v>
      </c>
      <c r="B692" t="str">
        <f>"15.1702"</f>
        <v>15.1702</v>
      </c>
      <c r="C692" t="s">
        <v>5985</v>
      </c>
      <c r="D692" t="s">
        <v>5984</v>
      </c>
      <c r="E692" t="s">
        <v>5983</v>
      </c>
    </row>
    <row r="693" spans="1:6" x14ac:dyDescent="0.3">
      <c r="A693" t="str">
        <f>"15"</f>
        <v>15</v>
      </c>
      <c r="B693" t="str">
        <f>"15.1703"</f>
        <v>15.1703</v>
      </c>
      <c r="C693" t="s">
        <v>3357</v>
      </c>
      <c r="D693" t="s">
        <v>3356</v>
      </c>
      <c r="E693" t="s">
        <v>5982</v>
      </c>
    </row>
    <row r="694" spans="1:6" x14ac:dyDescent="0.3">
      <c r="A694" t="str">
        <f>"15"</f>
        <v>15</v>
      </c>
      <c r="B694" t="str">
        <f>"15.1704"</f>
        <v>15.1704</v>
      </c>
      <c r="C694" t="s">
        <v>5981</v>
      </c>
      <c r="D694" t="s">
        <v>5980</v>
      </c>
      <c r="E694" t="s">
        <v>5979</v>
      </c>
      <c r="F694" t="s">
        <v>5978</v>
      </c>
    </row>
    <row r="695" spans="1:6" x14ac:dyDescent="0.3">
      <c r="A695" t="str">
        <f>"15"</f>
        <v>15</v>
      </c>
      <c r="B695" t="str">
        <f>"15.1705"</f>
        <v>15.1705</v>
      </c>
      <c r="C695" t="s">
        <v>5977</v>
      </c>
      <c r="D695" t="s">
        <v>5976</v>
      </c>
      <c r="E695" t="s">
        <v>5975</v>
      </c>
    </row>
    <row r="696" spans="1:6" x14ac:dyDescent="0.3">
      <c r="A696" t="str">
        <f>"15"</f>
        <v>15</v>
      </c>
      <c r="B696" t="str">
        <f>"15.1706"</f>
        <v>15.1706</v>
      </c>
      <c r="C696" t="s">
        <v>5974</v>
      </c>
      <c r="D696" t="s">
        <v>5973</v>
      </c>
      <c r="E696" t="s">
        <v>5972</v>
      </c>
    </row>
    <row r="697" spans="1:6" x14ac:dyDescent="0.3">
      <c r="A697" t="str">
        <f>"15"</f>
        <v>15</v>
      </c>
      <c r="B697" t="str">
        <f>"15.1799"</f>
        <v>15.1799</v>
      </c>
      <c r="C697" t="s">
        <v>5971</v>
      </c>
      <c r="D697" t="s">
        <v>5970</v>
      </c>
      <c r="E697" t="s">
        <v>5969</v>
      </c>
    </row>
    <row r="698" spans="1:6" x14ac:dyDescent="0.3">
      <c r="A698" t="str">
        <f>"15"</f>
        <v>15</v>
      </c>
      <c r="B698" t="str">
        <f>"15.99"</f>
        <v>15.99</v>
      </c>
      <c r="C698" t="s">
        <v>5968</v>
      </c>
      <c r="D698" t="s">
        <v>3243</v>
      </c>
    </row>
    <row r="699" spans="1:6" x14ac:dyDescent="0.3">
      <c r="A699" t="str">
        <f>"15"</f>
        <v>15</v>
      </c>
      <c r="B699" t="str">
        <f>"15.9999"</f>
        <v>15.9999</v>
      </c>
      <c r="C699" t="s">
        <v>5968</v>
      </c>
      <c r="D699" t="s">
        <v>3241</v>
      </c>
      <c r="F699" t="s">
        <v>2943</v>
      </c>
    </row>
    <row r="700" spans="1:6" x14ac:dyDescent="0.3">
      <c r="A700" t="str">
        <f>"16"</f>
        <v>16</v>
      </c>
      <c r="B700" t="str">
        <f>"16"</f>
        <v>16</v>
      </c>
      <c r="C700" t="s">
        <v>3240</v>
      </c>
      <c r="D700" t="s">
        <v>3239</v>
      </c>
    </row>
    <row r="701" spans="1:6" x14ac:dyDescent="0.3">
      <c r="A701" t="str">
        <f>"16"</f>
        <v>16</v>
      </c>
      <c r="B701" t="str">
        <f>"16.01"</f>
        <v>16.01</v>
      </c>
      <c r="C701" t="s">
        <v>3238</v>
      </c>
      <c r="D701" t="s">
        <v>3237</v>
      </c>
    </row>
    <row r="702" spans="1:6" x14ac:dyDescent="0.3">
      <c r="A702" t="str">
        <f>"16"</f>
        <v>16</v>
      </c>
      <c r="B702" t="str">
        <f>"16.0101"</f>
        <v>16.0101</v>
      </c>
      <c r="C702" t="s">
        <v>3236</v>
      </c>
      <c r="D702" t="s">
        <v>3235</v>
      </c>
      <c r="E702" t="s">
        <v>5967</v>
      </c>
    </row>
    <row r="703" spans="1:6" x14ac:dyDescent="0.3">
      <c r="A703" t="str">
        <f>"16"</f>
        <v>16</v>
      </c>
      <c r="B703" t="str">
        <f>"16.0102"</f>
        <v>16.0102</v>
      </c>
      <c r="C703" t="s">
        <v>3234</v>
      </c>
      <c r="D703" t="s">
        <v>3233</v>
      </c>
      <c r="E703" t="s">
        <v>5966</v>
      </c>
    </row>
    <row r="704" spans="1:6" x14ac:dyDescent="0.3">
      <c r="A704" t="str">
        <f>"16"</f>
        <v>16</v>
      </c>
      <c r="B704" t="str">
        <f>"16.0103"</f>
        <v>16.0103</v>
      </c>
      <c r="C704" t="s">
        <v>3232</v>
      </c>
      <c r="D704" t="s">
        <v>3231</v>
      </c>
      <c r="E704" t="s">
        <v>3230</v>
      </c>
    </row>
    <row r="705" spans="1:5" x14ac:dyDescent="0.3">
      <c r="A705" t="str">
        <f>"16"</f>
        <v>16</v>
      </c>
      <c r="B705" t="str">
        <f>"16.0104"</f>
        <v>16.0104</v>
      </c>
      <c r="C705" t="s">
        <v>3229</v>
      </c>
      <c r="D705" t="s">
        <v>3228</v>
      </c>
      <c r="E705" t="s">
        <v>5965</v>
      </c>
    </row>
    <row r="706" spans="1:5" x14ac:dyDescent="0.3">
      <c r="A706" t="str">
        <f>"16"</f>
        <v>16</v>
      </c>
      <c r="B706" t="str">
        <f>"16.0105"</f>
        <v>16.0105</v>
      </c>
      <c r="C706" t="s">
        <v>3227</v>
      </c>
      <c r="D706" t="s">
        <v>3226</v>
      </c>
    </row>
    <row r="707" spans="1:5" x14ac:dyDescent="0.3">
      <c r="A707" t="str">
        <f>"16"</f>
        <v>16</v>
      </c>
      <c r="B707" t="str">
        <f>"16.0199"</f>
        <v>16.0199</v>
      </c>
      <c r="C707" t="s">
        <v>3225</v>
      </c>
      <c r="D707" t="s">
        <v>3224</v>
      </c>
    </row>
    <row r="708" spans="1:5" x14ac:dyDescent="0.3">
      <c r="A708" t="str">
        <f>"16"</f>
        <v>16</v>
      </c>
      <c r="B708" t="str">
        <f>"16.02"</f>
        <v>16.02</v>
      </c>
      <c r="C708" t="s">
        <v>3222</v>
      </c>
      <c r="D708" t="s">
        <v>3223</v>
      </c>
    </row>
    <row r="709" spans="1:5" x14ac:dyDescent="0.3">
      <c r="A709" t="str">
        <f>"16"</f>
        <v>16</v>
      </c>
      <c r="B709" t="str">
        <f>"16.0201"</f>
        <v>16.0201</v>
      </c>
      <c r="C709" t="s">
        <v>3222</v>
      </c>
      <c r="D709" t="s">
        <v>3221</v>
      </c>
    </row>
    <row r="710" spans="1:5" x14ac:dyDescent="0.3">
      <c r="A710" t="str">
        <f>"16"</f>
        <v>16</v>
      </c>
      <c r="B710" t="str">
        <f>"16.03"</f>
        <v>16.03</v>
      </c>
      <c r="C710" t="s">
        <v>3220</v>
      </c>
      <c r="D710" t="s">
        <v>3219</v>
      </c>
    </row>
    <row r="711" spans="1:5" x14ac:dyDescent="0.3">
      <c r="A711" t="str">
        <f>"16"</f>
        <v>16</v>
      </c>
      <c r="B711" t="str">
        <f>"16.0300"</f>
        <v>16.0300</v>
      </c>
      <c r="C711" t="s">
        <v>3218</v>
      </c>
      <c r="D711" t="s">
        <v>3217</v>
      </c>
    </row>
    <row r="712" spans="1:5" x14ac:dyDescent="0.3">
      <c r="A712" t="str">
        <f>"16"</f>
        <v>16</v>
      </c>
      <c r="B712" t="str">
        <f>"16.0301"</f>
        <v>16.0301</v>
      </c>
      <c r="C712" t="s">
        <v>3216</v>
      </c>
      <c r="D712" t="s">
        <v>3215</v>
      </c>
    </row>
    <row r="713" spans="1:5" x14ac:dyDescent="0.3">
      <c r="A713" t="str">
        <f>"16"</f>
        <v>16</v>
      </c>
      <c r="B713" t="str">
        <f>"16.0302"</f>
        <v>16.0302</v>
      </c>
      <c r="C713" t="s">
        <v>3214</v>
      </c>
      <c r="D713" t="s">
        <v>3213</v>
      </c>
    </row>
    <row r="714" spans="1:5" x14ac:dyDescent="0.3">
      <c r="A714" t="str">
        <f>"16"</f>
        <v>16</v>
      </c>
      <c r="B714" t="str">
        <f>"16.0303"</f>
        <v>16.0303</v>
      </c>
      <c r="C714" t="s">
        <v>3212</v>
      </c>
      <c r="D714" t="s">
        <v>3211</v>
      </c>
    </row>
    <row r="715" spans="1:5" x14ac:dyDescent="0.3">
      <c r="A715" t="str">
        <f>"16"</f>
        <v>16</v>
      </c>
      <c r="B715" t="str">
        <f>"16.0304"</f>
        <v>16.0304</v>
      </c>
      <c r="C715" t="s">
        <v>3210</v>
      </c>
      <c r="D715" t="s">
        <v>3209</v>
      </c>
    </row>
    <row r="716" spans="1:5" x14ac:dyDescent="0.3">
      <c r="A716" t="str">
        <f>"16"</f>
        <v>16</v>
      </c>
      <c r="B716" t="str">
        <f>"16.0399"</f>
        <v>16.0399</v>
      </c>
      <c r="C716" t="s">
        <v>3208</v>
      </c>
      <c r="D716" t="s">
        <v>3207</v>
      </c>
    </row>
    <row r="717" spans="1:5" x14ac:dyDescent="0.3">
      <c r="A717" t="str">
        <f>"16"</f>
        <v>16</v>
      </c>
      <c r="B717" t="str">
        <f>"16.04"</f>
        <v>16.04</v>
      </c>
      <c r="C717" t="s">
        <v>3206</v>
      </c>
      <c r="D717" t="s">
        <v>3205</v>
      </c>
    </row>
    <row r="718" spans="1:5" x14ac:dyDescent="0.3">
      <c r="A718" t="str">
        <f>"16"</f>
        <v>16</v>
      </c>
      <c r="B718" t="str">
        <f>"16.0400"</f>
        <v>16.0400</v>
      </c>
      <c r="C718" t="s">
        <v>3204</v>
      </c>
      <c r="D718" t="s">
        <v>3203</v>
      </c>
    </row>
    <row r="719" spans="1:5" x14ac:dyDescent="0.3">
      <c r="A719" t="str">
        <f>"16"</f>
        <v>16</v>
      </c>
      <c r="B719" t="str">
        <f>"16.0401"</f>
        <v>16.0401</v>
      </c>
      <c r="C719" t="s">
        <v>3202</v>
      </c>
      <c r="D719" t="s">
        <v>3201</v>
      </c>
    </row>
    <row r="720" spans="1:5" x14ac:dyDescent="0.3">
      <c r="A720" t="str">
        <f>"16"</f>
        <v>16</v>
      </c>
      <c r="B720" t="str">
        <f>"16.0402"</f>
        <v>16.0402</v>
      </c>
      <c r="C720" t="s">
        <v>3200</v>
      </c>
      <c r="D720" t="s">
        <v>3199</v>
      </c>
    </row>
    <row r="721" spans="1:4" x14ac:dyDescent="0.3">
      <c r="A721" t="str">
        <f>"16"</f>
        <v>16</v>
      </c>
      <c r="B721" t="str">
        <f>"16.0404"</f>
        <v>16.0404</v>
      </c>
      <c r="C721" t="s">
        <v>3198</v>
      </c>
      <c r="D721" t="s">
        <v>3197</v>
      </c>
    </row>
    <row r="722" spans="1:4" x14ac:dyDescent="0.3">
      <c r="A722" t="str">
        <f>"16"</f>
        <v>16</v>
      </c>
      <c r="B722" t="str">
        <f>"16.0405"</f>
        <v>16.0405</v>
      </c>
      <c r="C722" t="s">
        <v>3196</v>
      </c>
      <c r="D722" t="s">
        <v>3195</v>
      </c>
    </row>
    <row r="723" spans="1:4" x14ac:dyDescent="0.3">
      <c r="A723" t="str">
        <f>"16"</f>
        <v>16</v>
      </c>
      <c r="B723" t="str">
        <f>"16.0406"</f>
        <v>16.0406</v>
      </c>
      <c r="C723" t="s">
        <v>3194</v>
      </c>
      <c r="D723" t="s">
        <v>3193</v>
      </c>
    </row>
    <row r="724" spans="1:4" x14ac:dyDescent="0.3">
      <c r="A724" t="str">
        <f>"16"</f>
        <v>16</v>
      </c>
      <c r="B724" t="str">
        <f>"16.0407"</f>
        <v>16.0407</v>
      </c>
      <c r="C724" t="s">
        <v>3192</v>
      </c>
      <c r="D724" t="s">
        <v>3191</v>
      </c>
    </row>
    <row r="725" spans="1:4" x14ac:dyDescent="0.3">
      <c r="A725" t="str">
        <f>"16"</f>
        <v>16</v>
      </c>
      <c r="B725" t="str">
        <f>"16.0408"</f>
        <v>16.0408</v>
      </c>
      <c r="C725" t="s">
        <v>3190</v>
      </c>
      <c r="D725" t="s">
        <v>3189</v>
      </c>
    </row>
    <row r="726" spans="1:4" x14ac:dyDescent="0.3">
      <c r="A726" t="str">
        <f>"16"</f>
        <v>16</v>
      </c>
      <c r="B726" t="str">
        <f>"16.0409"</f>
        <v>16.0409</v>
      </c>
      <c r="C726" t="s">
        <v>3188</v>
      </c>
      <c r="D726" t="s">
        <v>3187</v>
      </c>
    </row>
    <row r="727" spans="1:4" x14ac:dyDescent="0.3">
      <c r="A727" t="str">
        <f>"16"</f>
        <v>16</v>
      </c>
      <c r="B727" t="str">
        <f>"16.0410"</f>
        <v>16.0410</v>
      </c>
      <c r="C727" t="s">
        <v>3186</v>
      </c>
      <c r="D727" t="s">
        <v>3185</v>
      </c>
    </row>
    <row r="728" spans="1:4" x14ac:dyDescent="0.3">
      <c r="A728" t="str">
        <f>"16"</f>
        <v>16</v>
      </c>
      <c r="B728" t="str">
        <f>"16.0499"</f>
        <v>16.0499</v>
      </c>
      <c r="C728" t="s">
        <v>3184</v>
      </c>
      <c r="D728" t="s">
        <v>3183</v>
      </c>
    </row>
    <row r="729" spans="1:4" x14ac:dyDescent="0.3">
      <c r="A729" t="str">
        <f>"16"</f>
        <v>16</v>
      </c>
      <c r="B729" t="str">
        <f>"16.05"</f>
        <v>16.05</v>
      </c>
      <c r="C729" t="s">
        <v>3182</v>
      </c>
      <c r="D729" t="s">
        <v>3181</v>
      </c>
    </row>
    <row r="730" spans="1:4" x14ac:dyDescent="0.3">
      <c r="A730" t="str">
        <f>"16"</f>
        <v>16</v>
      </c>
      <c r="B730" t="str">
        <f>"16.0500"</f>
        <v>16.0500</v>
      </c>
      <c r="C730" t="s">
        <v>3180</v>
      </c>
      <c r="D730" t="s">
        <v>3179</v>
      </c>
    </row>
    <row r="731" spans="1:4" x14ac:dyDescent="0.3">
      <c r="A731" t="str">
        <f>"16"</f>
        <v>16</v>
      </c>
      <c r="B731" t="str">
        <f>"16.0501"</f>
        <v>16.0501</v>
      </c>
      <c r="C731" t="s">
        <v>3178</v>
      </c>
      <c r="D731" t="s">
        <v>3177</v>
      </c>
    </row>
    <row r="732" spans="1:4" x14ac:dyDescent="0.3">
      <c r="A732" t="str">
        <f>"16"</f>
        <v>16</v>
      </c>
      <c r="B732" t="str">
        <f>"16.0502"</f>
        <v>16.0502</v>
      </c>
      <c r="C732" t="s">
        <v>3176</v>
      </c>
      <c r="D732" t="s">
        <v>3175</v>
      </c>
    </row>
    <row r="733" spans="1:4" x14ac:dyDescent="0.3">
      <c r="A733" t="str">
        <f>"16"</f>
        <v>16</v>
      </c>
      <c r="B733" t="str">
        <f>"16.0503"</f>
        <v>16.0503</v>
      </c>
      <c r="C733" t="s">
        <v>3174</v>
      </c>
      <c r="D733" t="s">
        <v>3173</v>
      </c>
    </row>
    <row r="734" spans="1:4" x14ac:dyDescent="0.3">
      <c r="A734" t="str">
        <f>"16"</f>
        <v>16</v>
      </c>
      <c r="B734" t="str">
        <f>"16.0504"</f>
        <v>16.0504</v>
      </c>
      <c r="C734" t="s">
        <v>3172</v>
      </c>
      <c r="D734" t="s">
        <v>3171</v>
      </c>
    </row>
    <row r="735" spans="1:4" x14ac:dyDescent="0.3">
      <c r="A735" t="str">
        <f>"16"</f>
        <v>16</v>
      </c>
      <c r="B735" t="str">
        <f>"16.0505"</f>
        <v>16.0505</v>
      </c>
      <c r="C735" t="s">
        <v>3170</v>
      </c>
      <c r="D735" t="s">
        <v>3169</v>
      </c>
    </row>
    <row r="736" spans="1:4" x14ac:dyDescent="0.3">
      <c r="A736" t="str">
        <f>"16"</f>
        <v>16</v>
      </c>
      <c r="B736" t="str">
        <f>"16.0506"</f>
        <v>16.0506</v>
      </c>
      <c r="C736" t="s">
        <v>3168</v>
      </c>
      <c r="D736" t="s">
        <v>3167</v>
      </c>
    </row>
    <row r="737" spans="1:4" x14ac:dyDescent="0.3">
      <c r="A737" t="str">
        <f>"16"</f>
        <v>16</v>
      </c>
      <c r="B737" t="str">
        <f>"16.0599"</f>
        <v>16.0599</v>
      </c>
      <c r="C737" t="s">
        <v>3166</v>
      </c>
      <c r="D737" t="s">
        <v>3165</v>
      </c>
    </row>
    <row r="738" spans="1:4" x14ac:dyDescent="0.3">
      <c r="A738" t="str">
        <f>"16"</f>
        <v>16</v>
      </c>
      <c r="B738" t="str">
        <f>"16.06"</f>
        <v>16.06</v>
      </c>
      <c r="C738" t="s">
        <v>3163</v>
      </c>
      <c r="D738" t="s">
        <v>3164</v>
      </c>
    </row>
    <row r="739" spans="1:4" x14ac:dyDescent="0.3">
      <c r="A739" t="str">
        <f>"16"</f>
        <v>16</v>
      </c>
      <c r="B739" t="str">
        <f>"16.0601"</f>
        <v>16.0601</v>
      </c>
      <c r="C739" t="s">
        <v>3163</v>
      </c>
      <c r="D739" t="s">
        <v>3162</v>
      </c>
    </row>
    <row r="740" spans="1:4" x14ac:dyDescent="0.3">
      <c r="A740" t="str">
        <f>"16"</f>
        <v>16</v>
      </c>
      <c r="B740" t="str">
        <f>"16.07"</f>
        <v>16.07</v>
      </c>
      <c r="C740" t="s">
        <v>3161</v>
      </c>
      <c r="D740" t="s">
        <v>3160</v>
      </c>
    </row>
    <row r="741" spans="1:4" x14ac:dyDescent="0.3">
      <c r="A741" t="str">
        <f>"16"</f>
        <v>16</v>
      </c>
      <c r="B741" t="str">
        <f>"16.0700"</f>
        <v>16.0700</v>
      </c>
      <c r="C741" t="s">
        <v>3159</v>
      </c>
      <c r="D741" t="s">
        <v>3158</v>
      </c>
    </row>
    <row r="742" spans="1:4" x14ac:dyDescent="0.3">
      <c r="A742" t="str">
        <f>"16"</f>
        <v>16</v>
      </c>
      <c r="B742" t="str">
        <f>"16.0701"</f>
        <v>16.0701</v>
      </c>
      <c r="C742" t="s">
        <v>3157</v>
      </c>
      <c r="D742" t="s">
        <v>3156</v>
      </c>
    </row>
    <row r="743" spans="1:4" x14ac:dyDescent="0.3">
      <c r="A743" t="str">
        <f>"16"</f>
        <v>16</v>
      </c>
      <c r="B743" t="str">
        <f>"16.0702"</f>
        <v>16.0702</v>
      </c>
      <c r="C743" t="s">
        <v>3155</v>
      </c>
      <c r="D743" t="s">
        <v>3154</v>
      </c>
    </row>
    <row r="744" spans="1:4" x14ac:dyDescent="0.3">
      <c r="A744" t="str">
        <f>"16"</f>
        <v>16</v>
      </c>
      <c r="B744" t="str">
        <f>"16.0704"</f>
        <v>16.0704</v>
      </c>
      <c r="C744" t="s">
        <v>3153</v>
      </c>
      <c r="D744" t="s">
        <v>3152</v>
      </c>
    </row>
    <row r="745" spans="1:4" x14ac:dyDescent="0.3">
      <c r="A745" t="str">
        <f>"16"</f>
        <v>16</v>
      </c>
      <c r="B745" t="str">
        <f>"16.0705"</f>
        <v>16.0705</v>
      </c>
      <c r="C745" t="s">
        <v>3151</v>
      </c>
      <c r="D745" t="s">
        <v>3150</v>
      </c>
    </row>
    <row r="746" spans="1:4" x14ac:dyDescent="0.3">
      <c r="A746" t="str">
        <f>"16"</f>
        <v>16</v>
      </c>
      <c r="B746" t="str">
        <f>"16.0706"</f>
        <v>16.0706</v>
      </c>
      <c r="C746" t="s">
        <v>3149</v>
      </c>
      <c r="D746" t="s">
        <v>3148</v>
      </c>
    </row>
    <row r="747" spans="1:4" x14ac:dyDescent="0.3">
      <c r="A747" t="str">
        <f>"16"</f>
        <v>16</v>
      </c>
      <c r="B747" t="str">
        <f>"16.0707"</f>
        <v>16.0707</v>
      </c>
      <c r="C747" t="s">
        <v>3147</v>
      </c>
      <c r="D747" t="s">
        <v>3146</v>
      </c>
    </row>
    <row r="748" spans="1:4" x14ac:dyDescent="0.3">
      <c r="A748" t="str">
        <f>"16"</f>
        <v>16</v>
      </c>
      <c r="B748" t="str">
        <f>"16.0799"</f>
        <v>16.0799</v>
      </c>
      <c r="C748" t="s">
        <v>3145</v>
      </c>
      <c r="D748" t="s">
        <v>3144</v>
      </c>
    </row>
    <row r="749" spans="1:4" x14ac:dyDescent="0.3">
      <c r="A749" t="str">
        <f>"16"</f>
        <v>16</v>
      </c>
      <c r="B749" t="str">
        <f>"16.08"</f>
        <v>16.08</v>
      </c>
      <c r="C749" t="s">
        <v>3143</v>
      </c>
      <c r="D749" t="s">
        <v>3142</v>
      </c>
    </row>
    <row r="750" spans="1:4" x14ac:dyDescent="0.3">
      <c r="A750" t="str">
        <f>"16"</f>
        <v>16</v>
      </c>
      <c r="B750" t="str">
        <f>"16.0801"</f>
        <v>16.0801</v>
      </c>
      <c r="C750" t="s">
        <v>3141</v>
      </c>
      <c r="D750" t="s">
        <v>3140</v>
      </c>
    </row>
    <row r="751" spans="1:4" x14ac:dyDescent="0.3">
      <c r="A751" t="str">
        <f>"16"</f>
        <v>16</v>
      </c>
      <c r="B751" t="str">
        <f>"16.09"</f>
        <v>16.09</v>
      </c>
      <c r="C751" t="s">
        <v>3139</v>
      </c>
      <c r="D751" t="s">
        <v>3138</v>
      </c>
    </row>
    <row r="752" spans="1:4" x14ac:dyDescent="0.3">
      <c r="A752" t="str">
        <f>"16"</f>
        <v>16</v>
      </c>
      <c r="B752" t="str">
        <f>"16.0900"</f>
        <v>16.0900</v>
      </c>
      <c r="C752" t="s">
        <v>3137</v>
      </c>
      <c r="D752" t="s">
        <v>3136</v>
      </c>
    </row>
    <row r="753" spans="1:4" x14ac:dyDescent="0.3">
      <c r="A753" t="str">
        <f>"16"</f>
        <v>16</v>
      </c>
      <c r="B753" t="str">
        <f>"16.0901"</f>
        <v>16.0901</v>
      </c>
      <c r="C753" t="s">
        <v>3135</v>
      </c>
      <c r="D753" t="s">
        <v>3134</v>
      </c>
    </row>
    <row r="754" spans="1:4" x14ac:dyDescent="0.3">
      <c r="A754" t="str">
        <f>"16"</f>
        <v>16</v>
      </c>
      <c r="B754" t="str">
        <f>"16.0902"</f>
        <v>16.0902</v>
      </c>
      <c r="C754" t="s">
        <v>3133</v>
      </c>
      <c r="D754" t="s">
        <v>3132</v>
      </c>
    </row>
    <row r="755" spans="1:4" x14ac:dyDescent="0.3">
      <c r="A755" t="str">
        <f>"16"</f>
        <v>16</v>
      </c>
      <c r="B755" t="str">
        <f>"16.0904"</f>
        <v>16.0904</v>
      </c>
      <c r="C755" t="s">
        <v>3131</v>
      </c>
      <c r="D755" t="s">
        <v>3130</v>
      </c>
    </row>
    <row r="756" spans="1:4" x14ac:dyDescent="0.3">
      <c r="A756" t="str">
        <f>"16"</f>
        <v>16</v>
      </c>
      <c r="B756" t="str">
        <f>"16.0905"</f>
        <v>16.0905</v>
      </c>
      <c r="C756" t="s">
        <v>3129</v>
      </c>
      <c r="D756" t="s">
        <v>3128</v>
      </c>
    </row>
    <row r="757" spans="1:4" x14ac:dyDescent="0.3">
      <c r="A757" t="str">
        <f>"16"</f>
        <v>16</v>
      </c>
      <c r="B757" t="str">
        <f>"16.0906"</f>
        <v>16.0906</v>
      </c>
      <c r="C757" t="s">
        <v>3127</v>
      </c>
      <c r="D757" t="s">
        <v>3126</v>
      </c>
    </row>
    <row r="758" spans="1:4" x14ac:dyDescent="0.3">
      <c r="A758" t="str">
        <f>"16"</f>
        <v>16</v>
      </c>
      <c r="B758" t="str">
        <f>"16.0907"</f>
        <v>16.0907</v>
      </c>
      <c r="C758" t="s">
        <v>3125</v>
      </c>
      <c r="D758" t="s">
        <v>3124</v>
      </c>
    </row>
    <row r="759" spans="1:4" x14ac:dyDescent="0.3">
      <c r="A759" t="str">
        <f>"16"</f>
        <v>16</v>
      </c>
      <c r="B759" t="str">
        <f>"16.0908"</f>
        <v>16.0908</v>
      </c>
      <c r="C759" t="s">
        <v>3123</v>
      </c>
      <c r="D759" t="s">
        <v>3122</v>
      </c>
    </row>
    <row r="760" spans="1:4" x14ac:dyDescent="0.3">
      <c r="A760" t="str">
        <f>"16"</f>
        <v>16</v>
      </c>
      <c r="B760" t="str">
        <f>"16.0999"</f>
        <v>16.0999</v>
      </c>
      <c r="C760" t="s">
        <v>3121</v>
      </c>
      <c r="D760" t="s">
        <v>3120</v>
      </c>
    </row>
    <row r="761" spans="1:4" x14ac:dyDescent="0.3">
      <c r="A761" t="str">
        <f>"16"</f>
        <v>16</v>
      </c>
      <c r="B761" t="str">
        <f>"16.10"</f>
        <v>16.10</v>
      </c>
      <c r="C761" t="s">
        <v>3118</v>
      </c>
      <c r="D761" t="s">
        <v>3119</v>
      </c>
    </row>
    <row r="762" spans="1:4" x14ac:dyDescent="0.3">
      <c r="A762" t="str">
        <f>"16"</f>
        <v>16</v>
      </c>
      <c r="B762" t="str">
        <f>"16.1001"</f>
        <v>16.1001</v>
      </c>
      <c r="C762" t="s">
        <v>3118</v>
      </c>
      <c r="D762" t="s">
        <v>5964</v>
      </c>
    </row>
    <row r="763" spans="1:4" x14ac:dyDescent="0.3">
      <c r="A763" t="str">
        <f>"16"</f>
        <v>16</v>
      </c>
      <c r="B763" t="str">
        <f>"16.11"</f>
        <v>16.11</v>
      </c>
      <c r="C763" t="s">
        <v>3117</v>
      </c>
      <c r="D763" t="s">
        <v>3116</v>
      </c>
    </row>
    <row r="764" spans="1:4" x14ac:dyDescent="0.3">
      <c r="A764" t="str">
        <f>"16"</f>
        <v>16</v>
      </c>
      <c r="B764" t="str">
        <f>"16.1100"</f>
        <v>16.1100</v>
      </c>
      <c r="C764" t="s">
        <v>3115</v>
      </c>
      <c r="D764" t="s">
        <v>3114</v>
      </c>
    </row>
    <row r="765" spans="1:4" x14ac:dyDescent="0.3">
      <c r="A765" t="str">
        <f>"16"</f>
        <v>16</v>
      </c>
      <c r="B765" t="str">
        <f>"16.1101"</f>
        <v>16.1101</v>
      </c>
      <c r="C765" t="s">
        <v>3113</v>
      </c>
      <c r="D765" t="s">
        <v>3112</v>
      </c>
    </row>
    <row r="766" spans="1:4" x14ac:dyDescent="0.3">
      <c r="A766" t="str">
        <f>"16"</f>
        <v>16</v>
      </c>
      <c r="B766" t="str">
        <f>"16.1102"</f>
        <v>16.1102</v>
      </c>
      <c r="C766" t="s">
        <v>3111</v>
      </c>
      <c r="D766" t="s">
        <v>3110</v>
      </c>
    </row>
    <row r="767" spans="1:4" x14ac:dyDescent="0.3">
      <c r="A767" t="str">
        <f>"16"</f>
        <v>16</v>
      </c>
      <c r="B767" t="str">
        <f>"16.1103"</f>
        <v>16.1103</v>
      </c>
      <c r="C767" t="s">
        <v>3109</v>
      </c>
      <c r="D767" t="s">
        <v>3108</v>
      </c>
    </row>
    <row r="768" spans="1:4" x14ac:dyDescent="0.3">
      <c r="A768" t="str">
        <f>"16"</f>
        <v>16</v>
      </c>
      <c r="B768" t="str">
        <f>"16.1199"</f>
        <v>16.1199</v>
      </c>
      <c r="C768" t="s">
        <v>3107</v>
      </c>
      <c r="D768" t="s">
        <v>3106</v>
      </c>
    </row>
    <row r="769" spans="1:4" x14ac:dyDescent="0.3">
      <c r="A769" t="str">
        <f>"16"</f>
        <v>16</v>
      </c>
      <c r="B769" t="str">
        <f>"16.12"</f>
        <v>16.12</v>
      </c>
      <c r="C769" t="s">
        <v>3105</v>
      </c>
      <c r="D769" t="s">
        <v>3104</v>
      </c>
    </row>
    <row r="770" spans="1:4" x14ac:dyDescent="0.3">
      <c r="A770" t="str">
        <f>"16"</f>
        <v>16</v>
      </c>
      <c r="B770" t="str">
        <f>"16.1200"</f>
        <v>16.1200</v>
      </c>
      <c r="C770" t="s">
        <v>3103</v>
      </c>
      <c r="D770" t="s">
        <v>3102</v>
      </c>
    </row>
    <row r="771" spans="1:4" x14ac:dyDescent="0.3">
      <c r="A771" t="str">
        <f>"16"</f>
        <v>16</v>
      </c>
      <c r="B771" t="str">
        <f>"16.1202"</f>
        <v>16.1202</v>
      </c>
      <c r="C771" t="s">
        <v>3101</v>
      </c>
      <c r="D771" t="s">
        <v>3100</v>
      </c>
    </row>
    <row r="772" spans="1:4" x14ac:dyDescent="0.3">
      <c r="A772" t="str">
        <f>"16"</f>
        <v>16</v>
      </c>
      <c r="B772" t="str">
        <f>"16.1203"</f>
        <v>16.1203</v>
      </c>
      <c r="C772" t="s">
        <v>3099</v>
      </c>
      <c r="D772" t="s">
        <v>3098</v>
      </c>
    </row>
    <row r="773" spans="1:4" x14ac:dyDescent="0.3">
      <c r="A773" t="str">
        <f>"16"</f>
        <v>16</v>
      </c>
      <c r="B773" t="str">
        <f>"16.1299"</f>
        <v>16.1299</v>
      </c>
      <c r="C773" t="s">
        <v>3097</v>
      </c>
      <c r="D773" t="s">
        <v>3096</v>
      </c>
    </row>
    <row r="774" spans="1:4" x14ac:dyDescent="0.3">
      <c r="A774" t="str">
        <f>"16"</f>
        <v>16</v>
      </c>
      <c r="B774" t="str">
        <f>"16.13"</f>
        <v>16.13</v>
      </c>
      <c r="C774" t="s">
        <v>3094</v>
      </c>
      <c r="D774" t="s">
        <v>3095</v>
      </c>
    </row>
    <row r="775" spans="1:4" x14ac:dyDescent="0.3">
      <c r="A775" t="str">
        <f>"16"</f>
        <v>16</v>
      </c>
      <c r="B775" t="str">
        <f>"16.1301"</f>
        <v>16.1301</v>
      </c>
      <c r="C775" t="s">
        <v>3094</v>
      </c>
      <c r="D775" t="s">
        <v>3093</v>
      </c>
    </row>
    <row r="776" spans="1:4" x14ac:dyDescent="0.3">
      <c r="A776" t="str">
        <f>"16"</f>
        <v>16</v>
      </c>
      <c r="B776" t="str">
        <f>"16.14"</f>
        <v>16.14</v>
      </c>
      <c r="C776" t="s">
        <v>3092</v>
      </c>
      <c r="D776" t="s">
        <v>3091</v>
      </c>
    </row>
    <row r="777" spans="1:4" x14ac:dyDescent="0.3">
      <c r="A777" t="str">
        <f>"16"</f>
        <v>16</v>
      </c>
      <c r="B777" t="str">
        <f>"16.1400"</f>
        <v>16.1400</v>
      </c>
      <c r="C777" t="s">
        <v>3090</v>
      </c>
      <c r="D777" t="s">
        <v>3089</v>
      </c>
    </row>
    <row r="778" spans="1:4" x14ac:dyDescent="0.3">
      <c r="A778" t="str">
        <f>"16"</f>
        <v>16</v>
      </c>
      <c r="B778" t="str">
        <f>"16.1401"</f>
        <v>16.1401</v>
      </c>
      <c r="C778" t="s">
        <v>3088</v>
      </c>
      <c r="D778" t="s">
        <v>3087</v>
      </c>
    </row>
    <row r="779" spans="1:4" x14ac:dyDescent="0.3">
      <c r="A779" t="str">
        <f>"16"</f>
        <v>16</v>
      </c>
      <c r="B779" t="str">
        <f>"16.1402"</f>
        <v>16.1402</v>
      </c>
      <c r="C779" t="s">
        <v>3086</v>
      </c>
      <c r="D779" t="s">
        <v>3085</v>
      </c>
    </row>
    <row r="780" spans="1:4" x14ac:dyDescent="0.3">
      <c r="A780" t="str">
        <f>"16"</f>
        <v>16</v>
      </c>
      <c r="B780" t="str">
        <f>"16.1403"</f>
        <v>16.1403</v>
      </c>
      <c r="C780" t="s">
        <v>3084</v>
      </c>
      <c r="D780" t="s">
        <v>3083</v>
      </c>
    </row>
    <row r="781" spans="1:4" x14ac:dyDescent="0.3">
      <c r="A781" t="str">
        <f>"16"</f>
        <v>16</v>
      </c>
      <c r="B781" t="str">
        <f>"16.1404"</f>
        <v>16.1404</v>
      </c>
      <c r="C781" t="s">
        <v>3082</v>
      </c>
      <c r="D781" t="s">
        <v>3081</v>
      </c>
    </row>
    <row r="782" spans="1:4" x14ac:dyDescent="0.3">
      <c r="A782" t="str">
        <f>"16"</f>
        <v>16</v>
      </c>
      <c r="B782" t="str">
        <f>"16.1405"</f>
        <v>16.1405</v>
      </c>
      <c r="C782" t="s">
        <v>3080</v>
      </c>
      <c r="D782" t="s">
        <v>3079</v>
      </c>
    </row>
    <row r="783" spans="1:4" x14ac:dyDescent="0.3">
      <c r="A783" t="str">
        <f>"16"</f>
        <v>16</v>
      </c>
      <c r="B783" t="str">
        <f>"16.1406"</f>
        <v>16.1406</v>
      </c>
      <c r="C783" t="s">
        <v>3078</v>
      </c>
      <c r="D783" t="s">
        <v>3077</v>
      </c>
    </row>
    <row r="784" spans="1:4" x14ac:dyDescent="0.3">
      <c r="A784" t="str">
        <f>"16"</f>
        <v>16</v>
      </c>
      <c r="B784" t="str">
        <f>"16.1407"</f>
        <v>16.1407</v>
      </c>
      <c r="C784" t="s">
        <v>3076</v>
      </c>
      <c r="D784" t="s">
        <v>3075</v>
      </c>
    </row>
    <row r="785" spans="1:5" x14ac:dyDescent="0.3">
      <c r="A785" t="str">
        <f>"16"</f>
        <v>16</v>
      </c>
      <c r="B785" t="str">
        <f>"16.1408"</f>
        <v>16.1408</v>
      </c>
      <c r="C785" t="s">
        <v>3074</v>
      </c>
      <c r="D785" t="s">
        <v>3073</v>
      </c>
    </row>
    <row r="786" spans="1:5" x14ac:dyDescent="0.3">
      <c r="A786" t="str">
        <f>"16"</f>
        <v>16</v>
      </c>
      <c r="B786" t="str">
        <f>"16.1409"</f>
        <v>16.1409</v>
      </c>
      <c r="C786" t="s">
        <v>5963</v>
      </c>
      <c r="D786" t="s">
        <v>5962</v>
      </c>
    </row>
    <row r="787" spans="1:5" x14ac:dyDescent="0.3">
      <c r="A787" t="str">
        <f>"16"</f>
        <v>16</v>
      </c>
      <c r="B787" t="str">
        <f>"16.1499"</f>
        <v>16.1499</v>
      </c>
      <c r="C787" t="s">
        <v>3072</v>
      </c>
      <c r="D787" t="s">
        <v>3071</v>
      </c>
    </row>
    <row r="788" spans="1:5" x14ac:dyDescent="0.3">
      <c r="A788" t="str">
        <f>"16"</f>
        <v>16</v>
      </c>
      <c r="B788" t="str">
        <f>"16.15"</f>
        <v>16.15</v>
      </c>
      <c r="C788" t="s">
        <v>3070</v>
      </c>
      <c r="D788" t="s">
        <v>3069</v>
      </c>
    </row>
    <row r="789" spans="1:5" x14ac:dyDescent="0.3">
      <c r="A789" t="str">
        <f>"16"</f>
        <v>16</v>
      </c>
      <c r="B789" t="str">
        <f>"16.1501"</f>
        <v>16.1501</v>
      </c>
      <c r="C789" t="s">
        <v>3068</v>
      </c>
      <c r="D789" t="s">
        <v>3067</v>
      </c>
    </row>
    <row r="790" spans="1:5" x14ac:dyDescent="0.3">
      <c r="A790" t="str">
        <f>"16"</f>
        <v>16</v>
      </c>
      <c r="B790" t="str">
        <f>"16.1502"</f>
        <v>16.1502</v>
      </c>
      <c r="C790" t="s">
        <v>3066</v>
      </c>
      <c r="D790" t="s">
        <v>3065</v>
      </c>
    </row>
    <row r="791" spans="1:5" x14ac:dyDescent="0.3">
      <c r="A791" t="str">
        <f>"16"</f>
        <v>16</v>
      </c>
      <c r="B791" t="str">
        <f>"16.1503"</f>
        <v>16.1503</v>
      </c>
      <c r="C791" t="s">
        <v>3064</v>
      </c>
      <c r="D791" t="s">
        <v>3063</v>
      </c>
    </row>
    <row r="792" spans="1:5" x14ac:dyDescent="0.3">
      <c r="A792" t="str">
        <f>"16"</f>
        <v>16</v>
      </c>
      <c r="B792" t="str">
        <f>"16.1504"</f>
        <v>16.1504</v>
      </c>
      <c r="C792" t="s">
        <v>3062</v>
      </c>
      <c r="D792" t="s">
        <v>3061</v>
      </c>
    </row>
    <row r="793" spans="1:5" x14ac:dyDescent="0.3">
      <c r="A793" t="str">
        <f>"16"</f>
        <v>16</v>
      </c>
      <c r="B793" t="str">
        <f>"16.1599"</f>
        <v>16.1599</v>
      </c>
      <c r="C793" t="s">
        <v>3060</v>
      </c>
      <c r="D793" t="s">
        <v>3059</v>
      </c>
    </row>
    <row r="794" spans="1:5" x14ac:dyDescent="0.3">
      <c r="A794" t="str">
        <f>"16"</f>
        <v>16</v>
      </c>
      <c r="B794" t="str">
        <f>"16.16"</f>
        <v>16.16</v>
      </c>
      <c r="C794" t="s">
        <v>3058</v>
      </c>
      <c r="D794" t="s">
        <v>3057</v>
      </c>
    </row>
    <row r="795" spans="1:5" x14ac:dyDescent="0.3">
      <c r="A795" t="str">
        <f>"16"</f>
        <v>16</v>
      </c>
      <c r="B795" t="str">
        <f>"16.1601"</f>
        <v>16.1601</v>
      </c>
      <c r="C795" t="s">
        <v>3056</v>
      </c>
      <c r="D795" t="s">
        <v>3055</v>
      </c>
      <c r="E795" t="s">
        <v>3054</v>
      </c>
    </row>
    <row r="796" spans="1:5" x14ac:dyDescent="0.3">
      <c r="A796" t="str">
        <f>"16"</f>
        <v>16</v>
      </c>
      <c r="B796" t="str">
        <f>"16.1602"</f>
        <v>16.1602</v>
      </c>
      <c r="C796" t="s">
        <v>3053</v>
      </c>
      <c r="D796" t="s">
        <v>3052</v>
      </c>
    </row>
    <row r="797" spans="1:5" x14ac:dyDescent="0.3">
      <c r="A797" t="str">
        <f>"16"</f>
        <v>16</v>
      </c>
      <c r="B797" t="str">
        <f>"16.1603"</f>
        <v>16.1603</v>
      </c>
      <c r="C797" t="s">
        <v>3051</v>
      </c>
      <c r="D797" t="s">
        <v>3050</v>
      </c>
    </row>
    <row r="798" spans="1:5" x14ac:dyDescent="0.3">
      <c r="A798" t="str">
        <f>"16"</f>
        <v>16</v>
      </c>
      <c r="B798" t="str">
        <f>"16.1699"</f>
        <v>16.1699</v>
      </c>
      <c r="C798" t="s">
        <v>3049</v>
      </c>
      <c r="D798" t="s">
        <v>3048</v>
      </c>
    </row>
    <row r="799" spans="1:5" x14ac:dyDescent="0.3">
      <c r="A799" t="str">
        <f>"16"</f>
        <v>16</v>
      </c>
      <c r="B799" t="str">
        <f>"16.17"</f>
        <v>16.17</v>
      </c>
      <c r="C799" t="s">
        <v>2240</v>
      </c>
      <c r="D799" t="s">
        <v>5961</v>
      </c>
    </row>
    <row r="800" spans="1:5" x14ac:dyDescent="0.3">
      <c r="A800" t="str">
        <f>"16"</f>
        <v>16</v>
      </c>
      <c r="B800" t="str">
        <f>"16.1701"</f>
        <v>16.1701</v>
      </c>
      <c r="C800" t="s">
        <v>5960</v>
      </c>
      <c r="D800" t="s">
        <v>5959</v>
      </c>
      <c r="E800" t="s">
        <v>5958</v>
      </c>
    </row>
    <row r="801" spans="1:5" x14ac:dyDescent="0.3">
      <c r="A801" t="str">
        <f>"16"</f>
        <v>16</v>
      </c>
      <c r="B801" t="str">
        <f>"16.1702"</f>
        <v>16.1702</v>
      </c>
      <c r="C801" t="s">
        <v>5243</v>
      </c>
      <c r="D801" t="s">
        <v>5242</v>
      </c>
    </row>
    <row r="802" spans="1:5" x14ac:dyDescent="0.3">
      <c r="A802" t="str">
        <f>"16"</f>
        <v>16</v>
      </c>
      <c r="B802" t="str">
        <f>"16.1799"</f>
        <v>16.1799</v>
      </c>
      <c r="C802" t="s">
        <v>5243</v>
      </c>
      <c r="D802" t="s">
        <v>5242</v>
      </c>
    </row>
    <row r="803" spans="1:5" x14ac:dyDescent="0.3">
      <c r="A803" t="str">
        <f>"16"</f>
        <v>16</v>
      </c>
      <c r="B803" t="str">
        <f>"16.18"</f>
        <v>16.18</v>
      </c>
      <c r="C803" t="s">
        <v>5957</v>
      </c>
      <c r="D803" t="s">
        <v>5956</v>
      </c>
    </row>
    <row r="804" spans="1:5" x14ac:dyDescent="0.3">
      <c r="A804" t="str">
        <f>"16"</f>
        <v>16</v>
      </c>
      <c r="B804" t="str">
        <f>"16.1801"</f>
        <v>16.1801</v>
      </c>
      <c r="C804" t="s">
        <v>5955</v>
      </c>
      <c r="D804" t="s">
        <v>5954</v>
      </c>
    </row>
    <row r="805" spans="1:5" x14ac:dyDescent="0.3">
      <c r="A805" t="str">
        <f>"16"</f>
        <v>16</v>
      </c>
      <c r="B805" t="str">
        <f>"16.99"</f>
        <v>16.99</v>
      </c>
      <c r="C805" t="s">
        <v>3046</v>
      </c>
      <c r="D805" t="s">
        <v>3047</v>
      </c>
    </row>
    <row r="806" spans="1:5" x14ac:dyDescent="0.3">
      <c r="A806" t="str">
        <f>"16"</f>
        <v>16</v>
      </c>
      <c r="B806" t="str">
        <f>"16.9999"</f>
        <v>16.9999</v>
      </c>
      <c r="C806" t="s">
        <v>3046</v>
      </c>
      <c r="D806" t="s">
        <v>3045</v>
      </c>
    </row>
    <row r="807" spans="1:5" x14ac:dyDescent="0.3">
      <c r="A807" t="str">
        <f>"19"</f>
        <v>19</v>
      </c>
      <c r="B807" t="str">
        <f>"19"</f>
        <v>19</v>
      </c>
      <c r="C807" t="s">
        <v>3044</v>
      </c>
      <c r="D807" t="s">
        <v>3043</v>
      </c>
    </row>
    <row r="808" spans="1:5" x14ac:dyDescent="0.3">
      <c r="A808" t="str">
        <f>"19"</f>
        <v>19</v>
      </c>
      <c r="B808" t="str">
        <f>"19.00"</f>
        <v>19.00</v>
      </c>
      <c r="C808" t="s">
        <v>3042</v>
      </c>
      <c r="D808" t="s">
        <v>5953</v>
      </c>
    </row>
    <row r="809" spans="1:5" x14ac:dyDescent="0.3">
      <c r="A809" t="str">
        <f>"19"</f>
        <v>19</v>
      </c>
      <c r="B809" t="str">
        <f>"19.0000"</f>
        <v>19.0000</v>
      </c>
      <c r="C809" t="s">
        <v>3042</v>
      </c>
      <c r="D809" t="s">
        <v>5952</v>
      </c>
    </row>
    <row r="810" spans="1:5" x14ac:dyDescent="0.3">
      <c r="A810" t="str">
        <f>"19"</f>
        <v>19</v>
      </c>
      <c r="B810" t="str">
        <f>"19.01"</f>
        <v>19.01</v>
      </c>
      <c r="C810" t="s">
        <v>3039</v>
      </c>
      <c r="D810" t="s">
        <v>3040</v>
      </c>
    </row>
    <row r="811" spans="1:5" x14ac:dyDescent="0.3">
      <c r="A811" t="str">
        <f>"19"</f>
        <v>19</v>
      </c>
      <c r="B811" t="str">
        <f>"19.0101"</f>
        <v>19.0101</v>
      </c>
      <c r="C811" t="s">
        <v>3039</v>
      </c>
      <c r="D811" t="s">
        <v>3038</v>
      </c>
      <c r="E811" t="s">
        <v>3037</v>
      </c>
    </row>
    <row r="812" spans="1:5" x14ac:dyDescent="0.3">
      <c r="A812" t="str">
        <f>"19"</f>
        <v>19</v>
      </c>
      <c r="B812" t="str">
        <f>"19.02"</f>
        <v>19.02</v>
      </c>
      <c r="C812" t="s">
        <v>3036</v>
      </c>
      <c r="D812" t="s">
        <v>3035</v>
      </c>
    </row>
    <row r="813" spans="1:5" x14ac:dyDescent="0.3">
      <c r="A813" t="str">
        <f>"19"</f>
        <v>19</v>
      </c>
      <c r="B813" t="str">
        <f>"19.0201"</f>
        <v>19.0201</v>
      </c>
      <c r="C813" t="s">
        <v>3034</v>
      </c>
      <c r="D813" t="s">
        <v>3033</v>
      </c>
    </row>
    <row r="814" spans="1:5" x14ac:dyDescent="0.3">
      <c r="A814" t="str">
        <f>"19"</f>
        <v>19</v>
      </c>
      <c r="B814" t="str">
        <f>"19.0202"</f>
        <v>19.0202</v>
      </c>
      <c r="C814" t="s">
        <v>3032</v>
      </c>
      <c r="D814" t="s">
        <v>3031</v>
      </c>
    </row>
    <row r="815" spans="1:5" x14ac:dyDescent="0.3">
      <c r="A815" t="str">
        <f>"19"</f>
        <v>19</v>
      </c>
      <c r="B815" t="str">
        <f>"19.0203"</f>
        <v>19.0203</v>
      </c>
      <c r="C815" t="s">
        <v>3030</v>
      </c>
      <c r="D815" t="s">
        <v>3029</v>
      </c>
    </row>
    <row r="816" spans="1:5" x14ac:dyDescent="0.3">
      <c r="A816" t="str">
        <f>"19"</f>
        <v>19</v>
      </c>
      <c r="B816" t="str">
        <f>"19.0299"</f>
        <v>19.0299</v>
      </c>
      <c r="C816" t="s">
        <v>3028</v>
      </c>
      <c r="D816" t="s">
        <v>3027</v>
      </c>
    </row>
    <row r="817" spans="1:5" x14ac:dyDescent="0.3">
      <c r="A817" t="str">
        <f>"19"</f>
        <v>19</v>
      </c>
      <c r="B817" t="str">
        <f>"19.04"</f>
        <v>19.04</v>
      </c>
      <c r="C817" t="s">
        <v>3026</v>
      </c>
      <c r="D817" t="s">
        <v>3025</v>
      </c>
    </row>
    <row r="818" spans="1:5" x14ac:dyDescent="0.3">
      <c r="A818" t="str">
        <f>"19"</f>
        <v>19</v>
      </c>
      <c r="B818" t="str">
        <f>"19.0401"</f>
        <v>19.0401</v>
      </c>
      <c r="C818" t="s">
        <v>3024</v>
      </c>
      <c r="D818" t="s">
        <v>3023</v>
      </c>
      <c r="E818" t="s">
        <v>3022</v>
      </c>
    </row>
    <row r="819" spans="1:5" x14ac:dyDescent="0.3">
      <c r="A819" t="str">
        <f>"19"</f>
        <v>19</v>
      </c>
      <c r="B819" t="str">
        <f>"19.0402"</f>
        <v>19.0402</v>
      </c>
      <c r="C819" t="s">
        <v>3021</v>
      </c>
      <c r="D819" t="s">
        <v>3020</v>
      </c>
    </row>
    <row r="820" spans="1:5" x14ac:dyDescent="0.3">
      <c r="A820" t="str">
        <f>"19"</f>
        <v>19</v>
      </c>
      <c r="B820" t="str">
        <f>"19.0403"</f>
        <v>19.0403</v>
      </c>
      <c r="C820" t="s">
        <v>3019</v>
      </c>
      <c r="D820" t="s">
        <v>3018</v>
      </c>
    </row>
    <row r="821" spans="1:5" x14ac:dyDescent="0.3">
      <c r="A821" t="str">
        <f>"19"</f>
        <v>19</v>
      </c>
      <c r="B821" t="str">
        <f>"19.0499"</f>
        <v>19.0499</v>
      </c>
      <c r="C821" t="s">
        <v>3017</v>
      </c>
      <c r="D821" t="s">
        <v>3016</v>
      </c>
    </row>
    <row r="822" spans="1:5" x14ac:dyDescent="0.3">
      <c r="A822" t="str">
        <f>"19"</f>
        <v>19</v>
      </c>
      <c r="B822" t="str">
        <f>"19.05"</f>
        <v>19.05</v>
      </c>
      <c r="C822" t="s">
        <v>3015</v>
      </c>
      <c r="D822" t="s">
        <v>3014</v>
      </c>
    </row>
    <row r="823" spans="1:5" x14ac:dyDescent="0.3">
      <c r="A823" t="str">
        <f>"19"</f>
        <v>19</v>
      </c>
      <c r="B823" t="str">
        <f>"19.0501"</f>
        <v>19.0501</v>
      </c>
      <c r="C823" t="s">
        <v>3013</v>
      </c>
      <c r="D823" t="s">
        <v>3012</v>
      </c>
      <c r="E823" t="s">
        <v>3011</v>
      </c>
    </row>
    <row r="824" spans="1:5" x14ac:dyDescent="0.3">
      <c r="A824" t="str">
        <f>"19"</f>
        <v>19</v>
      </c>
      <c r="B824" t="str">
        <f>"19.0504"</f>
        <v>19.0504</v>
      </c>
      <c r="C824" t="s">
        <v>3010</v>
      </c>
      <c r="D824" t="s">
        <v>3009</v>
      </c>
      <c r="E824" t="s">
        <v>3008</v>
      </c>
    </row>
    <row r="825" spans="1:5" x14ac:dyDescent="0.3">
      <c r="A825" t="str">
        <f>"19"</f>
        <v>19</v>
      </c>
      <c r="B825" t="str">
        <f>"19.0505"</f>
        <v>19.0505</v>
      </c>
      <c r="C825" t="s">
        <v>3007</v>
      </c>
      <c r="D825" t="s">
        <v>3006</v>
      </c>
    </row>
    <row r="826" spans="1:5" x14ac:dyDescent="0.3">
      <c r="A826" t="str">
        <f>"19"</f>
        <v>19</v>
      </c>
      <c r="B826" t="str">
        <f>"19.0599"</f>
        <v>19.0599</v>
      </c>
      <c r="C826" t="s">
        <v>3005</v>
      </c>
      <c r="D826" t="s">
        <v>3004</v>
      </c>
      <c r="E826" t="s">
        <v>3003</v>
      </c>
    </row>
    <row r="827" spans="1:5" x14ac:dyDescent="0.3">
      <c r="A827" t="str">
        <f>"19"</f>
        <v>19</v>
      </c>
      <c r="B827" t="str">
        <f>"19.06"</f>
        <v>19.06</v>
      </c>
      <c r="C827" t="s">
        <v>3002</v>
      </c>
      <c r="D827" t="s">
        <v>3001</v>
      </c>
    </row>
    <row r="828" spans="1:5" x14ac:dyDescent="0.3">
      <c r="A828" t="str">
        <f>"19"</f>
        <v>19</v>
      </c>
      <c r="B828" t="str">
        <f>"19.0601"</f>
        <v>19.0601</v>
      </c>
      <c r="C828" t="s">
        <v>3000</v>
      </c>
      <c r="D828" t="s">
        <v>2999</v>
      </c>
      <c r="E828" t="s">
        <v>2998</v>
      </c>
    </row>
    <row r="829" spans="1:5" x14ac:dyDescent="0.3">
      <c r="A829" t="str">
        <f>"19"</f>
        <v>19</v>
      </c>
      <c r="B829" t="str">
        <f>"19.0604"</f>
        <v>19.0604</v>
      </c>
      <c r="C829" t="s">
        <v>2997</v>
      </c>
      <c r="D829" t="s">
        <v>2996</v>
      </c>
      <c r="E829" t="s">
        <v>2995</v>
      </c>
    </row>
    <row r="830" spans="1:5" x14ac:dyDescent="0.3">
      <c r="A830" t="str">
        <f>"19"</f>
        <v>19</v>
      </c>
      <c r="B830" t="str">
        <f>"19.0605"</f>
        <v>19.0605</v>
      </c>
      <c r="C830" t="s">
        <v>2994</v>
      </c>
      <c r="D830" t="s">
        <v>2993</v>
      </c>
    </row>
    <row r="831" spans="1:5" x14ac:dyDescent="0.3">
      <c r="A831" t="str">
        <f>"19"</f>
        <v>19</v>
      </c>
      <c r="B831" t="str">
        <f>"19.0699"</f>
        <v>19.0699</v>
      </c>
      <c r="C831" t="s">
        <v>2992</v>
      </c>
      <c r="D831" t="s">
        <v>2991</v>
      </c>
    </row>
    <row r="832" spans="1:5" x14ac:dyDescent="0.3">
      <c r="A832" t="str">
        <f>"19"</f>
        <v>19</v>
      </c>
      <c r="B832" t="str">
        <f>"19.07"</f>
        <v>19.07</v>
      </c>
      <c r="C832" t="s">
        <v>2990</v>
      </c>
      <c r="D832" t="s">
        <v>2989</v>
      </c>
    </row>
    <row r="833" spans="1:6" x14ac:dyDescent="0.3">
      <c r="A833" t="str">
        <f>"19"</f>
        <v>19</v>
      </c>
      <c r="B833" t="str">
        <f>"19.0701"</f>
        <v>19.0701</v>
      </c>
      <c r="C833" t="s">
        <v>2988</v>
      </c>
      <c r="D833" t="s">
        <v>2987</v>
      </c>
    </row>
    <row r="834" spans="1:6" x14ac:dyDescent="0.3">
      <c r="A834" t="str">
        <f>"19"</f>
        <v>19</v>
      </c>
      <c r="B834" t="str">
        <f>"19.0702"</f>
        <v>19.0702</v>
      </c>
      <c r="C834" t="s">
        <v>2986</v>
      </c>
      <c r="D834" t="s">
        <v>2985</v>
      </c>
      <c r="E834" t="s">
        <v>2984</v>
      </c>
    </row>
    <row r="835" spans="1:6" x14ac:dyDescent="0.3">
      <c r="A835" t="str">
        <f>"19"</f>
        <v>19</v>
      </c>
      <c r="B835" t="str">
        <f>"19.0704"</f>
        <v>19.0704</v>
      </c>
      <c r="C835" t="s">
        <v>2983</v>
      </c>
      <c r="D835" t="s">
        <v>2982</v>
      </c>
      <c r="E835" t="s">
        <v>2981</v>
      </c>
    </row>
    <row r="836" spans="1:6" x14ac:dyDescent="0.3">
      <c r="A836" t="str">
        <f>"19"</f>
        <v>19</v>
      </c>
      <c r="B836" t="str">
        <f>"19.0706"</f>
        <v>19.0706</v>
      </c>
      <c r="C836" t="s">
        <v>2980</v>
      </c>
      <c r="D836" t="s">
        <v>2979</v>
      </c>
      <c r="E836" t="s">
        <v>5951</v>
      </c>
    </row>
    <row r="837" spans="1:6" x14ac:dyDescent="0.3">
      <c r="A837" t="str">
        <f>"19"</f>
        <v>19</v>
      </c>
      <c r="B837" t="str">
        <f>"19.0707"</f>
        <v>19.0707</v>
      </c>
      <c r="C837" t="s">
        <v>2978</v>
      </c>
      <c r="D837" t="s">
        <v>2977</v>
      </c>
    </row>
    <row r="838" spans="1:6" x14ac:dyDescent="0.3">
      <c r="A838" t="str">
        <f>"19"</f>
        <v>19</v>
      </c>
      <c r="B838" t="str">
        <f>"19.0708"</f>
        <v>19.0708</v>
      </c>
      <c r="C838" t="s">
        <v>2976</v>
      </c>
      <c r="D838" t="s">
        <v>2975</v>
      </c>
    </row>
    <row r="839" spans="1:6" x14ac:dyDescent="0.3">
      <c r="A839" t="str">
        <f>"19"</f>
        <v>19</v>
      </c>
      <c r="B839" t="str">
        <f>"19.0709"</f>
        <v>19.0709</v>
      </c>
      <c r="C839" t="s">
        <v>2974</v>
      </c>
      <c r="D839" t="s">
        <v>2973</v>
      </c>
    </row>
    <row r="840" spans="1:6" x14ac:dyDescent="0.3">
      <c r="A840" t="str">
        <f>"19"</f>
        <v>19</v>
      </c>
      <c r="B840" t="str">
        <f>"19.0710"</f>
        <v>19.0710</v>
      </c>
      <c r="C840" t="s">
        <v>2972</v>
      </c>
      <c r="D840" t="s">
        <v>2971</v>
      </c>
    </row>
    <row r="841" spans="1:6" x14ac:dyDescent="0.3">
      <c r="A841" t="str">
        <f>"19"</f>
        <v>19</v>
      </c>
      <c r="B841" t="str">
        <f>"19.0711"</f>
        <v>19.0711</v>
      </c>
      <c r="C841" t="s">
        <v>5950</v>
      </c>
      <c r="D841" t="s">
        <v>5949</v>
      </c>
      <c r="E841" t="s">
        <v>5948</v>
      </c>
    </row>
    <row r="842" spans="1:6" x14ac:dyDescent="0.3">
      <c r="A842" t="str">
        <f>"19"</f>
        <v>19</v>
      </c>
      <c r="B842" t="str">
        <f>"19.0712"</f>
        <v>19.0712</v>
      </c>
      <c r="C842" t="s">
        <v>5947</v>
      </c>
      <c r="D842" t="s">
        <v>5946</v>
      </c>
      <c r="F842" t="s">
        <v>5945</v>
      </c>
    </row>
    <row r="843" spans="1:6" x14ac:dyDescent="0.3">
      <c r="A843" t="str">
        <f>"19"</f>
        <v>19</v>
      </c>
      <c r="B843" t="str">
        <f>"19.0799"</f>
        <v>19.0799</v>
      </c>
      <c r="C843" t="s">
        <v>2970</v>
      </c>
      <c r="D843" t="s">
        <v>2969</v>
      </c>
    </row>
    <row r="844" spans="1:6" x14ac:dyDescent="0.3">
      <c r="A844" t="str">
        <f>"19"</f>
        <v>19</v>
      </c>
      <c r="B844" t="str">
        <f>"19.09"</f>
        <v>19.09</v>
      </c>
      <c r="C844" t="s">
        <v>2968</v>
      </c>
      <c r="D844" t="s">
        <v>2967</v>
      </c>
    </row>
    <row r="845" spans="1:6" x14ac:dyDescent="0.3">
      <c r="A845" t="str">
        <f>"19"</f>
        <v>19</v>
      </c>
      <c r="B845" t="str">
        <f>"19.0901"</f>
        <v>19.0901</v>
      </c>
      <c r="C845" t="s">
        <v>2966</v>
      </c>
      <c r="D845" t="s">
        <v>2965</v>
      </c>
    </row>
    <row r="846" spans="1:6" x14ac:dyDescent="0.3">
      <c r="A846" t="str">
        <f>"19"</f>
        <v>19</v>
      </c>
      <c r="B846" t="str">
        <f>"19.0902"</f>
        <v>19.0902</v>
      </c>
      <c r="C846" t="s">
        <v>2964</v>
      </c>
      <c r="D846" t="s">
        <v>2963</v>
      </c>
      <c r="E846" t="s">
        <v>2962</v>
      </c>
    </row>
    <row r="847" spans="1:6" x14ac:dyDescent="0.3">
      <c r="A847" t="str">
        <f>"19"</f>
        <v>19</v>
      </c>
      <c r="B847" t="str">
        <f>"19.0904"</f>
        <v>19.0904</v>
      </c>
      <c r="C847" t="s">
        <v>2961</v>
      </c>
      <c r="D847" t="s">
        <v>2960</v>
      </c>
      <c r="E847" t="s">
        <v>2959</v>
      </c>
    </row>
    <row r="848" spans="1:6" x14ac:dyDescent="0.3">
      <c r="A848" t="str">
        <f>"19"</f>
        <v>19</v>
      </c>
      <c r="B848" t="str">
        <f>"19.0905"</f>
        <v>19.0905</v>
      </c>
      <c r="C848" t="s">
        <v>2958</v>
      </c>
      <c r="D848" t="s">
        <v>2957</v>
      </c>
      <c r="E848" t="s">
        <v>2956</v>
      </c>
    </row>
    <row r="849" spans="1:6" x14ac:dyDescent="0.3">
      <c r="A849" t="str">
        <f>"19"</f>
        <v>19</v>
      </c>
      <c r="B849" t="str">
        <f>"19.0906"</f>
        <v>19.0906</v>
      </c>
      <c r="C849" t="s">
        <v>2955</v>
      </c>
      <c r="D849" t="s">
        <v>2954</v>
      </c>
    </row>
    <row r="850" spans="1:6" x14ac:dyDescent="0.3">
      <c r="A850" t="str">
        <f>"19"</f>
        <v>19</v>
      </c>
      <c r="B850" t="str">
        <f>"19.0999"</f>
        <v>19.0999</v>
      </c>
      <c r="C850" t="s">
        <v>2953</v>
      </c>
      <c r="D850" t="s">
        <v>2952</v>
      </c>
    </row>
    <row r="851" spans="1:6" x14ac:dyDescent="0.3">
      <c r="A851" t="str">
        <f>"19"</f>
        <v>19</v>
      </c>
      <c r="B851" t="str">
        <f>"19.10"</f>
        <v>19.10</v>
      </c>
      <c r="C851" t="s">
        <v>3042</v>
      </c>
      <c r="D851" t="s">
        <v>5944</v>
      </c>
    </row>
    <row r="852" spans="1:6" x14ac:dyDescent="0.3">
      <c r="A852" t="str">
        <f>"19"</f>
        <v>19</v>
      </c>
      <c r="B852" t="str">
        <f>"19.1001"</f>
        <v>19.1001</v>
      </c>
      <c r="C852" t="s">
        <v>3042</v>
      </c>
      <c r="D852" t="s">
        <v>3041</v>
      </c>
    </row>
    <row r="853" spans="1:6" x14ac:dyDescent="0.3">
      <c r="A853" t="str">
        <f>"19"</f>
        <v>19</v>
      </c>
      <c r="B853" t="str">
        <f>"19.99"</f>
        <v>19.99</v>
      </c>
      <c r="C853" t="s">
        <v>2950</v>
      </c>
      <c r="D853" t="s">
        <v>2951</v>
      </c>
    </row>
    <row r="854" spans="1:6" x14ac:dyDescent="0.3">
      <c r="A854" t="str">
        <f>"19"</f>
        <v>19</v>
      </c>
      <c r="B854" t="str">
        <f>"19.9999"</f>
        <v>19.9999</v>
      </c>
      <c r="C854" t="s">
        <v>2950</v>
      </c>
      <c r="D854" t="s">
        <v>2949</v>
      </c>
    </row>
    <row r="855" spans="1:6" x14ac:dyDescent="0.3">
      <c r="A855" t="str">
        <f>"21"</f>
        <v>21</v>
      </c>
      <c r="B855" t="str">
        <f>"21"</f>
        <v>21</v>
      </c>
      <c r="C855" t="s">
        <v>5249</v>
      </c>
      <c r="D855" t="s">
        <v>5248</v>
      </c>
    </row>
    <row r="856" spans="1:6" x14ac:dyDescent="0.3">
      <c r="A856" t="str">
        <f>"21"</f>
        <v>21</v>
      </c>
      <c r="B856" t="str">
        <f>"21.01"</f>
        <v>21.01</v>
      </c>
      <c r="C856" t="s">
        <v>5243</v>
      </c>
      <c r="D856" t="s">
        <v>5943</v>
      </c>
    </row>
    <row r="857" spans="1:6" x14ac:dyDescent="0.3">
      <c r="A857" t="str">
        <f>"21"</f>
        <v>21</v>
      </c>
      <c r="B857" t="str">
        <f>"21.0101"</f>
        <v>21.0101</v>
      </c>
      <c r="C857" t="s">
        <v>5243</v>
      </c>
      <c r="D857" t="s">
        <v>5242</v>
      </c>
    </row>
    <row r="858" spans="1:6" x14ac:dyDescent="0.3">
      <c r="A858" t="str">
        <f>"22"</f>
        <v>22</v>
      </c>
      <c r="B858" t="str">
        <f>"22"</f>
        <v>22</v>
      </c>
      <c r="C858" t="s">
        <v>2948</v>
      </c>
      <c r="D858" t="s">
        <v>2947</v>
      </c>
    </row>
    <row r="859" spans="1:6" x14ac:dyDescent="0.3">
      <c r="A859" t="str">
        <f>"22"</f>
        <v>22</v>
      </c>
      <c r="B859" t="str">
        <f>"22.00"</f>
        <v>22.00</v>
      </c>
      <c r="C859" t="s">
        <v>5942</v>
      </c>
      <c r="D859" t="s">
        <v>5941</v>
      </c>
    </row>
    <row r="860" spans="1:6" x14ac:dyDescent="0.3">
      <c r="A860" t="str">
        <f>"22"</f>
        <v>22</v>
      </c>
      <c r="B860" t="str">
        <f>"22.0000"</f>
        <v>22.0000</v>
      </c>
      <c r="C860" t="s">
        <v>5940</v>
      </c>
      <c r="D860" t="s">
        <v>5939</v>
      </c>
      <c r="F860" t="s">
        <v>5938</v>
      </c>
    </row>
    <row r="861" spans="1:6" x14ac:dyDescent="0.3">
      <c r="A861" t="str">
        <f>"22"</f>
        <v>22</v>
      </c>
      <c r="B861" t="str">
        <f>"22.0001"</f>
        <v>22.0001</v>
      </c>
      <c r="C861" t="s">
        <v>2946</v>
      </c>
      <c r="D861" t="s">
        <v>2945</v>
      </c>
    </row>
    <row r="862" spans="1:6" x14ac:dyDescent="0.3">
      <c r="A862" t="str">
        <f>"22"</f>
        <v>22</v>
      </c>
      <c r="B862" t="str">
        <f>"22.0099"</f>
        <v>22.0099</v>
      </c>
      <c r="C862" t="s">
        <v>5937</v>
      </c>
      <c r="D862" t="s">
        <v>5936</v>
      </c>
    </row>
    <row r="863" spans="1:6" x14ac:dyDescent="0.3">
      <c r="A863" t="str">
        <f>"22"</f>
        <v>22</v>
      </c>
      <c r="B863" t="str">
        <f>"22.01"</f>
        <v>22.01</v>
      </c>
      <c r="C863" t="s">
        <v>2942</v>
      </c>
      <c r="D863" t="s">
        <v>2944</v>
      </c>
    </row>
    <row r="864" spans="1:6" x14ac:dyDescent="0.3">
      <c r="A864" t="str">
        <f>"22"</f>
        <v>22</v>
      </c>
      <c r="B864" t="str">
        <f>"22.0101"</f>
        <v>22.0101</v>
      </c>
      <c r="C864" t="s">
        <v>2942</v>
      </c>
      <c r="D864" t="s">
        <v>2941</v>
      </c>
      <c r="F864" t="s">
        <v>2938</v>
      </c>
    </row>
    <row r="865" spans="1:6" x14ac:dyDescent="0.3">
      <c r="A865" t="str">
        <f>"22"</f>
        <v>22</v>
      </c>
      <c r="B865" t="str">
        <f>"22.02"</f>
        <v>22.02</v>
      </c>
      <c r="C865" t="s">
        <v>2940</v>
      </c>
      <c r="D865" t="s">
        <v>2939</v>
      </c>
    </row>
    <row r="866" spans="1:6" x14ac:dyDescent="0.3">
      <c r="A866" t="str">
        <f>"22"</f>
        <v>22</v>
      </c>
      <c r="B866" t="str">
        <f>"22.0201"</f>
        <v>22.0201</v>
      </c>
      <c r="C866" t="s">
        <v>2937</v>
      </c>
      <c r="D866" t="s">
        <v>2936</v>
      </c>
      <c r="F866" t="s">
        <v>2935</v>
      </c>
    </row>
    <row r="867" spans="1:6" x14ac:dyDescent="0.3">
      <c r="A867" t="str">
        <f>"22"</f>
        <v>22</v>
      </c>
      <c r="B867" t="str">
        <f>"22.0202"</f>
        <v>22.0202</v>
      </c>
      <c r="C867" t="s">
        <v>2934</v>
      </c>
      <c r="D867" t="s">
        <v>2933</v>
      </c>
      <c r="F867" t="s">
        <v>2932</v>
      </c>
    </row>
    <row r="868" spans="1:6" x14ac:dyDescent="0.3">
      <c r="A868" t="str">
        <f>"22"</f>
        <v>22</v>
      </c>
      <c r="B868" t="str">
        <f>"22.0203"</f>
        <v>22.0203</v>
      </c>
      <c r="C868" t="s">
        <v>2931</v>
      </c>
      <c r="D868" t="s">
        <v>2930</v>
      </c>
      <c r="F868" t="s">
        <v>2929</v>
      </c>
    </row>
    <row r="869" spans="1:6" x14ac:dyDescent="0.3">
      <c r="A869" t="str">
        <f>"22"</f>
        <v>22</v>
      </c>
      <c r="B869" t="str">
        <f>"22.0204"</f>
        <v>22.0204</v>
      </c>
      <c r="C869" t="s">
        <v>2928</v>
      </c>
      <c r="D869" t="s">
        <v>2927</v>
      </c>
      <c r="F869" t="s">
        <v>2926</v>
      </c>
    </row>
    <row r="870" spans="1:6" x14ac:dyDescent="0.3">
      <c r="A870" t="str">
        <f>"22"</f>
        <v>22</v>
      </c>
      <c r="B870" t="str">
        <f>"22.0205"</f>
        <v>22.0205</v>
      </c>
      <c r="C870" t="s">
        <v>2925</v>
      </c>
      <c r="D870" t="s">
        <v>2924</v>
      </c>
      <c r="F870" t="s">
        <v>5935</v>
      </c>
    </row>
    <row r="871" spans="1:6" x14ac:dyDescent="0.3">
      <c r="A871" t="str">
        <f>"22"</f>
        <v>22</v>
      </c>
      <c r="B871" t="str">
        <f>"22.0206"</f>
        <v>22.0206</v>
      </c>
      <c r="C871" t="s">
        <v>2923</v>
      </c>
      <c r="D871" t="s">
        <v>2922</v>
      </c>
      <c r="F871" t="s">
        <v>2921</v>
      </c>
    </row>
    <row r="872" spans="1:6" x14ac:dyDescent="0.3">
      <c r="A872" t="str">
        <f>"22"</f>
        <v>22</v>
      </c>
      <c r="B872" t="str">
        <f>"22.0207"</f>
        <v>22.0207</v>
      </c>
      <c r="C872" t="s">
        <v>2920</v>
      </c>
      <c r="D872" t="s">
        <v>2919</v>
      </c>
      <c r="F872" t="s">
        <v>2918</v>
      </c>
    </row>
    <row r="873" spans="1:6" x14ac:dyDescent="0.3">
      <c r="A873" t="str">
        <f>"22"</f>
        <v>22</v>
      </c>
      <c r="B873" t="str">
        <f>"22.0208"</f>
        <v>22.0208</v>
      </c>
      <c r="C873" t="s">
        <v>2917</v>
      </c>
      <c r="D873" t="s">
        <v>2916</v>
      </c>
      <c r="F873" t="s">
        <v>5934</v>
      </c>
    </row>
    <row r="874" spans="1:6" x14ac:dyDescent="0.3">
      <c r="A874" t="str">
        <f>"22"</f>
        <v>22</v>
      </c>
      <c r="B874" t="str">
        <f>"22.0209"</f>
        <v>22.0209</v>
      </c>
      <c r="C874" t="s">
        <v>2915</v>
      </c>
      <c r="D874" t="s">
        <v>2914</v>
      </c>
      <c r="F874" t="s">
        <v>2913</v>
      </c>
    </row>
    <row r="875" spans="1:6" x14ac:dyDescent="0.3">
      <c r="A875" t="str">
        <f>"22"</f>
        <v>22</v>
      </c>
      <c r="B875" t="str">
        <f>"22.0210"</f>
        <v>22.0210</v>
      </c>
      <c r="C875" t="s">
        <v>2912</v>
      </c>
      <c r="D875" t="s">
        <v>2911</v>
      </c>
      <c r="F875" t="s">
        <v>2910</v>
      </c>
    </row>
    <row r="876" spans="1:6" x14ac:dyDescent="0.3">
      <c r="A876" t="str">
        <f>"22"</f>
        <v>22</v>
      </c>
      <c r="B876" t="str">
        <f>"22.0211"</f>
        <v>22.0211</v>
      </c>
      <c r="C876" t="s">
        <v>2909</v>
      </c>
      <c r="D876" t="s">
        <v>2908</v>
      </c>
      <c r="F876" t="s">
        <v>2907</v>
      </c>
    </row>
    <row r="877" spans="1:6" x14ac:dyDescent="0.3">
      <c r="A877" t="str">
        <f>"22"</f>
        <v>22</v>
      </c>
      <c r="B877" t="str">
        <f>"22.0212"</f>
        <v>22.0212</v>
      </c>
      <c r="C877" t="s">
        <v>2906</v>
      </c>
      <c r="D877" t="s">
        <v>2905</v>
      </c>
      <c r="F877" t="s">
        <v>2883</v>
      </c>
    </row>
    <row r="878" spans="1:6" x14ac:dyDescent="0.3">
      <c r="A878" t="str">
        <f>"22"</f>
        <v>22</v>
      </c>
      <c r="B878" t="str">
        <f>"22.0213"</f>
        <v>22.0213</v>
      </c>
      <c r="C878" t="s">
        <v>5933</v>
      </c>
      <c r="D878" t="s">
        <v>5932</v>
      </c>
      <c r="F878" t="s">
        <v>5931</v>
      </c>
    </row>
    <row r="879" spans="1:6" x14ac:dyDescent="0.3">
      <c r="A879" t="str">
        <f>"22"</f>
        <v>22</v>
      </c>
      <c r="B879" t="str">
        <f>"22.0214"</f>
        <v>22.0214</v>
      </c>
      <c r="C879" t="s">
        <v>5930</v>
      </c>
      <c r="D879" t="s">
        <v>5929</v>
      </c>
      <c r="F879" t="s">
        <v>5928</v>
      </c>
    </row>
    <row r="880" spans="1:6" x14ac:dyDescent="0.3">
      <c r="A880" t="str">
        <f>"22"</f>
        <v>22</v>
      </c>
      <c r="B880" t="str">
        <f>"22.0215"</f>
        <v>22.0215</v>
      </c>
      <c r="C880" t="s">
        <v>5927</v>
      </c>
      <c r="D880" t="s">
        <v>5926</v>
      </c>
      <c r="F880" t="s">
        <v>5925</v>
      </c>
    </row>
    <row r="881" spans="1:6" x14ac:dyDescent="0.3">
      <c r="A881" t="str">
        <f>"22"</f>
        <v>22</v>
      </c>
      <c r="B881" t="str">
        <f>"22.0216"</f>
        <v>22.0216</v>
      </c>
      <c r="C881" t="s">
        <v>5924</v>
      </c>
      <c r="D881" t="s">
        <v>5923</v>
      </c>
      <c r="F881" t="s">
        <v>5922</v>
      </c>
    </row>
    <row r="882" spans="1:6" x14ac:dyDescent="0.3">
      <c r="A882" t="str">
        <f>"22"</f>
        <v>22</v>
      </c>
      <c r="B882" t="str">
        <f>"22.0217"</f>
        <v>22.0217</v>
      </c>
      <c r="C882" t="s">
        <v>5921</v>
      </c>
      <c r="D882" t="s">
        <v>5920</v>
      </c>
      <c r="F882" t="s">
        <v>5919</v>
      </c>
    </row>
    <row r="883" spans="1:6" x14ac:dyDescent="0.3">
      <c r="A883" t="str">
        <f>"22"</f>
        <v>22</v>
      </c>
      <c r="B883" t="str">
        <f>"22.0218"</f>
        <v>22.0218</v>
      </c>
      <c r="C883" t="s">
        <v>5918</v>
      </c>
      <c r="D883" t="s">
        <v>5917</v>
      </c>
    </row>
    <row r="884" spans="1:6" x14ac:dyDescent="0.3">
      <c r="A884" t="str">
        <f>"22"</f>
        <v>22</v>
      </c>
      <c r="B884" t="str">
        <f>"22.0219"</f>
        <v>22.0219</v>
      </c>
      <c r="C884" t="s">
        <v>5916</v>
      </c>
      <c r="D884" t="s">
        <v>5915</v>
      </c>
    </row>
    <row r="885" spans="1:6" x14ac:dyDescent="0.3">
      <c r="A885" t="str">
        <f>"22"</f>
        <v>22</v>
      </c>
      <c r="B885" t="str">
        <f>"22.0220"</f>
        <v>22.0220</v>
      </c>
      <c r="C885" t="s">
        <v>5914</v>
      </c>
      <c r="D885" t="s">
        <v>5913</v>
      </c>
      <c r="F885" t="s">
        <v>5912</v>
      </c>
    </row>
    <row r="886" spans="1:6" x14ac:dyDescent="0.3">
      <c r="A886" t="str">
        <f>"22"</f>
        <v>22</v>
      </c>
      <c r="B886" t="str">
        <f>"22.0221"</f>
        <v>22.0221</v>
      </c>
      <c r="C886" t="s">
        <v>5911</v>
      </c>
      <c r="D886" t="s">
        <v>5910</v>
      </c>
    </row>
    <row r="887" spans="1:6" x14ac:dyDescent="0.3">
      <c r="A887" t="str">
        <f>"22"</f>
        <v>22</v>
      </c>
      <c r="B887" t="str">
        <f>"22.0222"</f>
        <v>22.0222</v>
      </c>
      <c r="C887" t="s">
        <v>5909</v>
      </c>
      <c r="D887" t="s">
        <v>5908</v>
      </c>
    </row>
    <row r="888" spans="1:6" x14ac:dyDescent="0.3">
      <c r="A888" t="str">
        <f>"22"</f>
        <v>22</v>
      </c>
      <c r="B888" t="str">
        <f>"22.0223"</f>
        <v>22.0223</v>
      </c>
      <c r="C888" t="s">
        <v>5907</v>
      </c>
      <c r="D888" t="s">
        <v>5906</v>
      </c>
      <c r="F888" t="s">
        <v>5905</v>
      </c>
    </row>
    <row r="889" spans="1:6" x14ac:dyDescent="0.3">
      <c r="A889" t="str">
        <f>"22"</f>
        <v>22</v>
      </c>
      <c r="B889" t="str">
        <f>"22.0224"</f>
        <v>22.0224</v>
      </c>
      <c r="C889" t="s">
        <v>5904</v>
      </c>
      <c r="D889" t="s">
        <v>5903</v>
      </c>
      <c r="F889" t="s">
        <v>5902</v>
      </c>
    </row>
    <row r="890" spans="1:6" x14ac:dyDescent="0.3">
      <c r="A890" t="str">
        <f>"22"</f>
        <v>22</v>
      </c>
      <c r="B890" t="str">
        <f>"22.0299"</f>
        <v>22.0299</v>
      </c>
      <c r="C890" t="s">
        <v>2904</v>
      </c>
      <c r="D890" t="s">
        <v>2903</v>
      </c>
      <c r="F890" t="s">
        <v>5901</v>
      </c>
    </row>
    <row r="891" spans="1:6" x14ac:dyDescent="0.3">
      <c r="A891" t="str">
        <f>"22"</f>
        <v>22</v>
      </c>
      <c r="B891" t="str">
        <f>"22.03"</f>
        <v>22.03</v>
      </c>
      <c r="C891" t="s">
        <v>2902</v>
      </c>
      <c r="D891" t="s">
        <v>2901</v>
      </c>
    </row>
    <row r="892" spans="1:6" x14ac:dyDescent="0.3">
      <c r="A892" t="str">
        <f>"22"</f>
        <v>22</v>
      </c>
      <c r="B892" t="str">
        <f>"22.0301"</f>
        <v>22.0301</v>
      </c>
      <c r="C892" t="s">
        <v>2900</v>
      </c>
      <c r="D892" t="s">
        <v>2899</v>
      </c>
    </row>
    <row r="893" spans="1:6" x14ac:dyDescent="0.3">
      <c r="A893" t="str">
        <f>"22"</f>
        <v>22</v>
      </c>
      <c r="B893" t="str">
        <f>"22.0302"</f>
        <v>22.0302</v>
      </c>
      <c r="C893" t="s">
        <v>2898</v>
      </c>
      <c r="D893" t="s">
        <v>2897</v>
      </c>
    </row>
    <row r="894" spans="1:6" x14ac:dyDescent="0.3">
      <c r="A894" t="str">
        <f>"22"</f>
        <v>22</v>
      </c>
      <c r="B894" t="str">
        <f>"22.0303"</f>
        <v>22.0303</v>
      </c>
      <c r="C894" t="s">
        <v>5900</v>
      </c>
      <c r="D894" t="s">
        <v>2896</v>
      </c>
      <c r="E894" t="s">
        <v>5899</v>
      </c>
    </row>
    <row r="895" spans="1:6" x14ac:dyDescent="0.3">
      <c r="A895" t="str">
        <f>"22"</f>
        <v>22</v>
      </c>
      <c r="B895" t="str">
        <f>"22.0304"</f>
        <v>22.0304</v>
      </c>
      <c r="C895" t="s">
        <v>5898</v>
      </c>
      <c r="D895" t="s">
        <v>5897</v>
      </c>
    </row>
    <row r="896" spans="1:6" x14ac:dyDescent="0.3">
      <c r="A896" t="str">
        <f>"22"</f>
        <v>22</v>
      </c>
      <c r="B896" t="str">
        <f>"22.0305"</f>
        <v>22.0305</v>
      </c>
      <c r="C896" t="s">
        <v>5896</v>
      </c>
      <c r="D896" t="s">
        <v>5895</v>
      </c>
      <c r="F896" t="s">
        <v>5894</v>
      </c>
    </row>
    <row r="897" spans="1:6" x14ac:dyDescent="0.3">
      <c r="A897" t="str">
        <f>"22"</f>
        <v>22</v>
      </c>
      <c r="B897" t="str">
        <f>"22.0399"</f>
        <v>22.0399</v>
      </c>
      <c r="C897" t="s">
        <v>2895</v>
      </c>
      <c r="D897" t="s">
        <v>2894</v>
      </c>
    </row>
    <row r="898" spans="1:6" x14ac:dyDescent="0.3">
      <c r="A898" t="str">
        <f>"22"</f>
        <v>22</v>
      </c>
      <c r="B898" t="str">
        <f>"22.99"</f>
        <v>22.99</v>
      </c>
      <c r="C898" t="s">
        <v>2892</v>
      </c>
      <c r="D898" t="s">
        <v>2893</v>
      </c>
    </row>
    <row r="899" spans="1:6" x14ac:dyDescent="0.3">
      <c r="A899" t="str">
        <f>"22"</f>
        <v>22</v>
      </c>
      <c r="B899" t="str">
        <f>"22.9999"</f>
        <v>22.9999</v>
      </c>
      <c r="C899" t="s">
        <v>2892</v>
      </c>
      <c r="D899" t="s">
        <v>2891</v>
      </c>
    </row>
    <row r="900" spans="1:6" x14ac:dyDescent="0.3">
      <c r="A900" t="str">
        <f>"23"</f>
        <v>23</v>
      </c>
      <c r="B900" t="str">
        <f>"23"</f>
        <v>23</v>
      </c>
      <c r="C900" t="s">
        <v>2890</v>
      </c>
      <c r="D900" t="s">
        <v>2889</v>
      </c>
    </row>
    <row r="901" spans="1:6" x14ac:dyDescent="0.3">
      <c r="A901" t="str">
        <f>"23"</f>
        <v>23</v>
      </c>
      <c r="B901" t="str">
        <f>"23.01"</f>
        <v>23.01</v>
      </c>
      <c r="C901" t="s">
        <v>2887</v>
      </c>
      <c r="D901" t="s">
        <v>2888</v>
      </c>
    </row>
    <row r="902" spans="1:6" x14ac:dyDescent="0.3">
      <c r="A902" t="str">
        <f>"23"</f>
        <v>23</v>
      </c>
      <c r="B902" t="str">
        <f>"23.0101"</f>
        <v>23.0101</v>
      </c>
      <c r="C902" t="s">
        <v>2887</v>
      </c>
      <c r="D902" t="s">
        <v>2886</v>
      </c>
      <c r="E902" t="s">
        <v>5893</v>
      </c>
    </row>
    <row r="903" spans="1:6" x14ac:dyDescent="0.3">
      <c r="A903" t="str">
        <f>"23"</f>
        <v>23</v>
      </c>
      <c r="B903" t="str">
        <f>"23.13"</f>
        <v>23.13</v>
      </c>
      <c r="C903" t="s">
        <v>2885</v>
      </c>
      <c r="D903" t="s">
        <v>2884</v>
      </c>
    </row>
    <row r="904" spans="1:6" x14ac:dyDescent="0.3">
      <c r="A904" t="str">
        <f>"23"</f>
        <v>23</v>
      </c>
      <c r="B904" t="str">
        <f>"23.1301"</f>
        <v>23.1301</v>
      </c>
      <c r="C904" t="s">
        <v>2882</v>
      </c>
      <c r="D904" t="s">
        <v>2881</v>
      </c>
      <c r="F904" t="s">
        <v>2877</v>
      </c>
    </row>
    <row r="905" spans="1:6" x14ac:dyDescent="0.3">
      <c r="A905" t="str">
        <f>"23"</f>
        <v>23</v>
      </c>
      <c r="B905" t="str">
        <f>"23.1302"</f>
        <v>23.1302</v>
      </c>
      <c r="C905" t="s">
        <v>2880</v>
      </c>
      <c r="D905" t="s">
        <v>2879</v>
      </c>
      <c r="E905" t="s">
        <v>2878</v>
      </c>
    </row>
    <row r="906" spans="1:6" x14ac:dyDescent="0.3">
      <c r="A906" t="str">
        <f>"23"</f>
        <v>23</v>
      </c>
      <c r="B906" t="str">
        <f>"23.1303"</f>
        <v>23.1303</v>
      </c>
      <c r="C906" t="s">
        <v>2876</v>
      </c>
      <c r="D906" t="s">
        <v>2875</v>
      </c>
      <c r="E906" t="s">
        <v>2874</v>
      </c>
      <c r="F906" t="s">
        <v>2873</v>
      </c>
    </row>
    <row r="907" spans="1:6" x14ac:dyDescent="0.3">
      <c r="A907" t="str">
        <f>"23"</f>
        <v>23</v>
      </c>
      <c r="B907" t="str">
        <f>"23.1304"</f>
        <v>23.1304</v>
      </c>
      <c r="C907" t="s">
        <v>2872</v>
      </c>
      <c r="D907" t="s">
        <v>2871</v>
      </c>
      <c r="E907" t="s">
        <v>2870</v>
      </c>
      <c r="F907" t="s">
        <v>2865</v>
      </c>
    </row>
    <row r="908" spans="1:6" x14ac:dyDescent="0.3">
      <c r="A908" t="str">
        <f>"23"</f>
        <v>23</v>
      </c>
      <c r="B908" t="str">
        <f>"23.1399"</f>
        <v>23.1399</v>
      </c>
      <c r="C908" t="s">
        <v>2869</v>
      </c>
      <c r="D908" t="s">
        <v>2868</v>
      </c>
    </row>
    <row r="909" spans="1:6" x14ac:dyDescent="0.3">
      <c r="A909" t="str">
        <f>"23"</f>
        <v>23</v>
      </c>
      <c r="B909" t="str">
        <f>"23.14"</f>
        <v>23.14</v>
      </c>
      <c r="C909" t="s">
        <v>2867</v>
      </c>
      <c r="D909" t="s">
        <v>2866</v>
      </c>
    </row>
    <row r="910" spans="1:6" x14ac:dyDescent="0.3">
      <c r="A910" t="str">
        <f>"23"</f>
        <v>23</v>
      </c>
      <c r="B910" t="str">
        <f>"23.1401"</f>
        <v>23.1401</v>
      </c>
      <c r="C910" t="s">
        <v>2864</v>
      </c>
      <c r="D910" t="s">
        <v>2863</v>
      </c>
      <c r="E910" t="s">
        <v>2850</v>
      </c>
      <c r="F910" t="s">
        <v>2856</v>
      </c>
    </row>
    <row r="911" spans="1:6" x14ac:dyDescent="0.3">
      <c r="A911" t="str">
        <f>"23"</f>
        <v>23</v>
      </c>
      <c r="B911" t="str">
        <f>"23.1402"</f>
        <v>23.1402</v>
      </c>
      <c r="C911" t="s">
        <v>2862</v>
      </c>
      <c r="D911" t="s">
        <v>2861</v>
      </c>
    </row>
    <row r="912" spans="1:6" x14ac:dyDescent="0.3">
      <c r="A912" t="str">
        <f>"23"</f>
        <v>23</v>
      </c>
      <c r="B912" t="str">
        <f>"23.1403"</f>
        <v>23.1403</v>
      </c>
      <c r="C912" t="s">
        <v>2860</v>
      </c>
      <c r="D912" t="s">
        <v>2859</v>
      </c>
    </row>
    <row r="913" spans="1:6" x14ac:dyDescent="0.3">
      <c r="A913" t="str">
        <f>"23"</f>
        <v>23</v>
      </c>
      <c r="B913" t="str">
        <f>"23.1404"</f>
        <v>23.1404</v>
      </c>
      <c r="C913" t="s">
        <v>2858</v>
      </c>
      <c r="D913" t="s">
        <v>2857</v>
      </c>
    </row>
    <row r="914" spans="1:6" x14ac:dyDescent="0.3">
      <c r="A914" t="str">
        <f>"23"</f>
        <v>23</v>
      </c>
      <c r="B914" t="str">
        <f>"23.1405"</f>
        <v>23.1405</v>
      </c>
      <c r="C914" t="s">
        <v>2855</v>
      </c>
      <c r="D914" t="s">
        <v>2854</v>
      </c>
      <c r="E914" t="s">
        <v>2853</v>
      </c>
      <c r="F914" t="s">
        <v>2848</v>
      </c>
    </row>
    <row r="915" spans="1:6" x14ac:dyDescent="0.3">
      <c r="A915" t="str">
        <f>"23"</f>
        <v>23</v>
      </c>
      <c r="B915" t="str">
        <f>"23.1499"</f>
        <v>23.1499</v>
      </c>
      <c r="C915" t="s">
        <v>2852</v>
      </c>
      <c r="D915" t="s">
        <v>2851</v>
      </c>
      <c r="E915" t="s">
        <v>2850</v>
      </c>
    </row>
    <row r="916" spans="1:6" x14ac:dyDescent="0.3">
      <c r="A916" t="str">
        <f>"23"</f>
        <v>23</v>
      </c>
      <c r="B916" t="str">
        <f>"23.99"</f>
        <v>23.99</v>
      </c>
      <c r="C916" t="s">
        <v>2847</v>
      </c>
      <c r="D916" t="s">
        <v>2849</v>
      </c>
    </row>
    <row r="917" spans="1:6" x14ac:dyDescent="0.3">
      <c r="A917" t="str">
        <f>"23"</f>
        <v>23</v>
      </c>
      <c r="B917" t="str">
        <f>"23.9999"</f>
        <v>23.9999</v>
      </c>
      <c r="C917" t="s">
        <v>2847</v>
      </c>
      <c r="D917" t="s">
        <v>2846</v>
      </c>
      <c r="F917" t="s">
        <v>2839</v>
      </c>
    </row>
    <row r="918" spans="1:6" x14ac:dyDescent="0.3">
      <c r="A918" t="str">
        <f>"24"</f>
        <v>24</v>
      </c>
      <c r="B918" t="str">
        <f>"24"</f>
        <v>24</v>
      </c>
      <c r="C918" t="s">
        <v>2845</v>
      </c>
      <c r="D918" t="s">
        <v>2844</v>
      </c>
    </row>
    <row r="919" spans="1:6" x14ac:dyDescent="0.3">
      <c r="A919" t="str">
        <f>"24"</f>
        <v>24</v>
      </c>
      <c r="B919" t="str">
        <f>"24.01"</f>
        <v>24.01</v>
      </c>
      <c r="C919" t="s">
        <v>2843</v>
      </c>
      <c r="D919" t="s">
        <v>2842</v>
      </c>
    </row>
    <row r="920" spans="1:6" x14ac:dyDescent="0.3">
      <c r="A920" t="str">
        <f>"24"</f>
        <v>24</v>
      </c>
      <c r="B920" t="str">
        <f>"24.0101"</f>
        <v>24.0101</v>
      </c>
      <c r="C920" t="s">
        <v>2841</v>
      </c>
      <c r="D920" t="s">
        <v>2840</v>
      </c>
    </row>
    <row r="921" spans="1:6" x14ac:dyDescent="0.3">
      <c r="A921" t="str">
        <f>"24"</f>
        <v>24</v>
      </c>
      <c r="B921" t="str">
        <f>"24.0102"</f>
        <v>24.0102</v>
      </c>
      <c r="C921" t="s">
        <v>2838</v>
      </c>
      <c r="D921" t="s">
        <v>2837</v>
      </c>
      <c r="F921" t="s">
        <v>2828</v>
      </c>
    </row>
    <row r="922" spans="1:6" x14ac:dyDescent="0.3">
      <c r="A922" t="str">
        <f>"24"</f>
        <v>24</v>
      </c>
      <c r="B922" t="str">
        <f>"24.0103"</f>
        <v>24.0103</v>
      </c>
      <c r="C922" t="s">
        <v>2836</v>
      </c>
      <c r="D922" t="s">
        <v>2835</v>
      </c>
    </row>
    <row r="923" spans="1:6" x14ac:dyDescent="0.3">
      <c r="A923" t="str">
        <f>"24"</f>
        <v>24</v>
      </c>
      <c r="B923" t="str">
        <f>"24.0199"</f>
        <v>24.0199</v>
      </c>
      <c r="C923" t="s">
        <v>2834</v>
      </c>
      <c r="D923" t="s">
        <v>2833</v>
      </c>
    </row>
    <row r="924" spans="1:6" x14ac:dyDescent="0.3">
      <c r="A924" t="str">
        <f>"25"</f>
        <v>25</v>
      </c>
      <c r="B924" t="str">
        <f>"25"</f>
        <v>25</v>
      </c>
      <c r="C924" t="s">
        <v>2832</v>
      </c>
      <c r="D924" t="s">
        <v>2831</v>
      </c>
    </row>
    <row r="925" spans="1:6" x14ac:dyDescent="0.3">
      <c r="A925" t="str">
        <f>"25"</f>
        <v>25</v>
      </c>
      <c r="B925" t="str">
        <f>"25.01"</f>
        <v>25.01</v>
      </c>
      <c r="C925" t="s">
        <v>2830</v>
      </c>
      <c r="D925" t="s">
        <v>2829</v>
      </c>
    </row>
    <row r="926" spans="1:6" x14ac:dyDescent="0.3">
      <c r="A926" t="str">
        <f>"25"</f>
        <v>25</v>
      </c>
      <c r="B926" t="str">
        <f>"25.0101"</f>
        <v>25.0101</v>
      </c>
      <c r="C926" t="s">
        <v>2827</v>
      </c>
      <c r="D926" t="s">
        <v>2826</v>
      </c>
      <c r="E926" t="s">
        <v>2825</v>
      </c>
      <c r="F926" t="s">
        <v>2824</v>
      </c>
    </row>
    <row r="927" spans="1:6" x14ac:dyDescent="0.3">
      <c r="A927" t="str">
        <f>"25"</f>
        <v>25</v>
      </c>
      <c r="B927" t="str">
        <f>"25.0102"</f>
        <v>25.0102</v>
      </c>
      <c r="C927" t="s">
        <v>2823</v>
      </c>
      <c r="D927" t="s">
        <v>2822</v>
      </c>
      <c r="E927" t="s">
        <v>2821</v>
      </c>
      <c r="F927" t="s">
        <v>2820</v>
      </c>
    </row>
    <row r="928" spans="1:6" x14ac:dyDescent="0.3">
      <c r="A928" t="str">
        <f>"25"</f>
        <v>25</v>
      </c>
      <c r="B928" t="str">
        <f>"25.0103"</f>
        <v>25.0103</v>
      </c>
      <c r="C928" t="s">
        <v>2819</v>
      </c>
      <c r="D928" t="s">
        <v>2818</v>
      </c>
      <c r="E928" t="s">
        <v>2364</v>
      </c>
      <c r="F928" t="s">
        <v>2814</v>
      </c>
    </row>
    <row r="929" spans="1:6" x14ac:dyDescent="0.3">
      <c r="A929" t="str">
        <f>"25"</f>
        <v>25</v>
      </c>
      <c r="B929" t="str">
        <f>"25.0199"</f>
        <v>25.0199</v>
      </c>
      <c r="C929" t="s">
        <v>2817</v>
      </c>
      <c r="D929" t="s">
        <v>2816</v>
      </c>
    </row>
    <row r="930" spans="1:6" x14ac:dyDescent="0.3">
      <c r="A930" t="str">
        <f>"25"</f>
        <v>25</v>
      </c>
      <c r="B930" t="str">
        <f>"25.03"</f>
        <v>25.03</v>
      </c>
      <c r="C930" t="s">
        <v>2813</v>
      </c>
      <c r="D930" t="s">
        <v>2815</v>
      </c>
    </row>
    <row r="931" spans="1:6" x14ac:dyDescent="0.3">
      <c r="A931" t="str">
        <f>"25"</f>
        <v>25</v>
      </c>
      <c r="B931" t="str">
        <f>"25.0301"</f>
        <v>25.0301</v>
      </c>
      <c r="C931" t="s">
        <v>2813</v>
      </c>
      <c r="D931" t="s">
        <v>2812</v>
      </c>
      <c r="F931" t="s">
        <v>2778</v>
      </c>
    </row>
    <row r="932" spans="1:6" x14ac:dyDescent="0.3">
      <c r="A932" t="str">
        <f>"25"</f>
        <v>25</v>
      </c>
      <c r="B932" t="str">
        <f>"25.99"</f>
        <v>25.99</v>
      </c>
      <c r="C932" t="s">
        <v>2810</v>
      </c>
      <c r="D932" t="s">
        <v>2811</v>
      </c>
    </row>
    <row r="933" spans="1:6" x14ac:dyDescent="0.3">
      <c r="A933" t="str">
        <f>"25"</f>
        <v>25</v>
      </c>
      <c r="B933" t="str">
        <f>"25.9999"</f>
        <v>25.9999</v>
      </c>
      <c r="C933" t="s">
        <v>2810</v>
      </c>
      <c r="D933" t="s">
        <v>2809</v>
      </c>
    </row>
    <row r="934" spans="1:6" x14ac:dyDescent="0.3">
      <c r="A934" t="str">
        <f>"26"</f>
        <v>26</v>
      </c>
      <c r="B934" t="str">
        <f>"26"</f>
        <v>26</v>
      </c>
      <c r="C934" t="s">
        <v>2808</v>
      </c>
      <c r="D934" t="s">
        <v>2807</v>
      </c>
    </row>
    <row r="935" spans="1:6" x14ac:dyDescent="0.3">
      <c r="A935" t="str">
        <f>"26"</f>
        <v>26</v>
      </c>
      <c r="B935" t="str">
        <f>"26.01"</f>
        <v>26.01</v>
      </c>
      <c r="C935" t="s">
        <v>2806</v>
      </c>
      <c r="D935" t="s">
        <v>2805</v>
      </c>
    </row>
    <row r="936" spans="1:6" x14ac:dyDescent="0.3">
      <c r="A936" t="str">
        <f>"26"</f>
        <v>26</v>
      </c>
      <c r="B936" t="str">
        <f>"26.0101"</f>
        <v>26.0101</v>
      </c>
      <c r="C936" t="s">
        <v>2804</v>
      </c>
      <c r="D936" t="s">
        <v>2803</v>
      </c>
    </row>
    <row r="937" spans="1:6" x14ac:dyDescent="0.3">
      <c r="A937" t="str">
        <f>"26"</f>
        <v>26</v>
      </c>
      <c r="B937" t="str">
        <f>"26.0102"</f>
        <v>26.0102</v>
      </c>
      <c r="C937" t="s">
        <v>2802</v>
      </c>
      <c r="D937" t="s">
        <v>2801</v>
      </c>
    </row>
    <row r="938" spans="1:6" x14ac:dyDescent="0.3">
      <c r="A938" t="str">
        <f>"26"</f>
        <v>26</v>
      </c>
      <c r="B938" t="str">
        <f>"26.02"</f>
        <v>26.02</v>
      </c>
      <c r="C938" t="s">
        <v>2800</v>
      </c>
      <c r="D938" t="s">
        <v>2799</v>
      </c>
    </row>
    <row r="939" spans="1:6" x14ac:dyDescent="0.3">
      <c r="A939" t="str">
        <f>"26"</f>
        <v>26</v>
      </c>
      <c r="B939" t="str">
        <f>"26.0202"</f>
        <v>26.0202</v>
      </c>
      <c r="C939" t="s">
        <v>2798</v>
      </c>
      <c r="D939" t="s">
        <v>2797</v>
      </c>
    </row>
    <row r="940" spans="1:6" x14ac:dyDescent="0.3">
      <c r="A940" t="str">
        <f>"26"</f>
        <v>26</v>
      </c>
      <c r="B940" t="str">
        <f>"26.0203"</f>
        <v>26.0203</v>
      </c>
      <c r="C940" t="s">
        <v>2796</v>
      </c>
      <c r="D940" t="s">
        <v>2795</v>
      </c>
      <c r="E940" t="s">
        <v>2794</v>
      </c>
    </row>
    <row r="941" spans="1:6" x14ac:dyDescent="0.3">
      <c r="A941" t="str">
        <f>"26"</f>
        <v>26</v>
      </c>
      <c r="B941" t="str">
        <f>"26.0204"</f>
        <v>26.0204</v>
      </c>
      <c r="C941" t="s">
        <v>2793</v>
      </c>
      <c r="D941" t="s">
        <v>2792</v>
      </c>
    </row>
    <row r="942" spans="1:6" x14ac:dyDescent="0.3">
      <c r="A942" t="str">
        <f>"26"</f>
        <v>26</v>
      </c>
      <c r="B942" t="str">
        <f>"26.0205"</f>
        <v>26.0205</v>
      </c>
      <c r="C942" t="s">
        <v>2791</v>
      </c>
      <c r="D942" t="s">
        <v>2790</v>
      </c>
    </row>
    <row r="943" spans="1:6" x14ac:dyDescent="0.3">
      <c r="A943" t="str">
        <f>"26"</f>
        <v>26</v>
      </c>
      <c r="B943" t="str">
        <f>"26.0206"</f>
        <v>26.0206</v>
      </c>
      <c r="C943" t="s">
        <v>2789</v>
      </c>
      <c r="D943" t="s">
        <v>2788</v>
      </c>
    </row>
    <row r="944" spans="1:6" x14ac:dyDescent="0.3">
      <c r="A944" t="str">
        <f>"26"</f>
        <v>26</v>
      </c>
      <c r="B944" t="str">
        <f>"26.0207"</f>
        <v>26.0207</v>
      </c>
      <c r="C944" t="s">
        <v>2787</v>
      </c>
      <c r="D944" t="s">
        <v>2786</v>
      </c>
    </row>
    <row r="945" spans="1:6" x14ac:dyDescent="0.3">
      <c r="A945" t="str">
        <f>"26"</f>
        <v>26</v>
      </c>
      <c r="B945" t="str">
        <f>"26.0208"</f>
        <v>26.0208</v>
      </c>
      <c r="C945" t="s">
        <v>2785</v>
      </c>
      <c r="D945" t="s">
        <v>2784</v>
      </c>
    </row>
    <row r="946" spans="1:6" x14ac:dyDescent="0.3">
      <c r="A946" t="str">
        <f>"26"</f>
        <v>26</v>
      </c>
      <c r="B946" t="str">
        <f>"26.0209"</f>
        <v>26.0209</v>
      </c>
      <c r="C946" t="s">
        <v>2783</v>
      </c>
      <c r="D946" t="s">
        <v>2782</v>
      </c>
    </row>
    <row r="947" spans="1:6" x14ac:dyDescent="0.3">
      <c r="A947" t="str">
        <f>"26"</f>
        <v>26</v>
      </c>
      <c r="B947" t="str">
        <f>"26.0210"</f>
        <v>26.0210</v>
      </c>
      <c r="C947" t="s">
        <v>2781</v>
      </c>
      <c r="D947" t="s">
        <v>2780</v>
      </c>
      <c r="E947" t="s">
        <v>2779</v>
      </c>
    </row>
    <row r="948" spans="1:6" x14ac:dyDescent="0.3">
      <c r="A948" t="str">
        <f>"26"</f>
        <v>26</v>
      </c>
      <c r="B948" t="str">
        <f>"26.0299"</f>
        <v>26.0299</v>
      </c>
      <c r="C948" t="s">
        <v>2777</v>
      </c>
      <c r="D948" t="s">
        <v>2776</v>
      </c>
      <c r="F948" t="s">
        <v>2765</v>
      </c>
    </row>
    <row r="949" spans="1:6" x14ac:dyDescent="0.3">
      <c r="A949" t="str">
        <f>"26"</f>
        <v>26</v>
      </c>
      <c r="B949" t="str">
        <f>"26.03"</f>
        <v>26.03</v>
      </c>
      <c r="C949" t="s">
        <v>2774</v>
      </c>
      <c r="D949" t="s">
        <v>2775</v>
      </c>
    </row>
    <row r="950" spans="1:6" x14ac:dyDescent="0.3">
      <c r="A950" t="str">
        <f>"26"</f>
        <v>26</v>
      </c>
      <c r="B950" t="str">
        <f>"26.0301"</f>
        <v>26.0301</v>
      </c>
      <c r="C950" t="s">
        <v>2774</v>
      </c>
      <c r="D950" t="s">
        <v>2773</v>
      </c>
      <c r="E950" t="s">
        <v>2766</v>
      </c>
    </row>
    <row r="951" spans="1:6" x14ac:dyDescent="0.3">
      <c r="A951" t="str">
        <f>"26"</f>
        <v>26</v>
      </c>
      <c r="B951" t="str">
        <f>"26.0305"</f>
        <v>26.0305</v>
      </c>
      <c r="C951" t="s">
        <v>2772</v>
      </c>
      <c r="D951" t="s">
        <v>2771</v>
      </c>
      <c r="E951" t="s">
        <v>2766</v>
      </c>
    </row>
    <row r="952" spans="1:6" x14ac:dyDescent="0.3">
      <c r="A952" t="str">
        <f>"26"</f>
        <v>26</v>
      </c>
      <c r="B952" t="str">
        <f>"26.0307"</f>
        <v>26.0307</v>
      </c>
      <c r="C952" t="s">
        <v>2770</v>
      </c>
      <c r="D952" t="s">
        <v>2769</v>
      </c>
      <c r="E952" t="s">
        <v>2766</v>
      </c>
    </row>
    <row r="953" spans="1:6" x14ac:dyDescent="0.3">
      <c r="A953" t="str">
        <f>"26"</f>
        <v>26</v>
      </c>
      <c r="B953" t="str">
        <f>"26.0308"</f>
        <v>26.0308</v>
      </c>
      <c r="C953" t="s">
        <v>2768</v>
      </c>
      <c r="D953" t="s">
        <v>2767</v>
      </c>
      <c r="E953" t="s">
        <v>2766</v>
      </c>
    </row>
    <row r="954" spans="1:6" x14ac:dyDescent="0.3">
      <c r="A954" t="str">
        <f>"26"</f>
        <v>26</v>
      </c>
      <c r="B954" t="str">
        <f>"26.0399"</f>
        <v>26.0399</v>
      </c>
      <c r="C954" t="s">
        <v>2764</v>
      </c>
      <c r="D954" t="s">
        <v>2763</v>
      </c>
      <c r="F954" t="s">
        <v>2750</v>
      </c>
    </row>
    <row r="955" spans="1:6" x14ac:dyDescent="0.3">
      <c r="A955" t="str">
        <f>"26"</f>
        <v>26</v>
      </c>
      <c r="B955" t="str">
        <f>"26.04"</f>
        <v>26.04</v>
      </c>
      <c r="C955" t="s">
        <v>2762</v>
      </c>
      <c r="D955" t="s">
        <v>2761</v>
      </c>
    </row>
    <row r="956" spans="1:6" x14ac:dyDescent="0.3">
      <c r="A956" t="str">
        <f>"26"</f>
        <v>26</v>
      </c>
      <c r="B956" t="str">
        <f>"26.0401"</f>
        <v>26.0401</v>
      </c>
      <c r="C956" t="s">
        <v>2760</v>
      </c>
      <c r="D956" t="s">
        <v>2759</v>
      </c>
    </row>
    <row r="957" spans="1:6" x14ac:dyDescent="0.3">
      <c r="A957" t="str">
        <f>"26"</f>
        <v>26</v>
      </c>
      <c r="B957" t="str">
        <f>"26.0403"</f>
        <v>26.0403</v>
      </c>
      <c r="C957" t="s">
        <v>2758</v>
      </c>
      <c r="D957" t="s">
        <v>2757</v>
      </c>
    </row>
    <row r="958" spans="1:6" x14ac:dyDescent="0.3">
      <c r="A958" t="str">
        <f>"26"</f>
        <v>26</v>
      </c>
      <c r="B958" t="str">
        <f>"26.0404"</f>
        <v>26.0404</v>
      </c>
      <c r="C958" t="s">
        <v>2756</v>
      </c>
      <c r="D958" t="s">
        <v>2755</v>
      </c>
    </row>
    <row r="959" spans="1:6" x14ac:dyDescent="0.3">
      <c r="A959" t="str">
        <f>"26"</f>
        <v>26</v>
      </c>
      <c r="B959" t="str">
        <f>"26.0406"</f>
        <v>26.0406</v>
      </c>
      <c r="C959" t="s">
        <v>2754</v>
      </c>
      <c r="D959" t="s">
        <v>2753</v>
      </c>
    </row>
    <row r="960" spans="1:6" x14ac:dyDescent="0.3">
      <c r="A960" t="str">
        <f>"26"</f>
        <v>26</v>
      </c>
      <c r="B960" t="str">
        <f>"26.0407"</f>
        <v>26.0407</v>
      </c>
      <c r="C960" t="s">
        <v>2752</v>
      </c>
      <c r="D960" t="s">
        <v>2751</v>
      </c>
    </row>
    <row r="961" spans="1:6" x14ac:dyDescent="0.3">
      <c r="A961" t="str">
        <f>"26"</f>
        <v>26</v>
      </c>
      <c r="B961" t="str">
        <f>"26.0499"</f>
        <v>26.0499</v>
      </c>
      <c r="C961" t="s">
        <v>2749</v>
      </c>
      <c r="D961" t="s">
        <v>2748</v>
      </c>
      <c r="F961" t="s">
        <v>2733</v>
      </c>
    </row>
    <row r="962" spans="1:6" x14ac:dyDescent="0.3">
      <c r="A962" t="str">
        <f>"26"</f>
        <v>26</v>
      </c>
      <c r="B962" t="str">
        <f>"26.05"</f>
        <v>26.05</v>
      </c>
      <c r="C962" t="s">
        <v>2747</v>
      </c>
      <c r="D962" t="s">
        <v>2746</v>
      </c>
    </row>
    <row r="963" spans="1:6" x14ac:dyDescent="0.3">
      <c r="A963" t="str">
        <f>"26"</f>
        <v>26</v>
      </c>
      <c r="B963" t="str">
        <f>"26.0502"</f>
        <v>26.0502</v>
      </c>
      <c r="C963" t="s">
        <v>2745</v>
      </c>
      <c r="D963" t="s">
        <v>2744</v>
      </c>
    </row>
    <row r="964" spans="1:6" x14ac:dyDescent="0.3">
      <c r="A964" t="str">
        <f>"26"</f>
        <v>26</v>
      </c>
      <c r="B964" t="str">
        <f>"26.0503"</f>
        <v>26.0503</v>
      </c>
      <c r="C964" t="s">
        <v>2743</v>
      </c>
      <c r="D964" t="s">
        <v>2742</v>
      </c>
    </row>
    <row r="965" spans="1:6" x14ac:dyDescent="0.3">
      <c r="A965" t="str">
        <f>"26"</f>
        <v>26</v>
      </c>
      <c r="B965" t="str">
        <f>"26.0504"</f>
        <v>26.0504</v>
      </c>
      <c r="C965" t="s">
        <v>2741</v>
      </c>
      <c r="D965" t="s">
        <v>2740</v>
      </c>
    </row>
    <row r="966" spans="1:6" x14ac:dyDescent="0.3">
      <c r="A966" t="str">
        <f>"26"</f>
        <v>26</v>
      </c>
      <c r="B966" t="str">
        <f>"26.0505"</f>
        <v>26.0505</v>
      </c>
      <c r="C966" t="s">
        <v>2739</v>
      </c>
      <c r="D966" t="s">
        <v>2738</v>
      </c>
    </row>
    <row r="967" spans="1:6" x14ac:dyDescent="0.3">
      <c r="A967" t="str">
        <f>"26"</f>
        <v>26</v>
      </c>
      <c r="B967" t="str">
        <f>"26.0506"</f>
        <v>26.0506</v>
      </c>
      <c r="C967" t="s">
        <v>2737</v>
      </c>
      <c r="D967" t="s">
        <v>2736</v>
      </c>
    </row>
    <row r="968" spans="1:6" x14ac:dyDescent="0.3">
      <c r="A968" t="str">
        <f>"26"</f>
        <v>26</v>
      </c>
      <c r="B968" t="str">
        <f>"26.0507"</f>
        <v>26.0507</v>
      </c>
      <c r="C968" t="s">
        <v>2735</v>
      </c>
      <c r="D968" t="s">
        <v>2734</v>
      </c>
    </row>
    <row r="969" spans="1:6" x14ac:dyDescent="0.3">
      <c r="A969" t="str">
        <f>"26"</f>
        <v>26</v>
      </c>
      <c r="B969" t="str">
        <f>"26.0508"</f>
        <v>26.0508</v>
      </c>
      <c r="C969" t="s">
        <v>2732</v>
      </c>
      <c r="D969" t="s">
        <v>2731</v>
      </c>
      <c r="E969" t="s">
        <v>2730</v>
      </c>
      <c r="F969" t="s">
        <v>2707</v>
      </c>
    </row>
    <row r="970" spans="1:6" x14ac:dyDescent="0.3">
      <c r="A970" t="str">
        <f>"26"</f>
        <v>26</v>
      </c>
      <c r="B970" t="str">
        <f>"26.0509"</f>
        <v>26.0509</v>
      </c>
      <c r="C970" t="s">
        <v>5892</v>
      </c>
      <c r="D970" t="s">
        <v>5891</v>
      </c>
      <c r="E970" t="s">
        <v>1734</v>
      </c>
    </row>
    <row r="971" spans="1:6" x14ac:dyDescent="0.3">
      <c r="A971" t="str">
        <f>"26"</f>
        <v>26</v>
      </c>
      <c r="B971" t="str">
        <f>"26.0599"</f>
        <v>26.0599</v>
      </c>
      <c r="C971" t="s">
        <v>2729</v>
      </c>
      <c r="D971" t="s">
        <v>2728</v>
      </c>
    </row>
    <row r="972" spans="1:6" x14ac:dyDescent="0.3">
      <c r="A972" t="str">
        <f>"26"</f>
        <v>26</v>
      </c>
      <c r="B972" t="str">
        <f>"26.07"</f>
        <v>26.07</v>
      </c>
      <c r="C972" t="s">
        <v>2726</v>
      </c>
      <c r="D972" t="s">
        <v>2727</v>
      </c>
    </row>
    <row r="973" spans="1:6" x14ac:dyDescent="0.3">
      <c r="A973" t="str">
        <f>"26"</f>
        <v>26</v>
      </c>
      <c r="B973" t="str">
        <f>"26.0701"</f>
        <v>26.0701</v>
      </c>
      <c r="C973" t="s">
        <v>2726</v>
      </c>
      <c r="D973" t="s">
        <v>2725</v>
      </c>
      <c r="E973" t="s">
        <v>2724</v>
      </c>
    </row>
    <row r="974" spans="1:6" x14ac:dyDescent="0.3">
      <c r="A974" t="str">
        <f>"26"</f>
        <v>26</v>
      </c>
      <c r="B974" t="str">
        <f>"26.0702"</f>
        <v>26.0702</v>
      </c>
      <c r="C974" t="s">
        <v>2723</v>
      </c>
      <c r="D974" t="s">
        <v>2722</v>
      </c>
      <c r="E974" t="s">
        <v>2721</v>
      </c>
    </row>
    <row r="975" spans="1:6" x14ac:dyDescent="0.3">
      <c r="A975" t="str">
        <f>"26"</f>
        <v>26</v>
      </c>
      <c r="B975" t="str">
        <f>"26.0707"</f>
        <v>26.0707</v>
      </c>
      <c r="C975" t="s">
        <v>2720</v>
      </c>
      <c r="D975" t="s">
        <v>2719</v>
      </c>
    </row>
    <row r="976" spans="1:6" x14ac:dyDescent="0.3">
      <c r="A976" t="str">
        <f>"26"</f>
        <v>26</v>
      </c>
      <c r="B976" t="str">
        <f>"26.0708"</f>
        <v>26.0708</v>
      </c>
      <c r="C976" t="s">
        <v>2718</v>
      </c>
      <c r="D976" t="s">
        <v>2717</v>
      </c>
    </row>
    <row r="977" spans="1:6" x14ac:dyDescent="0.3">
      <c r="A977" t="str">
        <f>"26"</f>
        <v>26</v>
      </c>
      <c r="B977" t="str">
        <f>"26.0709"</f>
        <v>26.0709</v>
      </c>
      <c r="C977" t="s">
        <v>2716</v>
      </c>
      <c r="D977" t="s">
        <v>2715</v>
      </c>
      <c r="E977" t="s">
        <v>2714</v>
      </c>
      <c r="F977" t="s">
        <v>5890</v>
      </c>
    </row>
    <row r="978" spans="1:6" x14ac:dyDescent="0.3">
      <c r="A978" t="str">
        <f>"26"</f>
        <v>26</v>
      </c>
      <c r="B978" t="str">
        <f>"26.0799"</f>
        <v>26.0799</v>
      </c>
      <c r="C978" t="s">
        <v>2713</v>
      </c>
      <c r="D978" t="s">
        <v>2712</v>
      </c>
    </row>
    <row r="979" spans="1:6" x14ac:dyDescent="0.3">
      <c r="A979" t="str">
        <f>"26"</f>
        <v>26</v>
      </c>
      <c r="B979" t="str">
        <f>"26.08"</f>
        <v>26.08</v>
      </c>
      <c r="C979" t="s">
        <v>2711</v>
      </c>
      <c r="D979" t="s">
        <v>2710</v>
      </c>
    </row>
    <row r="980" spans="1:6" x14ac:dyDescent="0.3">
      <c r="A980" t="str">
        <f>"26"</f>
        <v>26</v>
      </c>
      <c r="B980" t="str">
        <f>"26.0801"</f>
        <v>26.0801</v>
      </c>
      <c r="C980" t="s">
        <v>2709</v>
      </c>
      <c r="D980" t="s">
        <v>2708</v>
      </c>
    </row>
    <row r="981" spans="1:6" x14ac:dyDescent="0.3">
      <c r="A981" t="str">
        <f>"26"</f>
        <v>26</v>
      </c>
      <c r="B981" t="str">
        <f>"26.0802"</f>
        <v>26.0802</v>
      </c>
      <c r="C981" t="s">
        <v>2706</v>
      </c>
      <c r="D981" t="s">
        <v>2705</v>
      </c>
      <c r="F981" t="s">
        <v>2635</v>
      </c>
    </row>
    <row r="982" spans="1:6" x14ac:dyDescent="0.3">
      <c r="A982" t="str">
        <f>"26"</f>
        <v>26</v>
      </c>
      <c r="B982" t="str">
        <f>"26.0803"</f>
        <v>26.0803</v>
      </c>
      <c r="C982" t="s">
        <v>2704</v>
      </c>
      <c r="D982" t="s">
        <v>2703</v>
      </c>
    </row>
    <row r="983" spans="1:6" x14ac:dyDescent="0.3">
      <c r="A983" t="str">
        <f>"26"</f>
        <v>26</v>
      </c>
      <c r="B983" t="str">
        <f>"26.0804"</f>
        <v>26.0804</v>
      </c>
      <c r="C983" t="s">
        <v>2702</v>
      </c>
      <c r="D983" t="s">
        <v>2701</v>
      </c>
      <c r="E983" t="s">
        <v>2700</v>
      </c>
    </row>
    <row r="984" spans="1:6" x14ac:dyDescent="0.3">
      <c r="A984" t="str">
        <f>"26"</f>
        <v>26</v>
      </c>
      <c r="B984" t="str">
        <f>"26.0805"</f>
        <v>26.0805</v>
      </c>
      <c r="C984" t="s">
        <v>2699</v>
      </c>
      <c r="D984" t="s">
        <v>2698</v>
      </c>
      <c r="E984" t="s">
        <v>2697</v>
      </c>
    </row>
    <row r="985" spans="1:6" x14ac:dyDescent="0.3">
      <c r="A985" t="str">
        <f>"26"</f>
        <v>26</v>
      </c>
      <c r="B985" t="str">
        <f>"26.0806"</f>
        <v>26.0806</v>
      </c>
      <c r="C985" t="s">
        <v>2696</v>
      </c>
      <c r="D985" t="s">
        <v>2695</v>
      </c>
      <c r="E985" t="s">
        <v>2694</v>
      </c>
    </row>
    <row r="986" spans="1:6" x14ac:dyDescent="0.3">
      <c r="A986" t="str">
        <f>"26"</f>
        <v>26</v>
      </c>
      <c r="B986" t="str">
        <f>"26.0807"</f>
        <v>26.0807</v>
      </c>
      <c r="C986" t="s">
        <v>2693</v>
      </c>
      <c r="D986" t="s">
        <v>2692</v>
      </c>
    </row>
    <row r="987" spans="1:6" x14ac:dyDescent="0.3">
      <c r="A987" t="str">
        <f>"26"</f>
        <v>26</v>
      </c>
      <c r="B987" t="str">
        <f>"26.0899"</f>
        <v>26.0899</v>
      </c>
      <c r="C987" t="s">
        <v>2691</v>
      </c>
      <c r="D987" t="s">
        <v>2690</v>
      </c>
    </row>
    <row r="988" spans="1:6" x14ac:dyDescent="0.3">
      <c r="A988" t="str">
        <f>"26"</f>
        <v>26</v>
      </c>
      <c r="B988" t="str">
        <f>"26.09"</f>
        <v>26.09</v>
      </c>
      <c r="C988" t="s">
        <v>2689</v>
      </c>
      <c r="D988" t="s">
        <v>2688</v>
      </c>
    </row>
    <row r="989" spans="1:6" x14ac:dyDescent="0.3">
      <c r="A989" t="str">
        <f>"26"</f>
        <v>26</v>
      </c>
      <c r="B989" t="str">
        <f>"26.0901"</f>
        <v>26.0901</v>
      </c>
      <c r="C989" t="s">
        <v>2687</v>
      </c>
      <c r="D989" t="s">
        <v>2686</v>
      </c>
    </row>
    <row r="990" spans="1:6" x14ac:dyDescent="0.3">
      <c r="A990" t="str">
        <f>"26"</f>
        <v>26</v>
      </c>
      <c r="B990" t="str">
        <f>"26.0902"</f>
        <v>26.0902</v>
      </c>
      <c r="C990" t="s">
        <v>2685</v>
      </c>
      <c r="D990" t="s">
        <v>2684</v>
      </c>
    </row>
    <row r="991" spans="1:6" x14ac:dyDescent="0.3">
      <c r="A991" t="str">
        <f>"26"</f>
        <v>26</v>
      </c>
      <c r="B991" t="str">
        <f>"26.0903"</f>
        <v>26.0903</v>
      </c>
      <c r="C991" t="s">
        <v>2683</v>
      </c>
      <c r="D991" t="s">
        <v>2682</v>
      </c>
    </row>
    <row r="992" spans="1:6" x14ac:dyDescent="0.3">
      <c r="A992" t="str">
        <f>"26"</f>
        <v>26</v>
      </c>
      <c r="B992" t="str">
        <f>"26.0904"</f>
        <v>26.0904</v>
      </c>
      <c r="C992" t="s">
        <v>2681</v>
      </c>
      <c r="D992" t="s">
        <v>2680</v>
      </c>
    </row>
    <row r="993" spans="1:5" x14ac:dyDescent="0.3">
      <c r="A993" t="str">
        <f>"26"</f>
        <v>26</v>
      </c>
      <c r="B993" t="str">
        <f>"26.0905"</f>
        <v>26.0905</v>
      </c>
      <c r="C993" t="s">
        <v>2679</v>
      </c>
      <c r="D993" t="s">
        <v>2678</v>
      </c>
    </row>
    <row r="994" spans="1:5" x14ac:dyDescent="0.3">
      <c r="A994" t="str">
        <f>"26"</f>
        <v>26</v>
      </c>
      <c r="B994" t="str">
        <f>"26.0907"</f>
        <v>26.0907</v>
      </c>
      <c r="C994" t="s">
        <v>2677</v>
      </c>
      <c r="D994" t="s">
        <v>2676</v>
      </c>
    </row>
    <row r="995" spans="1:5" x14ac:dyDescent="0.3">
      <c r="A995" t="str">
        <f>"26"</f>
        <v>26</v>
      </c>
      <c r="B995" t="str">
        <f>"26.0908"</f>
        <v>26.0908</v>
      </c>
      <c r="C995" t="s">
        <v>5889</v>
      </c>
      <c r="D995" t="s">
        <v>2675</v>
      </c>
      <c r="E995" t="s">
        <v>5888</v>
      </c>
    </row>
    <row r="996" spans="1:5" x14ac:dyDescent="0.3">
      <c r="A996" t="str">
        <f>"26"</f>
        <v>26</v>
      </c>
      <c r="B996" t="str">
        <f>"26.0909"</f>
        <v>26.0909</v>
      </c>
      <c r="C996" t="s">
        <v>2674</v>
      </c>
      <c r="D996" t="s">
        <v>2673</v>
      </c>
    </row>
    <row r="997" spans="1:5" x14ac:dyDescent="0.3">
      <c r="A997" t="str">
        <f>"26"</f>
        <v>26</v>
      </c>
      <c r="B997" t="str">
        <f>"26.0910"</f>
        <v>26.0910</v>
      </c>
      <c r="C997" t="s">
        <v>2672</v>
      </c>
      <c r="D997" t="s">
        <v>2671</v>
      </c>
    </row>
    <row r="998" spans="1:5" x14ac:dyDescent="0.3">
      <c r="A998" t="str">
        <f>"26"</f>
        <v>26</v>
      </c>
      <c r="B998" t="str">
        <f>"26.0911"</f>
        <v>26.0911</v>
      </c>
      <c r="C998" t="s">
        <v>2670</v>
      </c>
      <c r="D998" t="s">
        <v>2669</v>
      </c>
    </row>
    <row r="999" spans="1:5" x14ac:dyDescent="0.3">
      <c r="A999" t="str">
        <f>"26"</f>
        <v>26</v>
      </c>
      <c r="B999" t="str">
        <f>"26.0912"</f>
        <v>26.0912</v>
      </c>
      <c r="C999" t="s">
        <v>2668</v>
      </c>
      <c r="D999" t="s">
        <v>2667</v>
      </c>
    </row>
    <row r="1000" spans="1:5" x14ac:dyDescent="0.3">
      <c r="A1000" t="str">
        <f>"26"</f>
        <v>26</v>
      </c>
      <c r="B1000" t="str">
        <f>"26.0913"</f>
        <v>26.0913</v>
      </c>
      <c r="C1000" t="s">
        <v>5887</v>
      </c>
      <c r="D1000" t="s">
        <v>5886</v>
      </c>
      <c r="E1000" t="s">
        <v>5885</v>
      </c>
    </row>
    <row r="1001" spans="1:5" x14ac:dyDescent="0.3">
      <c r="A1001" t="str">
        <f>"26"</f>
        <v>26</v>
      </c>
      <c r="B1001" t="str">
        <f>"26.0999"</f>
        <v>26.0999</v>
      </c>
      <c r="C1001" t="s">
        <v>2666</v>
      </c>
      <c r="D1001" t="s">
        <v>2665</v>
      </c>
    </row>
    <row r="1002" spans="1:5" x14ac:dyDescent="0.3">
      <c r="A1002" t="str">
        <f>"26"</f>
        <v>26</v>
      </c>
      <c r="B1002" t="str">
        <f>"26.10"</f>
        <v>26.10</v>
      </c>
      <c r="C1002" t="s">
        <v>2650</v>
      </c>
      <c r="D1002" t="s">
        <v>2664</v>
      </c>
    </row>
    <row r="1003" spans="1:5" x14ac:dyDescent="0.3">
      <c r="A1003" t="str">
        <f>"26"</f>
        <v>26</v>
      </c>
      <c r="B1003" t="str">
        <f>"26.1001"</f>
        <v>26.1001</v>
      </c>
      <c r="C1003" t="s">
        <v>2663</v>
      </c>
      <c r="D1003" t="s">
        <v>2662</v>
      </c>
      <c r="E1003" t="s">
        <v>2661</v>
      </c>
    </row>
    <row r="1004" spans="1:5" x14ac:dyDescent="0.3">
      <c r="A1004" t="str">
        <f>"26"</f>
        <v>26</v>
      </c>
      <c r="B1004" t="str">
        <f>"26.1002"</f>
        <v>26.1002</v>
      </c>
      <c r="C1004" t="s">
        <v>2660</v>
      </c>
      <c r="D1004" t="s">
        <v>2659</v>
      </c>
    </row>
    <row r="1005" spans="1:5" x14ac:dyDescent="0.3">
      <c r="A1005" t="str">
        <f>"26"</f>
        <v>26</v>
      </c>
      <c r="B1005" t="str">
        <f>"26.1003"</f>
        <v>26.1003</v>
      </c>
      <c r="C1005" t="s">
        <v>2658</v>
      </c>
      <c r="D1005" t="s">
        <v>2657</v>
      </c>
    </row>
    <row r="1006" spans="1:5" x14ac:dyDescent="0.3">
      <c r="A1006" t="str">
        <f>"26"</f>
        <v>26</v>
      </c>
      <c r="B1006" t="str">
        <f>"26.1004"</f>
        <v>26.1004</v>
      </c>
      <c r="C1006" t="s">
        <v>2656</v>
      </c>
      <c r="D1006" t="s">
        <v>2655</v>
      </c>
    </row>
    <row r="1007" spans="1:5" x14ac:dyDescent="0.3">
      <c r="A1007" t="str">
        <f>"26"</f>
        <v>26</v>
      </c>
      <c r="B1007" t="str">
        <f>"26.1005"</f>
        <v>26.1005</v>
      </c>
      <c r="C1007" t="s">
        <v>2654</v>
      </c>
      <c r="D1007" t="s">
        <v>2653</v>
      </c>
    </row>
    <row r="1008" spans="1:5" x14ac:dyDescent="0.3">
      <c r="A1008" t="str">
        <f>"26"</f>
        <v>26</v>
      </c>
      <c r="B1008" t="str">
        <f>"26.1006"</f>
        <v>26.1006</v>
      </c>
      <c r="C1008" t="s">
        <v>2652</v>
      </c>
      <c r="D1008" t="s">
        <v>2651</v>
      </c>
    </row>
    <row r="1009" spans="1:6" x14ac:dyDescent="0.3">
      <c r="A1009" t="str">
        <f>"26"</f>
        <v>26</v>
      </c>
      <c r="B1009" t="str">
        <f>"26.1007"</f>
        <v>26.1007</v>
      </c>
      <c r="C1009" t="s">
        <v>2650</v>
      </c>
      <c r="D1009" t="s">
        <v>2649</v>
      </c>
      <c r="E1009" t="s">
        <v>2648</v>
      </c>
    </row>
    <row r="1010" spans="1:6" x14ac:dyDescent="0.3">
      <c r="A1010" t="str">
        <f>"26"</f>
        <v>26</v>
      </c>
      <c r="B1010" t="str">
        <f>"26.1099"</f>
        <v>26.1099</v>
      </c>
      <c r="C1010" t="s">
        <v>2647</v>
      </c>
      <c r="D1010" t="s">
        <v>2646</v>
      </c>
    </row>
    <row r="1011" spans="1:6" x14ac:dyDescent="0.3">
      <c r="A1011" t="str">
        <f>"26"</f>
        <v>26</v>
      </c>
      <c r="B1011" t="str">
        <f>"26.11"</f>
        <v>26.11</v>
      </c>
      <c r="C1011" t="s">
        <v>2645</v>
      </c>
      <c r="D1011" t="s">
        <v>2644</v>
      </c>
    </row>
    <row r="1012" spans="1:6" x14ac:dyDescent="0.3">
      <c r="A1012" t="str">
        <f>"26"</f>
        <v>26</v>
      </c>
      <c r="B1012" t="str">
        <f>"26.1101"</f>
        <v>26.1101</v>
      </c>
      <c r="C1012" t="s">
        <v>2643</v>
      </c>
      <c r="D1012" t="s">
        <v>2642</v>
      </c>
      <c r="E1012" t="s">
        <v>2641</v>
      </c>
    </row>
    <row r="1013" spans="1:6" x14ac:dyDescent="0.3">
      <c r="A1013" t="str">
        <f>"26"</f>
        <v>26</v>
      </c>
      <c r="B1013" t="str">
        <f>"26.1102"</f>
        <v>26.1102</v>
      </c>
      <c r="C1013" t="s">
        <v>2640</v>
      </c>
      <c r="D1013" t="s">
        <v>2639</v>
      </c>
      <c r="E1013" t="s">
        <v>390</v>
      </c>
    </row>
    <row r="1014" spans="1:6" x14ac:dyDescent="0.3">
      <c r="A1014" t="str">
        <f>"26"</f>
        <v>26</v>
      </c>
      <c r="B1014" t="str">
        <f>"26.1103"</f>
        <v>26.1103</v>
      </c>
      <c r="C1014" t="s">
        <v>2638</v>
      </c>
      <c r="D1014" t="s">
        <v>2637</v>
      </c>
      <c r="E1014" t="s">
        <v>2636</v>
      </c>
    </row>
    <row r="1015" spans="1:6" x14ac:dyDescent="0.3">
      <c r="A1015" t="str">
        <f>"26"</f>
        <v>26</v>
      </c>
      <c r="B1015" t="str">
        <f>"26.1104"</f>
        <v>26.1104</v>
      </c>
      <c r="C1015" t="s">
        <v>2634</v>
      </c>
      <c r="D1015" t="s">
        <v>2633</v>
      </c>
      <c r="F1015" t="s">
        <v>2632</v>
      </c>
    </row>
    <row r="1016" spans="1:6" x14ac:dyDescent="0.3">
      <c r="A1016" t="str">
        <f>"26"</f>
        <v>26</v>
      </c>
      <c r="B1016" t="str">
        <f>"26.1199"</f>
        <v>26.1199</v>
      </c>
      <c r="C1016" t="s">
        <v>2631</v>
      </c>
      <c r="D1016" t="s">
        <v>2630</v>
      </c>
      <c r="F1016" t="s">
        <v>2624</v>
      </c>
    </row>
    <row r="1017" spans="1:6" x14ac:dyDescent="0.3">
      <c r="A1017" t="str">
        <f>"26"</f>
        <v>26</v>
      </c>
      <c r="B1017" t="str">
        <f>"26.12"</f>
        <v>26.12</v>
      </c>
      <c r="C1017" t="s">
        <v>2628</v>
      </c>
      <c r="D1017" t="s">
        <v>2629</v>
      </c>
    </row>
    <row r="1018" spans="1:6" x14ac:dyDescent="0.3">
      <c r="A1018" t="str">
        <f>"26"</f>
        <v>26</v>
      </c>
      <c r="B1018" t="str">
        <f>"26.1201"</f>
        <v>26.1201</v>
      </c>
      <c r="C1018" t="s">
        <v>2628</v>
      </c>
      <c r="D1018" t="s">
        <v>2627</v>
      </c>
    </row>
    <row r="1019" spans="1:6" x14ac:dyDescent="0.3">
      <c r="A1019" t="str">
        <f>"26"</f>
        <v>26</v>
      </c>
      <c r="B1019" t="str">
        <f>"26.13"</f>
        <v>26.13</v>
      </c>
      <c r="C1019" t="s">
        <v>2626</v>
      </c>
      <c r="D1019" t="s">
        <v>2625</v>
      </c>
    </row>
    <row r="1020" spans="1:6" x14ac:dyDescent="0.3">
      <c r="A1020" t="str">
        <f>"26"</f>
        <v>26</v>
      </c>
      <c r="B1020" t="str">
        <f>"26.1301"</f>
        <v>26.1301</v>
      </c>
      <c r="C1020" t="s">
        <v>2623</v>
      </c>
      <c r="D1020" t="s">
        <v>2622</v>
      </c>
      <c r="F1020" t="s">
        <v>2616</v>
      </c>
    </row>
    <row r="1021" spans="1:6" x14ac:dyDescent="0.3">
      <c r="A1021" t="str">
        <f>"26"</f>
        <v>26</v>
      </c>
      <c r="B1021" t="str">
        <f>"26.1302"</f>
        <v>26.1302</v>
      </c>
      <c r="C1021" t="s">
        <v>2621</v>
      </c>
      <c r="D1021" t="s">
        <v>2620</v>
      </c>
      <c r="E1021" t="s">
        <v>2619</v>
      </c>
    </row>
    <row r="1022" spans="1:6" x14ac:dyDescent="0.3">
      <c r="A1022" t="str">
        <f>"26"</f>
        <v>26</v>
      </c>
      <c r="B1022" t="str">
        <f>"26.1303"</f>
        <v>26.1303</v>
      </c>
      <c r="C1022" t="s">
        <v>2618</v>
      </c>
      <c r="D1022" t="s">
        <v>2617</v>
      </c>
    </row>
    <row r="1023" spans="1:6" x14ac:dyDescent="0.3">
      <c r="A1023" t="str">
        <f>"26"</f>
        <v>26</v>
      </c>
      <c r="B1023" t="str">
        <f>"26.1304"</f>
        <v>26.1304</v>
      </c>
      <c r="C1023" t="s">
        <v>2615</v>
      </c>
      <c r="D1023" t="s">
        <v>2614</v>
      </c>
      <c r="E1023" t="s">
        <v>2613</v>
      </c>
      <c r="F1023" t="s">
        <v>2612</v>
      </c>
    </row>
    <row r="1024" spans="1:6" x14ac:dyDescent="0.3">
      <c r="A1024" t="str">
        <f>"26"</f>
        <v>26</v>
      </c>
      <c r="B1024" t="str">
        <f>"26.1305"</f>
        <v>26.1305</v>
      </c>
      <c r="C1024" t="s">
        <v>2611</v>
      </c>
      <c r="D1024" t="s">
        <v>2610</v>
      </c>
      <c r="E1024" t="s">
        <v>2609</v>
      </c>
      <c r="F1024" t="s">
        <v>2590</v>
      </c>
    </row>
    <row r="1025" spans="1:6" x14ac:dyDescent="0.3">
      <c r="A1025" t="str">
        <f>"26"</f>
        <v>26</v>
      </c>
      <c r="B1025" t="str">
        <f>"26.1306"</f>
        <v>26.1306</v>
      </c>
      <c r="C1025" t="s">
        <v>2608</v>
      </c>
      <c r="D1025" t="s">
        <v>2607</v>
      </c>
    </row>
    <row r="1026" spans="1:6" x14ac:dyDescent="0.3">
      <c r="A1026" t="str">
        <f>"26"</f>
        <v>26</v>
      </c>
      <c r="B1026" t="str">
        <f>"26.1307"</f>
        <v>26.1307</v>
      </c>
      <c r="C1026" t="s">
        <v>2606</v>
      </c>
      <c r="D1026" t="s">
        <v>2605</v>
      </c>
      <c r="E1026" t="s">
        <v>5884</v>
      </c>
    </row>
    <row r="1027" spans="1:6" x14ac:dyDescent="0.3">
      <c r="A1027" t="str">
        <f>"26"</f>
        <v>26</v>
      </c>
      <c r="B1027" t="str">
        <f>"26.1308"</f>
        <v>26.1308</v>
      </c>
      <c r="C1027" t="s">
        <v>2604</v>
      </c>
      <c r="D1027" t="s">
        <v>2603</v>
      </c>
    </row>
    <row r="1028" spans="1:6" x14ac:dyDescent="0.3">
      <c r="A1028" t="str">
        <f>"26"</f>
        <v>26</v>
      </c>
      <c r="B1028" t="str">
        <f>"26.1309"</f>
        <v>26.1309</v>
      </c>
      <c r="C1028" t="s">
        <v>2602</v>
      </c>
      <c r="D1028" t="s">
        <v>2601</v>
      </c>
      <c r="E1028" t="s">
        <v>1737</v>
      </c>
    </row>
    <row r="1029" spans="1:6" x14ac:dyDescent="0.3">
      <c r="A1029" t="str">
        <f>"26"</f>
        <v>26</v>
      </c>
      <c r="B1029" t="str">
        <f>"26.1310"</f>
        <v>26.1310</v>
      </c>
      <c r="C1029" t="s">
        <v>2600</v>
      </c>
      <c r="D1029" t="s">
        <v>2599</v>
      </c>
      <c r="E1029" t="s">
        <v>2598</v>
      </c>
    </row>
    <row r="1030" spans="1:6" x14ac:dyDescent="0.3">
      <c r="A1030" t="str">
        <f>"26"</f>
        <v>26</v>
      </c>
      <c r="B1030" t="str">
        <f>"26.1311"</f>
        <v>26.1311</v>
      </c>
      <c r="C1030" t="s">
        <v>5883</v>
      </c>
      <c r="D1030" t="s">
        <v>5882</v>
      </c>
    </row>
    <row r="1031" spans="1:6" x14ac:dyDescent="0.3">
      <c r="A1031" t="str">
        <f>"26"</f>
        <v>26</v>
      </c>
      <c r="B1031" t="str">
        <f>"26.1399"</f>
        <v>26.1399</v>
      </c>
      <c r="C1031" t="s">
        <v>2597</v>
      </c>
      <c r="D1031" t="s">
        <v>2596</v>
      </c>
    </row>
    <row r="1032" spans="1:6" x14ac:dyDescent="0.3">
      <c r="A1032" t="str">
        <f>"26"</f>
        <v>26</v>
      </c>
      <c r="B1032" t="str">
        <f>"26.14"</f>
        <v>26.14</v>
      </c>
      <c r="C1032" t="s">
        <v>2594</v>
      </c>
      <c r="D1032" t="s">
        <v>2595</v>
      </c>
    </row>
    <row r="1033" spans="1:6" x14ac:dyDescent="0.3">
      <c r="A1033" t="str">
        <f>"26"</f>
        <v>26</v>
      </c>
      <c r="B1033" t="str">
        <f>"26.1401"</f>
        <v>26.1401</v>
      </c>
      <c r="C1033" t="s">
        <v>2594</v>
      </c>
      <c r="D1033" t="s">
        <v>2593</v>
      </c>
    </row>
    <row r="1034" spans="1:6" x14ac:dyDescent="0.3">
      <c r="A1034" t="str">
        <f>"26"</f>
        <v>26</v>
      </c>
      <c r="B1034" t="str">
        <f>"26.15"</f>
        <v>26.15</v>
      </c>
      <c r="C1034" t="s">
        <v>2592</v>
      </c>
      <c r="D1034" t="s">
        <v>2591</v>
      </c>
    </row>
    <row r="1035" spans="1:6" x14ac:dyDescent="0.3">
      <c r="A1035" t="str">
        <f>"26"</f>
        <v>26</v>
      </c>
      <c r="B1035" t="str">
        <f>"26.1501"</f>
        <v>26.1501</v>
      </c>
      <c r="C1035" t="s">
        <v>2320</v>
      </c>
      <c r="D1035" t="s">
        <v>2589</v>
      </c>
      <c r="F1035" t="s">
        <v>2586</v>
      </c>
    </row>
    <row r="1036" spans="1:6" x14ac:dyDescent="0.3">
      <c r="A1036" t="str">
        <f>"26"</f>
        <v>26</v>
      </c>
      <c r="B1036" t="str">
        <f>"26.1502"</f>
        <v>26.1502</v>
      </c>
      <c r="C1036" t="s">
        <v>2588</v>
      </c>
      <c r="D1036" t="s">
        <v>2587</v>
      </c>
    </row>
    <row r="1037" spans="1:6" x14ac:dyDescent="0.3">
      <c r="A1037" t="str">
        <f>"26"</f>
        <v>26</v>
      </c>
      <c r="B1037" t="str">
        <f>"26.1503"</f>
        <v>26.1503</v>
      </c>
      <c r="C1037" t="s">
        <v>2585</v>
      </c>
      <c r="D1037" t="s">
        <v>2584</v>
      </c>
      <c r="F1037" t="s">
        <v>2581</v>
      </c>
    </row>
    <row r="1038" spans="1:6" x14ac:dyDescent="0.3">
      <c r="A1038" t="str">
        <f>"26"</f>
        <v>26</v>
      </c>
      <c r="B1038" t="str">
        <f>"26.1504"</f>
        <v>26.1504</v>
      </c>
      <c r="C1038" t="s">
        <v>2583</v>
      </c>
      <c r="D1038" t="s">
        <v>2582</v>
      </c>
      <c r="E1038" t="s">
        <v>5881</v>
      </c>
    </row>
    <row r="1039" spans="1:6" x14ac:dyDescent="0.3">
      <c r="A1039" t="str">
        <f>"26"</f>
        <v>26</v>
      </c>
      <c r="B1039" t="str">
        <f>"26.1599"</f>
        <v>26.1599</v>
      </c>
      <c r="C1039" t="s">
        <v>2580</v>
      </c>
      <c r="D1039" t="s">
        <v>2579</v>
      </c>
      <c r="F1039" t="s">
        <v>2557</v>
      </c>
    </row>
    <row r="1040" spans="1:6" x14ac:dyDescent="0.3">
      <c r="A1040" t="str">
        <f>"26"</f>
        <v>26</v>
      </c>
      <c r="B1040" t="str">
        <f>"26.99"</f>
        <v>26.99</v>
      </c>
      <c r="C1040" t="s">
        <v>2577</v>
      </c>
      <c r="D1040" t="s">
        <v>2578</v>
      </c>
    </row>
    <row r="1041" spans="1:6" x14ac:dyDescent="0.3">
      <c r="A1041" t="str">
        <f>"26"</f>
        <v>26</v>
      </c>
      <c r="B1041" t="str">
        <f>"26.9999"</f>
        <v>26.9999</v>
      </c>
      <c r="C1041" t="s">
        <v>2577</v>
      </c>
      <c r="D1041" t="s">
        <v>2576</v>
      </c>
    </row>
    <row r="1042" spans="1:6" x14ac:dyDescent="0.3">
      <c r="A1042" t="str">
        <f>"27"</f>
        <v>27</v>
      </c>
      <c r="B1042" t="str">
        <f>"27"</f>
        <v>27</v>
      </c>
      <c r="C1042" t="s">
        <v>2575</v>
      </c>
      <c r="D1042" t="s">
        <v>2574</v>
      </c>
    </row>
    <row r="1043" spans="1:6" x14ac:dyDescent="0.3">
      <c r="A1043" t="str">
        <f>"27"</f>
        <v>27</v>
      </c>
      <c r="B1043" t="str">
        <f>"27.01"</f>
        <v>27.01</v>
      </c>
      <c r="C1043" t="s">
        <v>2573</v>
      </c>
      <c r="D1043" t="s">
        <v>2572</v>
      </c>
    </row>
    <row r="1044" spans="1:6" x14ac:dyDescent="0.3">
      <c r="A1044" t="str">
        <f>"27"</f>
        <v>27</v>
      </c>
      <c r="B1044" t="str">
        <f>"27.0101"</f>
        <v>27.0101</v>
      </c>
      <c r="C1044" t="s">
        <v>2571</v>
      </c>
      <c r="D1044" t="s">
        <v>2570</v>
      </c>
    </row>
    <row r="1045" spans="1:6" x14ac:dyDescent="0.3">
      <c r="A1045" t="str">
        <f>"27"</f>
        <v>27</v>
      </c>
      <c r="B1045" t="str">
        <f>"27.0102"</f>
        <v>27.0102</v>
      </c>
      <c r="C1045" t="s">
        <v>2569</v>
      </c>
      <c r="D1045" t="s">
        <v>2568</v>
      </c>
    </row>
    <row r="1046" spans="1:6" x14ac:dyDescent="0.3">
      <c r="A1046" t="str">
        <f>"27"</f>
        <v>27</v>
      </c>
      <c r="B1046" t="str">
        <f>"27.0103"</f>
        <v>27.0103</v>
      </c>
      <c r="C1046" t="s">
        <v>2567</v>
      </c>
      <c r="D1046" t="s">
        <v>2566</v>
      </c>
    </row>
    <row r="1047" spans="1:6" x14ac:dyDescent="0.3">
      <c r="A1047" t="str">
        <f>"27"</f>
        <v>27</v>
      </c>
      <c r="B1047" t="str">
        <f>"27.0104"</f>
        <v>27.0104</v>
      </c>
      <c r="C1047" t="s">
        <v>2565</v>
      </c>
      <c r="D1047" t="s">
        <v>2564</v>
      </c>
    </row>
    <row r="1048" spans="1:6" x14ac:dyDescent="0.3">
      <c r="A1048" t="str">
        <f>"27"</f>
        <v>27</v>
      </c>
      <c r="B1048" t="str">
        <f>"27.0105"</f>
        <v>27.0105</v>
      </c>
      <c r="C1048" t="s">
        <v>2563</v>
      </c>
      <c r="D1048" t="s">
        <v>2562</v>
      </c>
    </row>
    <row r="1049" spans="1:6" x14ac:dyDescent="0.3">
      <c r="A1049" t="str">
        <f>"27"</f>
        <v>27</v>
      </c>
      <c r="B1049" t="str">
        <f>"27.0199"</f>
        <v>27.0199</v>
      </c>
      <c r="C1049" t="s">
        <v>2561</v>
      </c>
      <c r="D1049" t="s">
        <v>2560</v>
      </c>
    </row>
    <row r="1050" spans="1:6" x14ac:dyDescent="0.3">
      <c r="A1050" t="str">
        <f>"27"</f>
        <v>27</v>
      </c>
      <c r="B1050" t="str">
        <f>"27.03"</f>
        <v>27.03</v>
      </c>
      <c r="C1050" t="s">
        <v>2559</v>
      </c>
      <c r="D1050" t="s">
        <v>2558</v>
      </c>
    </row>
    <row r="1051" spans="1:6" x14ac:dyDescent="0.3">
      <c r="A1051" t="str">
        <f>"27"</f>
        <v>27</v>
      </c>
      <c r="B1051" t="str">
        <f>"27.0301"</f>
        <v>27.0301</v>
      </c>
      <c r="C1051" t="s">
        <v>2556</v>
      </c>
      <c r="D1051" t="s">
        <v>5880</v>
      </c>
      <c r="F1051" t="s">
        <v>2550</v>
      </c>
    </row>
    <row r="1052" spans="1:6" x14ac:dyDescent="0.3">
      <c r="A1052" t="str">
        <f>"27"</f>
        <v>27</v>
      </c>
      <c r="B1052" t="str">
        <f>"27.0303"</f>
        <v>27.0303</v>
      </c>
      <c r="C1052" t="s">
        <v>2555</v>
      </c>
      <c r="D1052" t="s">
        <v>2554</v>
      </c>
    </row>
    <row r="1053" spans="1:6" x14ac:dyDescent="0.3">
      <c r="A1053" t="str">
        <f>"27"</f>
        <v>27</v>
      </c>
      <c r="B1053" t="str">
        <f>"27.0304"</f>
        <v>27.0304</v>
      </c>
      <c r="C1053" t="s">
        <v>2553</v>
      </c>
      <c r="D1053" t="s">
        <v>2552</v>
      </c>
      <c r="E1053" t="s">
        <v>2551</v>
      </c>
    </row>
    <row r="1054" spans="1:6" x14ac:dyDescent="0.3">
      <c r="A1054" t="str">
        <f>"27"</f>
        <v>27</v>
      </c>
      <c r="B1054" t="str">
        <f>"27.0305"</f>
        <v>27.0305</v>
      </c>
      <c r="C1054" t="s">
        <v>2549</v>
      </c>
      <c r="D1054" t="s">
        <v>2548</v>
      </c>
      <c r="F1054" t="s">
        <v>2530</v>
      </c>
    </row>
    <row r="1055" spans="1:6" x14ac:dyDescent="0.3">
      <c r="A1055" t="str">
        <f>"27"</f>
        <v>27</v>
      </c>
      <c r="B1055" t="str">
        <f>"27.0306"</f>
        <v>27.0306</v>
      </c>
      <c r="C1055" t="s">
        <v>2547</v>
      </c>
      <c r="D1055" t="s">
        <v>2546</v>
      </c>
      <c r="E1055" t="s">
        <v>2545</v>
      </c>
    </row>
    <row r="1056" spans="1:6" x14ac:dyDescent="0.3">
      <c r="A1056" t="str">
        <f>"27"</f>
        <v>27</v>
      </c>
      <c r="B1056" t="str">
        <f>"27.0399"</f>
        <v>27.0399</v>
      </c>
      <c r="C1056" t="s">
        <v>2544</v>
      </c>
      <c r="D1056" t="s">
        <v>2543</v>
      </c>
      <c r="F1056" t="s">
        <v>5879</v>
      </c>
    </row>
    <row r="1057" spans="1:5" x14ac:dyDescent="0.3">
      <c r="A1057" t="str">
        <f>"27"</f>
        <v>27</v>
      </c>
      <c r="B1057" t="str">
        <f>"27.05"</f>
        <v>27.05</v>
      </c>
      <c r="C1057" t="s">
        <v>2542</v>
      </c>
      <c r="D1057" t="s">
        <v>2541</v>
      </c>
    </row>
    <row r="1058" spans="1:5" x14ac:dyDescent="0.3">
      <c r="A1058" t="str">
        <f>"27"</f>
        <v>27</v>
      </c>
      <c r="B1058" t="str">
        <f>"27.0501"</f>
        <v>27.0501</v>
      </c>
      <c r="C1058" t="s">
        <v>2540</v>
      </c>
      <c r="D1058" t="s">
        <v>2539</v>
      </c>
      <c r="E1058" t="s">
        <v>5878</v>
      </c>
    </row>
    <row r="1059" spans="1:5" x14ac:dyDescent="0.3">
      <c r="A1059" t="str">
        <f>"27"</f>
        <v>27</v>
      </c>
      <c r="B1059" t="str">
        <f>"27.0502"</f>
        <v>27.0502</v>
      </c>
      <c r="C1059" t="s">
        <v>2538</v>
      </c>
      <c r="D1059" t="s">
        <v>2537</v>
      </c>
    </row>
    <row r="1060" spans="1:5" x14ac:dyDescent="0.3">
      <c r="A1060" t="str">
        <f>"27"</f>
        <v>27</v>
      </c>
      <c r="B1060" t="str">
        <f>"27.0503"</f>
        <v>27.0503</v>
      </c>
      <c r="C1060" t="s">
        <v>2536</v>
      </c>
      <c r="D1060" t="s">
        <v>2535</v>
      </c>
      <c r="E1060" t="s">
        <v>2534</v>
      </c>
    </row>
    <row r="1061" spans="1:5" x14ac:dyDescent="0.3">
      <c r="A1061" t="str">
        <f>"27"</f>
        <v>27</v>
      </c>
      <c r="B1061" t="str">
        <f>"27.0599"</f>
        <v>27.0599</v>
      </c>
      <c r="C1061" t="s">
        <v>2533</v>
      </c>
      <c r="D1061" t="s">
        <v>2532</v>
      </c>
    </row>
    <row r="1062" spans="1:5" x14ac:dyDescent="0.3">
      <c r="A1062" t="str">
        <f>"27"</f>
        <v>27</v>
      </c>
      <c r="B1062" t="str">
        <f>"27.06"</f>
        <v>27.06</v>
      </c>
      <c r="C1062" t="s">
        <v>5877</v>
      </c>
      <c r="D1062" t="s">
        <v>5876</v>
      </c>
    </row>
    <row r="1063" spans="1:5" x14ac:dyDescent="0.3">
      <c r="A1063" t="str">
        <f>"27"</f>
        <v>27</v>
      </c>
      <c r="B1063" t="str">
        <f>"27.0601"</f>
        <v>27.0601</v>
      </c>
      <c r="C1063" t="s">
        <v>5875</v>
      </c>
      <c r="D1063" t="s">
        <v>5874</v>
      </c>
    </row>
    <row r="1064" spans="1:5" x14ac:dyDescent="0.3">
      <c r="A1064" t="str">
        <f>"27"</f>
        <v>27</v>
      </c>
      <c r="B1064" t="str">
        <f>"27.99"</f>
        <v>27.99</v>
      </c>
      <c r="C1064" t="s">
        <v>2529</v>
      </c>
      <c r="D1064" t="s">
        <v>2531</v>
      </c>
    </row>
    <row r="1065" spans="1:5" x14ac:dyDescent="0.3">
      <c r="A1065" t="str">
        <f>"27"</f>
        <v>27</v>
      </c>
      <c r="B1065" t="str">
        <f>"27.9999"</f>
        <v>27.9999</v>
      </c>
      <c r="C1065" t="s">
        <v>2529</v>
      </c>
      <c r="D1065" t="s">
        <v>2528</v>
      </c>
    </row>
    <row r="1066" spans="1:5" x14ac:dyDescent="0.3">
      <c r="A1066" t="str">
        <f>"28"</f>
        <v>28</v>
      </c>
      <c r="B1066" t="str">
        <f>"28"</f>
        <v>28</v>
      </c>
      <c r="C1066" t="s">
        <v>2527</v>
      </c>
      <c r="D1066" t="s">
        <v>2526</v>
      </c>
    </row>
    <row r="1067" spans="1:5" x14ac:dyDescent="0.3">
      <c r="A1067" t="str">
        <f>"28"</f>
        <v>28</v>
      </c>
      <c r="B1067" t="str">
        <f>"28.01"</f>
        <v>28.01</v>
      </c>
      <c r="C1067" t="s">
        <v>2525</v>
      </c>
      <c r="D1067" t="s">
        <v>2524</v>
      </c>
    </row>
    <row r="1068" spans="1:5" x14ac:dyDescent="0.3">
      <c r="A1068" t="str">
        <f>"28"</f>
        <v>28</v>
      </c>
      <c r="B1068" t="str">
        <f>"28.0101"</f>
        <v>28.0101</v>
      </c>
      <c r="C1068" t="s">
        <v>2523</v>
      </c>
      <c r="D1068" t="s">
        <v>2522</v>
      </c>
    </row>
    <row r="1069" spans="1:5" x14ac:dyDescent="0.3">
      <c r="A1069" t="str">
        <f>"28"</f>
        <v>28</v>
      </c>
      <c r="B1069" t="str">
        <f>"28.0199"</f>
        <v>28.0199</v>
      </c>
      <c r="C1069" t="s">
        <v>2521</v>
      </c>
      <c r="D1069" t="s">
        <v>2520</v>
      </c>
    </row>
    <row r="1070" spans="1:5" x14ac:dyDescent="0.3">
      <c r="A1070" t="str">
        <f>"28"</f>
        <v>28</v>
      </c>
      <c r="B1070" t="str">
        <f>"28.03"</f>
        <v>28.03</v>
      </c>
      <c r="C1070" t="s">
        <v>2519</v>
      </c>
      <c r="D1070" t="s">
        <v>2518</v>
      </c>
    </row>
    <row r="1071" spans="1:5" x14ac:dyDescent="0.3">
      <c r="A1071" t="str">
        <f>"28"</f>
        <v>28</v>
      </c>
      <c r="B1071" t="str">
        <f>"28.0301"</f>
        <v>28.0301</v>
      </c>
      <c r="C1071" t="s">
        <v>2517</v>
      </c>
      <c r="D1071" t="s">
        <v>2516</v>
      </c>
    </row>
    <row r="1072" spans="1:5" x14ac:dyDescent="0.3">
      <c r="A1072" t="str">
        <f>"28"</f>
        <v>28</v>
      </c>
      <c r="B1072" t="str">
        <f>"28.0399"</f>
        <v>28.0399</v>
      </c>
      <c r="C1072" t="s">
        <v>2515</v>
      </c>
      <c r="D1072" t="s">
        <v>2514</v>
      </c>
    </row>
    <row r="1073" spans="1:6" x14ac:dyDescent="0.3">
      <c r="A1073" t="str">
        <f>"28"</f>
        <v>28</v>
      </c>
      <c r="B1073" t="str">
        <f>"28.04"</f>
        <v>28.04</v>
      </c>
      <c r="C1073" t="s">
        <v>2513</v>
      </c>
      <c r="D1073" t="s">
        <v>2512</v>
      </c>
    </row>
    <row r="1074" spans="1:6" x14ac:dyDescent="0.3">
      <c r="A1074" t="str">
        <f>"28"</f>
        <v>28</v>
      </c>
      <c r="B1074" t="str">
        <f>"28.0401"</f>
        <v>28.0401</v>
      </c>
      <c r="C1074" t="s">
        <v>2511</v>
      </c>
      <c r="D1074" t="s">
        <v>2510</v>
      </c>
    </row>
    <row r="1075" spans="1:6" x14ac:dyDescent="0.3">
      <c r="A1075" t="str">
        <f>"28"</f>
        <v>28</v>
      </c>
      <c r="B1075" t="str">
        <f>"28.0499"</f>
        <v>28.0499</v>
      </c>
      <c r="C1075" t="s">
        <v>2509</v>
      </c>
      <c r="D1075" t="s">
        <v>2508</v>
      </c>
    </row>
    <row r="1076" spans="1:6" x14ac:dyDescent="0.3">
      <c r="A1076" t="str">
        <f>"28"</f>
        <v>28</v>
      </c>
      <c r="B1076" t="str">
        <f>"28.05"</f>
        <v>28.05</v>
      </c>
      <c r="C1076" t="s">
        <v>2507</v>
      </c>
      <c r="D1076" t="s">
        <v>2506</v>
      </c>
    </row>
    <row r="1077" spans="1:6" x14ac:dyDescent="0.3">
      <c r="A1077" t="str">
        <f>"28"</f>
        <v>28</v>
      </c>
      <c r="B1077" t="str">
        <f>"28.0501"</f>
        <v>28.0501</v>
      </c>
      <c r="C1077" t="s">
        <v>2505</v>
      </c>
      <c r="D1077" t="s">
        <v>2504</v>
      </c>
      <c r="F1077" t="s">
        <v>2495</v>
      </c>
    </row>
    <row r="1078" spans="1:6" x14ac:dyDescent="0.3">
      <c r="A1078" t="str">
        <f>"28"</f>
        <v>28</v>
      </c>
      <c r="B1078" t="str">
        <f>"28.0502"</f>
        <v>28.0502</v>
      </c>
      <c r="C1078" t="s">
        <v>2503</v>
      </c>
      <c r="D1078" t="s">
        <v>2502</v>
      </c>
    </row>
    <row r="1079" spans="1:6" x14ac:dyDescent="0.3">
      <c r="A1079" t="str">
        <f>"28"</f>
        <v>28</v>
      </c>
      <c r="B1079" t="str">
        <f>"28.0503"</f>
        <v>28.0503</v>
      </c>
      <c r="C1079" t="s">
        <v>2501</v>
      </c>
      <c r="D1079" t="s">
        <v>2500</v>
      </c>
    </row>
    <row r="1080" spans="1:6" x14ac:dyDescent="0.3">
      <c r="A1080" t="str">
        <f>"28"</f>
        <v>28</v>
      </c>
      <c r="B1080" t="str">
        <f>"28.0504"</f>
        <v>28.0504</v>
      </c>
      <c r="C1080" t="s">
        <v>2499</v>
      </c>
      <c r="D1080" t="s">
        <v>2498</v>
      </c>
    </row>
    <row r="1081" spans="1:6" x14ac:dyDescent="0.3">
      <c r="A1081" t="str">
        <f>"28"</f>
        <v>28</v>
      </c>
      <c r="B1081" t="str">
        <f>"28.0505"</f>
        <v>28.0505</v>
      </c>
      <c r="C1081" t="s">
        <v>2497</v>
      </c>
      <c r="D1081" t="s">
        <v>2496</v>
      </c>
    </row>
    <row r="1082" spans="1:6" x14ac:dyDescent="0.3">
      <c r="A1082" t="str">
        <f>"28"</f>
        <v>28</v>
      </c>
      <c r="B1082" t="str">
        <f>"28.0506"</f>
        <v>28.0506</v>
      </c>
      <c r="C1082" t="s">
        <v>2494</v>
      </c>
      <c r="D1082" t="s">
        <v>2493</v>
      </c>
      <c r="F1082" t="s">
        <v>2481</v>
      </c>
    </row>
    <row r="1083" spans="1:6" x14ac:dyDescent="0.3">
      <c r="A1083" t="str">
        <f>"28"</f>
        <v>28</v>
      </c>
      <c r="B1083" t="str">
        <f>"28.0599"</f>
        <v>28.0599</v>
      </c>
      <c r="C1083" t="s">
        <v>2492</v>
      </c>
      <c r="D1083" t="s">
        <v>2491</v>
      </c>
    </row>
    <row r="1084" spans="1:6" x14ac:dyDescent="0.3">
      <c r="A1084" t="str">
        <f>"28"</f>
        <v>28</v>
      </c>
      <c r="B1084" t="str">
        <f>"28.06"</f>
        <v>28.06</v>
      </c>
      <c r="C1084" t="s">
        <v>2490</v>
      </c>
      <c r="D1084" t="s">
        <v>2489</v>
      </c>
    </row>
    <row r="1085" spans="1:6" x14ac:dyDescent="0.3">
      <c r="A1085" t="str">
        <f>"28"</f>
        <v>28</v>
      </c>
      <c r="B1085" t="str">
        <f>"28.0601"</f>
        <v>28.0601</v>
      </c>
      <c r="C1085" t="s">
        <v>2488</v>
      </c>
      <c r="D1085" t="s">
        <v>2487</v>
      </c>
      <c r="E1085" t="s">
        <v>2486</v>
      </c>
    </row>
    <row r="1086" spans="1:6" x14ac:dyDescent="0.3">
      <c r="A1086" t="str">
        <f>"28"</f>
        <v>28</v>
      </c>
      <c r="B1086" t="str">
        <f>"28.0602"</f>
        <v>28.0602</v>
      </c>
      <c r="C1086" t="s">
        <v>2485</v>
      </c>
      <c r="D1086" t="s">
        <v>2484</v>
      </c>
    </row>
    <row r="1087" spans="1:6" x14ac:dyDescent="0.3">
      <c r="A1087" t="str">
        <f>"28"</f>
        <v>28</v>
      </c>
      <c r="B1087" t="str">
        <f>"28.0603"</f>
        <v>28.0603</v>
      </c>
      <c r="C1087" t="s">
        <v>2483</v>
      </c>
      <c r="D1087" t="s">
        <v>2482</v>
      </c>
    </row>
    <row r="1088" spans="1:6" x14ac:dyDescent="0.3">
      <c r="A1088" t="str">
        <f>"28"</f>
        <v>28</v>
      </c>
      <c r="B1088" t="str">
        <f>"28.0604"</f>
        <v>28.0604</v>
      </c>
      <c r="C1088" t="s">
        <v>2480</v>
      </c>
      <c r="D1088" t="s">
        <v>2479</v>
      </c>
      <c r="F1088" t="s">
        <v>5873</v>
      </c>
    </row>
    <row r="1089" spans="1:6" x14ac:dyDescent="0.3">
      <c r="A1089" t="str">
        <f>"28"</f>
        <v>28</v>
      </c>
      <c r="B1089" t="str">
        <f>"28.0605"</f>
        <v>28.0605</v>
      </c>
      <c r="C1089" t="s">
        <v>2478</v>
      </c>
      <c r="D1089" t="s">
        <v>2477</v>
      </c>
      <c r="F1089" t="s">
        <v>2453</v>
      </c>
    </row>
    <row r="1090" spans="1:6" x14ac:dyDescent="0.3">
      <c r="A1090" t="str">
        <f>"28"</f>
        <v>28</v>
      </c>
      <c r="B1090" t="str">
        <f>"28.0699"</f>
        <v>28.0699</v>
      </c>
      <c r="C1090" t="s">
        <v>2476</v>
      </c>
      <c r="D1090" t="s">
        <v>2475</v>
      </c>
    </row>
    <row r="1091" spans="1:6" x14ac:dyDescent="0.3">
      <c r="A1091" t="str">
        <f>"28"</f>
        <v>28</v>
      </c>
      <c r="B1091" t="str">
        <f>"28.07"</f>
        <v>28.07</v>
      </c>
      <c r="C1091" t="s">
        <v>2474</v>
      </c>
      <c r="D1091" t="s">
        <v>2473</v>
      </c>
    </row>
    <row r="1092" spans="1:6" x14ac:dyDescent="0.3">
      <c r="A1092" t="str">
        <f>"28"</f>
        <v>28</v>
      </c>
      <c r="B1092" t="str">
        <f>"28.0701"</f>
        <v>28.0701</v>
      </c>
      <c r="C1092" t="s">
        <v>2472</v>
      </c>
      <c r="D1092" t="s">
        <v>2471</v>
      </c>
    </row>
    <row r="1093" spans="1:6" x14ac:dyDescent="0.3">
      <c r="A1093" t="str">
        <f>"28"</f>
        <v>28</v>
      </c>
      <c r="B1093" t="str">
        <f>"28.0702"</f>
        <v>28.0702</v>
      </c>
      <c r="C1093" t="s">
        <v>2470</v>
      </c>
      <c r="D1093" t="s">
        <v>2469</v>
      </c>
    </row>
    <row r="1094" spans="1:6" x14ac:dyDescent="0.3">
      <c r="A1094" t="str">
        <f>"28"</f>
        <v>28</v>
      </c>
      <c r="B1094" t="str">
        <f>"28.0703"</f>
        <v>28.0703</v>
      </c>
      <c r="C1094" t="s">
        <v>2468</v>
      </c>
      <c r="D1094" t="s">
        <v>2467</v>
      </c>
    </row>
    <row r="1095" spans="1:6" x14ac:dyDescent="0.3">
      <c r="A1095" t="str">
        <f>"28"</f>
        <v>28</v>
      </c>
      <c r="B1095" t="str">
        <f>"28.0799"</f>
        <v>28.0799</v>
      </c>
      <c r="C1095" t="s">
        <v>2466</v>
      </c>
      <c r="D1095" t="s">
        <v>2465</v>
      </c>
    </row>
    <row r="1096" spans="1:6" x14ac:dyDescent="0.3">
      <c r="A1096" t="str">
        <f>"28"</f>
        <v>28</v>
      </c>
      <c r="B1096" t="str">
        <f>"28.08"</f>
        <v>28.08</v>
      </c>
      <c r="C1096" t="s">
        <v>5243</v>
      </c>
      <c r="D1096" t="s">
        <v>5872</v>
      </c>
    </row>
    <row r="1097" spans="1:6" x14ac:dyDescent="0.3">
      <c r="A1097" t="str">
        <f>"28"</f>
        <v>28</v>
      </c>
      <c r="B1097" t="str">
        <f>"28.0801"</f>
        <v>28.0801</v>
      </c>
      <c r="C1097" t="s">
        <v>5243</v>
      </c>
      <c r="D1097" t="s">
        <v>5242</v>
      </c>
    </row>
    <row r="1098" spans="1:6" x14ac:dyDescent="0.3">
      <c r="A1098" t="str">
        <f>"28"</f>
        <v>28</v>
      </c>
      <c r="B1098" t="str">
        <f>"28.99"</f>
        <v>28.99</v>
      </c>
      <c r="C1098" t="s">
        <v>2463</v>
      </c>
      <c r="D1098" t="s">
        <v>2464</v>
      </c>
    </row>
    <row r="1099" spans="1:6" x14ac:dyDescent="0.3">
      <c r="A1099" t="str">
        <f>"28"</f>
        <v>28</v>
      </c>
      <c r="B1099" t="str">
        <f>"28.9999"</f>
        <v>28.9999</v>
      </c>
      <c r="C1099" t="s">
        <v>2463</v>
      </c>
      <c r="D1099" t="s">
        <v>2462</v>
      </c>
    </row>
    <row r="1100" spans="1:6" x14ac:dyDescent="0.3">
      <c r="A1100" t="str">
        <f>"29"</f>
        <v>29</v>
      </c>
      <c r="B1100" t="str">
        <f>"29"</f>
        <v>29</v>
      </c>
      <c r="C1100" t="s">
        <v>2461</v>
      </c>
      <c r="D1100" t="s">
        <v>2460</v>
      </c>
    </row>
    <row r="1101" spans="1:6" x14ac:dyDescent="0.3">
      <c r="A1101" t="str">
        <f>"29"</f>
        <v>29</v>
      </c>
      <c r="B1101" t="str">
        <f>"29.02"</f>
        <v>29.02</v>
      </c>
      <c r="C1101" t="s">
        <v>2459</v>
      </c>
      <c r="D1101" t="s">
        <v>2458</v>
      </c>
    </row>
    <row r="1102" spans="1:6" x14ac:dyDescent="0.3">
      <c r="A1102" t="str">
        <f>"29"</f>
        <v>29</v>
      </c>
      <c r="B1102" t="str">
        <f>"29.0201"</f>
        <v>29.0201</v>
      </c>
      <c r="C1102" t="s">
        <v>2457</v>
      </c>
      <c r="D1102" t="s">
        <v>2456</v>
      </c>
    </row>
    <row r="1103" spans="1:6" x14ac:dyDescent="0.3">
      <c r="A1103" t="str">
        <f>"29"</f>
        <v>29</v>
      </c>
      <c r="B1103" t="str">
        <f>"29.0202"</f>
        <v>29.0202</v>
      </c>
      <c r="C1103" t="s">
        <v>2455</v>
      </c>
      <c r="D1103" t="s">
        <v>2454</v>
      </c>
    </row>
    <row r="1104" spans="1:6" x14ac:dyDescent="0.3">
      <c r="A1104" t="str">
        <f>"29"</f>
        <v>29</v>
      </c>
      <c r="B1104" t="str">
        <f>"29.0203"</f>
        <v>29.0203</v>
      </c>
      <c r="C1104" t="s">
        <v>2452</v>
      </c>
      <c r="D1104" t="s">
        <v>2451</v>
      </c>
      <c r="F1104" t="s">
        <v>2444</v>
      </c>
    </row>
    <row r="1105" spans="1:6" x14ac:dyDescent="0.3">
      <c r="A1105" t="str">
        <f>"29"</f>
        <v>29</v>
      </c>
      <c r="B1105" t="str">
        <f>"29.0204"</f>
        <v>29.0204</v>
      </c>
      <c r="C1105" t="s">
        <v>2450</v>
      </c>
      <c r="D1105" t="s">
        <v>2449</v>
      </c>
    </row>
    <row r="1106" spans="1:6" x14ac:dyDescent="0.3">
      <c r="A1106" t="str">
        <f>"29"</f>
        <v>29</v>
      </c>
      <c r="B1106" t="str">
        <f>"29.0205"</f>
        <v>29.0205</v>
      </c>
      <c r="C1106" t="s">
        <v>2448</v>
      </c>
      <c r="D1106" t="s">
        <v>2447</v>
      </c>
    </row>
    <row r="1107" spans="1:6" x14ac:dyDescent="0.3">
      <c r="A1107" t="str">
        <f>"29"</f>
        <v>29</v>
      </c>
      <c r="B1107" t="str">
        <f>"29.0206"</f>
        <v>29.0206</v>
      </c>
      <c r="C1107" t="s">
        <v>2446</v>
      </c>
      <c r="D1107" t="s">
        <v>2445</v>
      </c>
    </row>
    <row r="1108" spans="1:6" x14ac:dyDescent="0.3">
      <c r="A1108" t="str">
        <f>"29"</f>
        <v>29</v>
      </c>
      <c r="B1108" t="str">
        <f>"29.0207"</f>
        <v>29.0207</v>
      </c>
      <c r="C1108" t="s">
        <v>2443</v>
      </c>
      <c r="D1108" t="s">
        <v>2442</v>
      </c>
      <c r="F1108" t="s">
        <v>2394</v>
      </c>
    </row>
    <row r="1109" spans="1:6" x14ac:dyDescent="0.3">
      <c r="A1109" t="str">
        <f>"29"</f>
        <v>29</v>
      </c>
      <c r="B1109" t="str">
        <f>"29.0299"</f>
        <v>29.0299</v>
      </c>
      <c r="C1109" t="s">
        <v>2441</v>
      </c>
      <c r="D1109" t="s">
        <v>2440</v>
      </c>
    </row>
    <row r="1110" spans="1:6" x14ac:dyDescent="0.3">
      <c r="A1110" t="str">
        <f>"29"</f>
        <v>29</v>
      </c>
      <c r="B1110" t="str">
        <f>"29.03"</f>
        <v>29.03</v>
      </c>
      <c r="C1110" t="s">
        <v>2439</v>
      </c>
      <c r="D1110" t="s">
        <v>2438</v>
      </c>
    </row>
    <row r="1111" spans="1:6" x14ac:dyDescent="0.3">
      <c r="A1111" t="str">
        <f>"29"</f>
        <v>29</v>
      </c>
      <c r="B1111" t="str">
        <f>"29.0301"</f>
        <v>29.0301</v>
      </c>
      <c r="C1111" t="s">
        <v>2437</v>
      </c>
      <c r="D1111" t="s">
        <v>2436</v>
      </c>
    </row>
    <row r="1112" spans="1:6" x14ac:dyDescent="0.3">
      <c r="A1112" t="str">
        <f>"29"</f>
        <v>29</v>
      </c>
      <c r="B1112" t="str">
        <f>"29.0302"</f>
        <v>29.0302</v>
      </c>
      <c r="C1112" t="s">
        <v>2435</v>
      </c>
      <c r="D1112" t="s">
        <v>2434</v>
      </c>
    </row>
    <row r="1113" spans="1:6" x14ac:dyDescent="0.3">
      <c r="A1113" t="str">
        <f>"29"</f>
        <v>29</v>
      </c>
      <c r="B1113" t="str">
        <f>"29.0303"</f>
        <v>29.0303</v>
      </c>
      <c r="C1113" t="s">
        <v>2433</v>
      </c>
      <c r="D1113" t="s">
        <v>2432</v>
      </c>
    </row>
    <row r="1114" spans="1:6" x14ac:dyDescent="0.3">
      <c r="A1114" t="str">
        <f>"29"</f>
        <v>29</v>
      </c>
      <c r="B1114" t="str">
        <f>"29.0304"</f>
        <v>29.0304</v>
      </c>
      <c r="C1114" t="s">
        <v>2431</v>
      </c>
      <c r="D1114" t="s">
        <v>2430</v>
      </c>
    </row>
    <row r="1115" spans="1:6" x14ac:dyDescent="0.3">
      <c r="A1115" t="str">
        <f>"29"</f>
        <v>29</v>
      </c>
      <c r="B1115" t="str">
        <f>"29.0305"</f>
        <v>29.0305</v>
      </c>
      <c r="C1115" t="s">
        <v>2429</v>
      </c>
      <c r="D1115" t="s">
        <v>2428</v>
      </c>
    </row>
    <row r="1116" spans="1:6" x14ac:dyDescent="0.3">
      <c r="A1116" t="str">
        <f>"29"</f>
        <v>29</v>
      </c>
      <c r="B1116" t="str">
        <f>"29.0306"</f>
        <v>29.0306</v>
      </c>
      <c r="C1116" t="s">
        <v>2427</v>
      </c>
      <c r="D1116" t="s">
        <v>2426</v>
      </c>
    </row>
    <row r="1117" spans="1:6" x14ac:dyDescent="0.3">
      <c r="A1117" t="str">
        <f>"29"</f>
        <v>29</v>
      </c>
      <c r="B1117" t="str">
        <f>"29.0307"</f>
        <v>29.0307</v>
      </c>
      <c r="C1117" t="s">
        <v>2425</v>
      </c>
      <c r="D1117" t="s">
        <v>2424</v>
      </c>
    </row>
    <row r="1118" spans="1:6" x14ac:dyDescent="0.3">
      <c r="A1118" t="str">
        <f>"29"</f>
        <v>29</v>
      </c>
      <c r="B1118" t="str">
        <f>"29.0399"</f>
        <v>29.0399</v>
      </c>
      <c r="C1118" t="s">
        <v>2423</v>
      </c>
      <c r="D1118" t="s">
        <v>2422</v>
      </c>
    </row>
    <row r="1119" spans="1:6" x14ac:dyDescent="0.3">
      <c r="A1119" t="str">
        <f>"29"</f>
        <v>29</v>
      </c>
      <c r="B1119" t="str">
        <f>"29.04"</f>
        <v>29.04</v>
      </c>
      <c r="C1119" t="s">
        <v>2421</v>
      </c>
      <c r="D1119" t="s">
        <v>2420</v>
      </c>
    </row>
    <row r="1120" spans="1:6" x14ac:dyDescent="0.3">
      <c r="A1120" t="str">
        <f>"29"</f>
        <v>29</v>
      </c>
      <c r="B1120" t="str">
        <f>"29.0401"</f>
        <v>29.0401</v>
      </c>
      <c r="C1120" t="s">
        <v>2419</v>
      </c>
      <c r="D1120" t="s">
        <v>2418</v>
      </c>
    </row>
    <row r="1121" spans="1:4" x14ac:dyDescent="0.3">
      <c r="A1121" t="str">
        <f>"29"</f>
        <v>29</v>
      </c>
      <c r="B1121" t="str">
        <f>"29.0402"</f>
        <v>29.0402</v>
      </c>
      <c r="C1121" t="s">
        <v>2417</v>
      </c>
      <c r="D1121" t="s">
        <v>2416</v>
      </c>
    </row>
    <row r="1122" spans="1:4" x14ac:dyDescent="0.3">
      <c r="A1122" t="str">
        <f>"29"</f>
        <v>29</v>
      </c>
      <c r="B1122" t="str">
        <f>"29.0403"</f>
        <v>29.0403</v>
      </c>
      <c r="C1122" t="s">
        <v>2415</v>
      </c>
      <c r="D1122" t="s">
        <v>2414</v>
      </c>
    </row>
    <row r="1123" spans="1:4" x14ac:dyDescent="0.3">
      <c r="A1123" t="str">
        <f>"29"</f>
        <v>29</v>
      </c>
      <c r="B1123" t="str">
        <f>"29.0404"</f>
        <v>29.0404</v>
      </c>
      <c r="C1123" t="s">
        <v>2413</v>
      </c>
      <c r="D1123" t="s">
        <v>2412</v>
      </c>
    </row>
    <row r="1124" spans="1:4" x14ac:dyDescent="0.3">
      <c r="A1124" t="str">
        <f>"29"</f>
        <v>29</v>
      </c>
      <c r="B1124" t="str">
        <f>"29.0405"</f>
        <v>29.0405</v>
      </c>
      <c r="C1124" t="s">
        <v>2411</v>
      </c>
      <c r="D1124" t="s">
        <v>2410</v>
      </c>
    </row>
    <row r="1125" spans="1:4" x14ac:dyDescent="0.3">
      <c r="A1125" t="str">
        <f>"29"</f>
        <v>29</v>
      </c>
      <c r="B1125" t="str">
        <f>"29.0406"</f>
        <v>29.0406</v>
      </c>
      <c r="C1125" t="s">
        <v>2409</v>
      </c>
      <c r="D1125" t="s">
        <v>2408</v>
      </c>
    </row>
    <row r="1126" spans="1:4" x14ac:dyDescent="0.3">
      <c r="A1126" t="str">
        <f>"29"</f>
        <v>29</v>
      </c>
      <c r="B1126" t="str">
        <f>"29.0407"</f>
        <v>29.0407</v>
      </c>
      <c r="C1126" t="s">
        <v>2407</v>
      </c>
      <c r="D1126" t="s">
        <v>2406</v>
      </c>
    </row>
    <row r="1127" spans="1:4" x14ac:dyDescent="0.3">
      <c r="A1127" t="str">
        <f>"29"</f>
        <v>29</v>
      </c>
      <c r="B1127" t="str">
        <f>"29.0408"</f>
        <v>29.0408</v>
      </c>
      <c r="C1127" t="s">
        <v>2405</v>
      </c>
      <c r="D1127" t="s">
        <v>2404</v>
      </c>
    </row>
    <row r="1128" spans="1:4" x14ac:dyDescent="0.3">
      <c r="A1128" t="str">
        <f>"29"</f>
        <v>29</v>
      </c>
      <c r="B1128" t="str">
        <f>"29.0409"</f>
        <v>29.0409</v>
      </c>
      <c r="C1128" t="s">
        <v>2403</v>
      </c>
      <c r="D1128" t="s">
        <v>2402</v>
      </c>
    </row>
    <row r="1129" spans="1:4" x14ac:dyDescent="0.3">
      <c r="A1129" t="str">
        <f>"29"</f>
        <v>29</v>
      </c>
      <c r="B1129" t="str">
        <f>"29.0499"</f>
        <v>29.0499</v>
      </c>
      <c r="C1129" t="s">
        <v>2401</v>
      </c>
      <c r="D1129" t="s">
        <v>2400</v>
      </c>
    </row>
    <row r="1130" spans="1:4" x14ac:dyDescent="0.3">
      <c r="A1130" t="str">
        <f>"29"</f>
        <v>29</v>
      </c>
      <c r="B1130" t="str">
        <f>"29.05"</f>
        <v>29.05</v>
      </c>
      <c r="C1130" t="s">
        <v>5243</v>
      </c>
      <c r="D1130" t="s">
        <v>5871</v>
      </c>
    </row>
    <row r="1131" spans="1:4" x14ac:dyDescent="0.3">
      <c r="A1131" t="str">
        <f>"29"</f>
        <v>29</v>
      </c>
      <c r="B1131" t="str">
        <f>"29.0501"</f>
        <v>29.0501</v>
      </c>
      <c r="C1131" t="s">
        <v>5243</v>
      </c>
      <c r="D1131" t="s">
        <v>5242</v>
      </c>
    </row>
    <row r="1132" spans="1:4" x14ac:dyDescent="0.3">
      <c r="A1132" t="str">
        <f>"29"</f>
        <v>29</v>
      </c>
      <c r="B1132" t="str">
        <f>"29.06"</f>
        <v>29.06</v>
      </c>
      <c r="C1132" t="s">
        <v>5869</v>
      </c>
      <c r="D1132" t="s">
        <v>5870</v>
      </c>
    </row>
    <row r="1133" spans="1:4" x14ac:dyDescent="0.3">
      <c r="A1133" t="str">
        <f>"29"</f>
        <v>29</v>
      </c>
      <c r="B1133" t="str">
        <f>"29.0601"</f>
        <v>29.0601</v>
      </c>
      <c r="C1133" t="s">
        <v>5869</v>
      </c>
      <c r="D1133" t="s">
        <v>5868</v>
      </c>
    </row>
    <row r="1134" spans="1:4" x14ac:dyDescent="0.3">
      <c r="A1134" t="str">
        <f>"29"</f>
        <v>29</v>
      </c>
      <c r="B1134" t="str">
        <f>"29.99"</f>
        <v>29.99</v>
      </c>
      <c r="C1134" t="s">
        <v>2398</v>
      </c>
      <c r="D1134" t="s">
        <v>2399</v>
      </c>
    </row>
    <row r="1135" spans="1:4" x14ac:dyDescent="0.3">
      <c r="A1135" t="str">
        <f>"29"</f>
        <v>29</v>
      </c>
      <c r="B1135" t="str">
        <f>"29.9999"</f>
        <v>29.9999</v>
      </c>
      <c r="C1135" t="s">
        <v>2398</v>
      </c>
      <c r="D1135" t="s">
        <v>2397</v>
      </c>
    </row>
    <row r="1136" spans="1:4" x14ac:dyDescent="0.3">
      <c r="A1136" t="str">
        <f>"30"</f>
        <v>30</v>
      </c>
      <c r="B1136" t="str">
        <f>"30"</f>
        <v>30</v>
      </c>
      <c r="C1136" t="s">
        <v>2396</v>
      </c>
      <c r="D1136" t="s">
        <v>2395</v>
      </c>
    </row>
    <row r="1137" spans="1:6" x14ac:dyDescent="0.3">
      <c r="A1137" t="str">
        <f>"30"</f>
        <v>30</v>
      </c>
      <c r="B1137" t="str">
        <f>"30.00"</f>
        <v>30.00</v>
      </c>
      <c r="C1137" t="s">
        <v>2393</v>
      </c>
      <c r="D1137" t="s">
        <v>5867</v>
      </c>
    </row>
    <row r="1138" spans="1:6" x14ac:dyDescent="0.3">
      <c r="A1138" t="str">
        <f>"30"</f>
        <v>30</v>
      </c>
      <c r="B1138" t="str">
        <f>"30.0000"</f>
        <v>30.0000</v>
      </c>
      <c r="C1138" t="s">
        <v>2393</v>
      </c>
      <c r="D1138" t="s">
        <v>2392</v>
      </c>
      <c r="F1138" t="s">
        <v>2390</v>
      </c>
    </row>
    <row r="1139" spans="1:6" x14ac:dyDescent="0.3">
      <c r="A1139" t="str">
        <f>"30"</f>
        <v>30</v>
      </c>
      <c r="B1139" t="str">
        <f>"30.0001"</f>
        <v>30.0001</v>
      </c>
      <c r="C1139" t="s">
        <v>5866</v>
      </c>
      <c r="D1139" t="s">
        <v>5865</v>
      </c>
    </row>
    <row r="1140" spans="1:6" x14ac:dyDescent="0.3">
      <c r="A1140" t="str">
        <f>"30"</f>
        <v>30</v>
      </c>
      <c r="B1140" t="str">
        <f>"30.01"</f>
        <v>30.01</v>
      </c>
      <c r="C1140" t="s">
        <v>2389</v>
      </c>
      <c r="D1140" t="s">
        <v>2391</v>
      </c>
    </row>
    <row r="1141" spans="1:6" x14ac:dyDescent="0.3">
      <c r="A1141" t="str">
        <f>"30"</f>
        <v>30</v>
      </c>
      <c r="B1141" t="str">
        <f>"30.0101"</f>
        <v>30.0101</v>
      </c>
      <c r="C1141" t="s">
        <v>2389</v>
      </c>
      <c r="D1141" t="s">
        <v>2388</v>
      </c>
      <c r="E1141" t="s">
        <v>5864</v>
      </c>
      <c r="F1141" t="s">
        <v>2360</v>
      </c>
    </row>
    <row r="1142" spans="1:6" x14ac:dyDescent="0.3">
      <c r="A1142" t="str">
        <f>"30"</f>
        <v>30</v>
      </c>
      <c r="B1142" t="str">
        <f>"30.05"</f>
        <v>30.05</v>
      </c>
      <c r="C1142" t="s">
        <v>2386</v>
      </c>
      <c r="D1142" t="s">
        <v>2387</v>
      </c>
    </row>
    <row r="1143" spans="1:6" x14ac:dyDescent="0.3">
      <c r="A1143" t="str">
        <f>"30"</f>
        <v>30</v>
      </c>
      <c r="B1143" t="str">
        <f>"30.0501"</f>
        <v>30.0501</v>
      </c>
      <c r="C1143" t="s">
        <v>2386</v>
      </c>
      <c r="D1143" t="s">
        <v>2385</v>
      </c>
      <c r="E1143" t="s">
        <v>2384</v>
      </c>
    </row>
    <row r="1144" spans="1:6" x14ac:dyDescent="0.3">
      <c r="A1144" t="str">
        <f>"30"</f>
        <v>30</v>
      </c>
      <c r="B1144" t="str">
        <f>"30.06"</f>
        <v>30.06</v>
      </c>
      <c r="C1144" t="s">
        <v>2382</v>
      </c>
      <c r="D1144" t="s">
        <v>2383</v>
      </c>
    </row>
    <row r="1145" spans="1:6" x14ac:dyDescent="0.3">
      <c r="A1145" t="str">
        <f>"30"</f>
        <v>30</v>
      </c>
      <c r="B1145" t="str">
        <f>"30.0601"</f>
        <v>30.0601</v>
      </c>
      <c r="C1145" t="s">
        <v>2382</v>
      </c>
      <c r="D1145" t="s">
        <v>2381</v>
      </c>
      <c r="E1145" t="s">
        <v>2380</v>
      </c>
    </row>
    <row r="1146" spans="1:6" x14ac:dyDescent="0.3">
      <c r="A1146" t="str">
        <f>"30"</f>
        <v>30</v>
      </c>
      <c r="B1146" t="str">
        <f>"30.08"</f>
        <v>30.08</v>
      </c>
      <c r="C1146" t="s">
        <v>2378</v>
      </c>
      <c r="D1146" t="s">
        <v>2379</v>
      </c>
    </row>
    <row r="1147" spans="1:6" x14ac:dyDescent="0.3">
      <c r="A1147" t="str">
        <f>"30"</f>
        <v>30</v>
      </c>
      <c r="B1147" t="str">
        <f>"30.0801"</f>
        <v>30.0801</v>
      </c>
      <c r="C1147" t="s">
        <v>2378</v>
      </c>
      <c r="D1147" t="s">
        <v>2377</v>
      </c>
      <c r="E1147" t="s">
        <v>2376</v>
      </c>
    </row>
    <row r="1148" spans="1:6" x14ac:dyDescent="0.3">
      <c r="A1148" t="str">
        <f>"30"</f>
        <v>30</v>
      </c>
      <c r="B1148" t="str">
        <f>"30.10"</f>
        <v>30.10</v>
      </c>
      <c r="C1148" t="s">
        <v>2374</v>
      </c>
      <c r="D1148" t="s">
        <v>2375</v>
      </c>
    </row>
    <row r="1149" spans="1:6" x14ac:dyDescent="0.3">
      <c r="A1149" t="str">
        <f>"30"</f>
        <v>30</v>
      </c>
      <c r="B1149" t="str">
        <f>"30.1001"</f>
        <v>30.1001</v>
      </c>
      <c r="C1149" t="s">
        <v>2374</v>
      </c>
      <c r="D1149" t="s">
        <v>2373</v>
      </c>
      <c r="E1149" t="s">
        <v>5863</v>
      </c>
    </row>
    <row r="1150" spans="1:6" x14ac:dyDescent="0.3">
      <c r="A1150" t="str">
        <f>"30"</f>
        <v>30</v>
      </c>
      <c r="B1150" t="str">
        <f>"30.11"</f>
        <v>30.11</v>
      </c>
      <c r="C1150" t="s">
        <v>2371</v>
      </c>
      <c r="D1150" t="s">
        <v>2372</v>
      </c>
    </row>
    <row r="1151" spans="1:6" x14ac:dyDescent="0.3">
      <c r="A1151" t="str">
        <f>"30"</f>
        <v>30</v>
      </c>
      <c r="B1151" t="str">
        <f>"30.1101"</f>
        <v>30.1101</v>
      </c>
      <c r="C1151" t="s">
        <v>2371</v>
      </c>
      <c r="D1151" t="s">
        <v>2370</v>
      </c>
      <c r="E1151" t="s">
        <v>2369</v>
      </c>
    </row>
    <row r="1152" spans="1:6" x14ac:dyDescent="0.3">
      <c r="A1152" t="str">
        <f>"30"</f>
        <v>30</v>
      </c>
      <c r="B1152" t="str">
        <f>"30.12"</f>
        <v>30.12</v>
      </c>
      <c r="C1152" t="s">
        <v>2367</v>
      </c>
      <c r="D1152" t="s">
        <v>2368</v>
      </c>
    </row>
    <row r="1153" spans="1:6" x14ac:dyDescent="0.3">
      <c r="A1153" t="str">
        <f>"30"</f>
        <v>30</v>
      </c>
      <c r="B1153" t="str">
        <f>"30.1201"</f>
        <v>30.1201</v>
      </c>
      <c r="C1153" t="s">
        <v>5862</v>
      </c>
      <c r="D1153" t="s">
        <v>5861</v>
      </c>
      <c r="E1153" t="s">
        <v>5860</v>
      </c>
    </row>
    <row r="1154" spans="1:6" x14ac:dyDescent="0.3">
      <c r="A1154" t="str">
        <f>"30"</f>
        <v>30</v>
      </c>
      <c r="B1154" t="str">
        <f>"30.1202"</f>
        <v>30.1202</v>
      </c>
      <c r="C1154" t="s">
        <v>2366</v>
      </c>
      <c r="D1154" t="s">
        <v>2365</v>
      </c>
      <c r="E1154" t="s">
        <v>2364</v>
      </c>
    </row>
    <row r="1155" spans="1:6" x14ac:dyDescent="0.3">
      <c r="A1155" t="str">
        <f>"30"</f>
        <v>30</v>
      </c>
      <c r="B1155" t="str">
        <f>"30.1299"</f>
        <v>30.1299</v>
      </c>
      <c r="C1155" t="s">
        <v>2363</v>
      </c>
      <c r="D1155" t="s">
        <v>2362</v>
      </c>
    </row>
    <row r="1156" spans="1:6" x14ac:dyDescent="0.3">
      <c r="A1156" t="str">
        <f>"30"</f>
        <v>30</v>
      </c>
      <c r="B1156" t="str">
        <f>"30.13"</f>
        <v>30.13</v>
      </c>
      <c r="C1156" t="s">
        <v>2359</v>
      </c>
      <c r="D1156" t="s">
        <v>2361</v>
      </c>
    </row>
    <row r="1157" spans="1:6" x14ac:dyDescent="0.3">
      <c r="A1157" t="str">
        <f>"30"</f>
        <v>30</v>
      </c>
      <c r="B1157" t="str">
        <f>"30.1301"</f>
        <v>30.1301</v>
      </c>
      <c r="C1157" t="s">
        <v>2359</v>
      </c>
      <c r="D1157" t="s">
        <v>2358</v>
      </c>
      <c r="F1157" t="s">
        <v>2352</v>
      </c>
    </row>
    <row r="1158" spans="1:6" x14ac:dyDescent="0.3">
      <c r="A1158" t="str">
        <f>"30"</f>
        <v>30</v>
      </c>
      <c r="B1158" t="str">
        <f>"30.14"</f>
        <v>30.14</v>
      </c>
      <c r="C1158" t="s">
        <v>2356</v>
      </c>
      <c r="D1158" t="s">
        <v>2357</v>
      </c>
    </row>
    <row r="1159" spans="1:6" x14ac:dyDescent="0.3">
      <c r="A1159" t="str">
        <f>"30"</f>
        <v>30</v>
      </c>
      <c r="B1159" t="str">
        <f>"30.1401"</f>
        <v>30.1401</v>
      </c>
      <c r="C1159" t="s">
        <v>2356</v>
      </c>
      <c r="D1159" t="s">
        <v>2355</v>
      </c>
      <c r="E1159" t="s">
        <v>2354</v>
      </c>
    </row>
    <row r="1160" spans="1:6" x14ac:dyDescent="0.3">
      <c r="A1160" t="str">
        <f>"30"</f>
        <v>30</v>
      </c>
      <c r="B1160" t="str">
        <f>"30.15"</f>
        <v>30.15</v>
      </c>
      <c r="C1160" t="s">
        <v>2351</v>
      </c>
      <c r="D1160" t="s">
        <v>2353</v>
      </c>
    </row>
    <row r="1161" spans="1:6" x14ac:dyDescent="0.3">
      <c r="A1161" t="str">
        <f>"30"</f>
        <v>30</v>
      </c>
      <c r="B1161" t="str">
        <f>"30.1501"</f>
        <v>30.1501</v>
      </c>
      <c r="C1161" t="s">
        <v>2351</v>
      </c>
      <c r="D1161" t="s">
        <v>2350</v>
      </c>
      <c r="E1161" t="s">
        <v>5859</v>
      </c>
      <c r="F1161" t="s">
        <v>2315</v>
      </c>
    </row>
    <row r="1162" spans="1:6" x14ac:dyDescent="0.3">
      <c r="A1162" t="str">
        <f>"30"</f>
        <v>30</v>
      </c>
      <c r="B1162" t="str">
        <f>"30.16"</f>
        <v>30.16</v>
      </c>
      <c r="C1162" t="s">
        <v>2348</v>
      </c>
      <c r="D1162" t="s">
        <v>2349</v>
      </c>
    </row>
    <row r="1163" spans="1:6" x14ac:dyDescent="0.3">
      <c r="A1163" t="str">
        <f>"30"</f>
        <v>30</v>
      </c>
      <c r="B1163" t="str">
        <f>"30.1601"</f>
        <v>30.1601</v>
      </c>
      <c r="C1163" t="s">
        <v>2348</v>
      </c>
      <c r="D1163" t="s">
        <v>2347</v>
      </c>
      <c r="E1163" t="s">
        <v>2346</v>
      </c>
    </row>
    <row r="1164" spans="1:6" x14ac:dyDescent="0.3">
      <c r="A1164" t="str">
        <f>"30"</f>
        <v>30</v>
      </c>
      <c r="B1164" t="str">
        <f>"30.17"</f>
        <v>30.17</v>
      </c>
      <c r="C1164" t="s">
        <v>2344</v>
      </c>
      <c r="D1164" t="s">
        <v>2345</v>
      </c>
    </row>
    <row r="1165" spans="1:6" x14ac:dyDescent="0.3">
      <c r="A1165" t="str">
        <f>"30"</f>
        <v>30</v>
      </c>
      <c r="B1165" t="str">
        <f>"30.1701"</f>
        <v>30.1701</v>
      </c>
      <c r="C1165" t="s">
        <v>2344</v>
      </c>
      <c r="D1165" t="s">
        <v>2343</v>
      </c>
      <c r="E1165" t="s">
        <v>2342</v>
      </c>
    </row>
    <row r="1166" spans="1:6" x14ac:dyDescent="0.3">
      <c r="A1166" t="str">
        <f>"30"</f>
        <v>30</v>
      </c>
      <c r="B1166" t="str">
        <f>"30.18"</f>
        <v>30.18</v>
      </c>
      <c r="C1166" t="s">
        <v>2340</v>
      </c>
      <c r="D1166" t="s">
        <v>2341</v>
      </c>
    </row>
    <row r="1167" spans="1:6" x14ac:dyDescent="0.3">
      <c r="A1167" t="str">
        <f>"30"</f>
        <v>30</v>
      </c>
      <c r="B1167" t="str">
        <f>"30.1801"</f>
        <v>30.1801</v>
      </c>
      <c r="C1167" t="s">
        <v>2340</v>
      </c>
      <c r="D1167" t="s">
        <v>2339</v>
      </c>
    </row>
    <row r="1168" spans="1:6" x14ac:dyDescent="0.3">
      <c r="A1168" t="str">
        <f>"30"</f>
        <v>30</v>
      </c>
      <c r="B1168" t="str">
        <f>"30.19"</f>
        <v>30.19</v>
      </c>
      <c r="C1168" t="s">
        <v>2337</v>
      </c>
      <c r="D1168" t="s">
        <v>2338</v>
      </c>
    </row>
    <row r="1169" spans="1:6" x14ac:dyDescent="0.3">
      <c r="A1169" t="str">
        <f>"30"</f>
        <v>30</v>
      </c>
      <c r="B1169" t="str">
        <f>"30.1901"</f>
        <v>30.1901</v>
      </c>
      <c r="C1169" t="s">
        <v>2337</v>
      </c>
      <c r="D1169" t="s">
        <v>2336</v>
      </c>
      <c r="E1169" t="s">
        <v>2335</v>
      </c>
    </row>
    <row r="1170" spans="1:6" x14ac:dyDescent="0.3">
      <c r="A1170" t="str">
        <f>"30"</f>
        <v>30</v>
      </c>
      <c r="B1170" t="str">
        <f>"30.20"</f>
        <v>30.20</v>
      </c>
      <c r="C1170" t="s">
        <v>5858</v>
      </c>
      <c r="D1170" t="s">
        <v>2334</v>
      </c>
    </row>
    <row r="1171" spans="1:6" x14ac:dyDescent="0.3">
      <c r="A1171" t="str">
        <f>"30"</f>
        <v>30</v>
      </c>
      <c r="B1171" t="str">
        <f>"30.2001"</f>
        <v>30.2001</v>
      </c>
      <c r="C1171" t="s">
        <v>5858</v>
      </c>
      <c r="D1171" t="s">
        <v>2333</v>
      </c>
      <c r="E1171" t="s">
        <v>2332</v>
      </c>
      <c r="F1171" t="s">
        <v>5857</v>
      </c>
    </row>
    <row r="1172" spans="1:6" x14ac:dyDescent="0.3">
      <c r="A1172" t="str">
        <f>"30"</f>
        <v>30</v>
      </c>
      <c r="B1172" t="str">
        <f>"30.21"</f>
        <v>30.21</v>
      </c>
      <c r="C1172" t="s">
        <v>2330</v>
      </c>
      <c r="D1172" t="s">
        <v>2331</v>
      </c>
    </row>
    <row r="1173" spans="1:6" x14ac:dyDescent="0.3">
      <c r="A1173" t="str">
        <f>"30"</f>
        <v>30</v>
      </c>
      <c r="B1173" t="str">
        <f>"30.2101"</f>
        <v>30.2101</v>
      </c>
      <c r="C1173" t="s">
        <v>2330</v>
      </c>
      <c r="D1173" t="s">
        <v>2329</v>
      </c>
      <c r="E1173" t="s">
        <v>2072</v>
      </c>
    </row>
    <row r="1174" spans="1:6" x14ac:dyDescent="0.3">
      <c r="A1174" t="str">
        <f>"30"</f>
        <v>30</v>
      </c>
      <c r="B1174" t="str">
        <f>"30.22"</f>
        <v>30.22</v>
      </c>
      <c r="C1174" t="s">
        <v>2328</v>
      </c>
      <c r="D1174" t="s">
        <v>5856</v>
      </c>
    </row>
    <row r="1175" spans="1:6" x14ac:dyDescent="0.3">
      <c r="A1175" t="str">
        <f>"30"</f>
        <v>30</v>
      </c>
      <c r="B1175" t="str">
        <f>"30.2201"</f>
        <v>30.2201</v>
      </c>
      <c r="C1175" t="s">
        <v>2327</v>
      </c>
      <c r="D1175" t="s">
        <v>2326</v>
      </c>
    </row>
    <row r="1176" spans="1:6" x14ac:dyDescent="0.3">
      <c r="A1176" t="str">
        <f>"30"</f>
        <v>30</v>
      </c>
      <c r="B1176" t="str">
        <f>"30.2202"</f>
        <v>30.2202</v>
      </c>
      <c r="C1176" t="s">
        <v>5855</v>
      </c>
      <c r="D1176" t="s">
        <v>5854</v>
      </c>
      <c r="E1176" t="s">
        <v>2325</v>
      </c>
      <c r="F1176" t="s">
        <v>5853</v>
      </c>
    </row>
    <row r="1177" spans="1:6" x14ac:dyDescent="0.3">
      <c r="A1177" t="str">
        <f>"30"</f>
        <v>30</v>
      </c>
      <c r="B1177" t="str">
        <f>"30.2299"</f>
        <v>30.2299</v>
      </c>
      <c r="C1177" t="s">
        <v>5852</v>
      </c>
      <c r="D1177" t="s">
        <v>5851</v>
      </c>
    </row>
    <row r="1178" spans="1:6" x14ac:dyDescent="0.3">
      <c r="A1178" t="str">
        <f>"30"</f>
        <v>30</v>
      </c>
      <c r="B1178" t="str">
        <f>"30.23"</f>
        <v>30.23</v>
      </c>
      <c r="C1178" t="s">
        <v>2323</v>
      </c>
      <c r="D1178" t="s">
        <v>2324</v>
      </c>
    </row>
    <row r="1179" spans="1:6" x14ac:dyDescent="0.3">
      <c r="A1179" t="str">
        <f>"30"</f>
        <v>30</v>
      </c>
      <c r="B1179" t="str">
        <f>"30.2301"</f>
        <v>30.2301</v>
      </c>
      <c r="C1179" t="s">
        <v>2323</v>
      </c>
      <c r="D1179" t="s">
        <v>2322</v>
      </c>
      <c r="E1179" t="s">
        <v>2321</v>
      </c>
    </row>
    <row r="1180" spans="1:6" x14ac:dyDescent="0.3">
      <c r="A1180" t="str">
        <f>"30"</f>
        <v>30</v>
      </c>
      <c r="B1180" t="str">
        <f>"30.25"</f>
        <v>30.25</v>
      </c>
      <c r="C1180" t="s">
        <v>2319</v>
      </c>
      <c r="D1180" t="s">
        <v>5850</v>
      </c>
    </row>
    <row r="1181" spans="1:6" x14ac:dyDescent="0.3">
      <c r="A1181" t="str">
        <f>"30"</f>
        <v>30</v>
      </c>
      <c r="B1181" t="str">
        <f>"30.2501"</f>
        <v>30.2501</v>
      </c>
      <c r="C1181" t="s">
        <v>5849</v>
      </c>
      <c r="D1181" t="s">
        <v>2318</v>
      </c>
      <c r="E1181" t="s">
        <v>2317</v>
      </c>
    </row>
    <row r="1182" spans="1:6" x14ac:dyDescent="0.3">
      <c r="A1182" t="str">
        <f>"30"</f>
        <v>30</v>
      </c>
      <c r="B1182" t="str">
        <f>"30.2502"</f>
        <v>30.2502</v>
      </c>
      <c r="C1182" t="s">
        <v>5848</v>
      </c>
      <c r="D1182" t="s">
        <v>5847</v>
      </c>
    </row>
    <row r="1183" spans="1:6" x14ac:dyDescent="0.3">
      <c r="A1183" t="str">
        <f>"30"</f>
        <v>30</v>
      </c>
      <c r="B1183" t="str">
        <f>"30.2599"</f>
        <v>30.2599</v>
      </c>
      <c r="C1183" t="s">
        <v>5846</v>
      </c>
      <c r="D1183" t="s">
        <v>5845</v>
      </c>
    </row>
    <row r="1184" spans="1:6" x14ac:dyDescent="0.3">
      <c r="A1184" t="str">
        <f>"30"</f>
        <v>30</v>
      </c>
      <c r="B1184" t="str">
        <f>"30.26"</f>
        <v>30.26</v>
      </c>
      <c r="C1184" t="s">
        <v>2314</v>
      </c>
      <c r="D1184" t="s">
        <v>2316</v>
      </c>
    </row>
    <row r="1185" spans="1:6" x14ac:dyDescent="0.3">
      <c r="A1185" t="str">
        <f>"30"</f>
        <v>30</v>
      </c>
      <c r="B1185" t="str">
        <f>"30.2601"</f>
        <v>30.2601</v>
      </c>
      <c r="C1185" t="s">
        <v>2314</v>
      </c>
      <c r="D1185" t="s">
        <v>2313</v>
      </c>
      <c r="E1185" t="s">
        <v>5844</v>
      </c>
      <c r="F1185" t="s">
        <v>2311</v>
      </c>
    </row>
    <row r="1186" spans="1:6" x14ac:dyDescent="0.3">
      <c r="A1186" t="str">
        <f>"30"</f>
        <v>30</v>
      </c>
      <c r="B1186" t="str">
        <f>"30.27"</f>
        <v>30.27</v>
      </c>
      <c r="C1186" t="s">
        <v>2310</v>
      </c>
      <c r="D1186" t="s">
        <v>2312</v>
      </c>
    </row>
    <row r="1187" spans="1:6" x14ac:dyDescent="0.3">
      <c r="A1187" t="str">
        <f>"30"</f>
        <v>30</v>
      </c>
      <c r="B1187" t="str">
        <f>"30.2701"</f>
        <v>30.2701</v>
      </c>
      <c r="C1187" t="s">
        <v>2310</v>
      </c>
      <c r="D1187" t="s">
        <v>2309</v>
      </c>
      <c r="F1187" t="s">
        <v>2307</v>
      </c>
    </row>
    <row r="1188" spans="1:6" x14ac:dyDescent="0.3">
      <c r="A1188" t="str">
        <f>"30"</f>
        <v>30</v>
      </c>
      <c r="B1188" t="str">
        <f>"30.28"</f>
        <v>30.28</v>
      </c>
      <c r="C1188" t="s">
        <v>2306</v>
      </c>
      <c r="D1188" t="s">
        <v>2308</v>
      </c>
    </row>
    <row r="1189" spans="1:6" x14ac:dyDescent="0.3">
      <c r="A1189" t="str">
        <f>"30"</f>
        <v>30</v>
      </c>
      <c r="B1189" t="str">
        <f>"30.2801"</f>
        <v>30.2801</v>
      </c>
      <c r="C1189" t="s">
        <v>2306</v>
      </c>
      <c r="D1189" t="s">
        <v>2305</v>
      </c>
      <c r="E1189" t="s">
        <v>2304</v>
      </c>
      <c r="F1189" t="s">
        <v>2299</v>
      </c>
    </row>
    <row r="1190" spans="1:6" x14ac:dyDescent="0.3">
      <c r="A1190" t="str">
        <f>"30"</f>
        <v>30</v>
      </c>
      <c r="B1190" t="str">
        <f>"30.29"</f>
        <v>30.29</v>
      </c>
      <c r="C1190" t="s">
        <v>2302</v>
      </c>
      <c r="D1190" t="s">
        <v>2303</v>
      </c>
    </row>
    <row r="1191" spans="1:6" x14ac:dyDescent="0.3">
      <c r="A1191" t="str">
        <f>"30"</f>
        <v>30</v>
      </c>
      <c r="B1191" t="str">
        <f>"30.2901"</f>
        <v>30.2901</v>
      </c>
      <c r="C1191" t="s">
        <v>2302</v>
      </c>
      <c r="D1191" t="s">
        <v>2301</v>
      </c>
    </row>
    <row r="1192" spans="1:6" x14ac:dyDescent="0.3">
      <c r="A1192" t="str">
        <f>"30"</f>
        <v>30</v>
      </c>
      <c r="B1192" t="str">
        <f>"30.30"</f>
        <v>30.30</v>
      </c>
      <c r="C1192" t="s">
        <v>2298</v>
      </c>
      <c r="D1192" t="s">
        <v>2300</v>
      </c>
    </row>
    <row r="1193" spans="1:6" x14ac:dyDescent="0.3">
      <c r="A1193" t="str">
        <f>"30"</f>
        <v>30</v>
      </c>
      <c r="B1193" t="str">
        <f>"30.3001"</f>
        <v>30.3001</v>
      </c>
      <c r="C1193" t="s">
        <v>2298</v>
      </c>
      <c r="D1193" t="s">
        <v>2297</v>
      </c>
      <c r="E1193" t="s">
        <v>2296</v>
      </c>
      <c r="F1193" t="s">
        <v>2289</v>
      </c>
    </row>
    <row r="1194" spans="1:6" x14ac:dyDescent="0.3">
      <c r="A1194" t="str">
        <f>"30"</f>
        <v>30</v>
      </c>
      <c r="B1194" t="str">
        <f>"30.31"</f>
        <v>30.31</v>
      </c>
      <c r="C1194" t="s">
        <v>2294</v>
      </c>
      <c r="D1194" t="s">
        <v>2295</v>
      </c>
    </row>
    <row r="1195" spans="1:6" x14ac:dyDescent="0.3">
      <c r="A1195" t="str">
        <f>"30"</f>
        <v>30</v>
      </c>
      <c r="B1195" t="str">
        <f>"30.3101"</f>
        <v>30.3101</v>
      </c>
      <c r="C1195" t="s">
        <v>2294</v>
      </c>
      <c r="D1195" t="s">
        <v>5843</v>
      </c>
      <c r="E1195" t="s">
        <v>5842</v>
      </c>
      <c r="F1195" t="s">
        <v>5841</v>
      </c>
    </row>
    <row r="1196" spans="1:6" x14ac:dyDescent="0.3">
      <c r="A1196" t="str">
        <f>"30"</f>
        <v>30</v>
      </c>
      <c r="B1196" t="str">
        <f>"30.32"</f>
        <v>30.32</v>
      </c>
      <c r="C1196" t="s">
        <v>2292</v>
      </c>
      <c r="D1196" t="s">
        <v>2293</v>
      </c>
    </row>
    <row r="1197" spans="1:6" x14ac:dyDescent="0.3">
      <c r="A1197" t="str">
        <f>"30"</f>
        <v>30</v>
      </c>
      <c r="B1197" t="str">
        <f>"30.3201"</f>
        <v>30.3201</v>
      </c>
      <c r="C1197" t="s">
        <v>2292</v>
      </c>
      <c r="D1197" t="s">
        <v>2291</v>
      </c>
      <c r="E1197" t="s">
        <v>1978</v>
      </c>
    </row>
    <row r="1198" spans="1:6" x14ac:dyDescent="0.3">
      <c r="A1198" t="str">
        <f>"30"</f>
        <v>30</v>
      </c>
      <c r="B1198" t="str">
        <f>"30.33"</f>
        <v>30.33</v>
      </c>
      <c r="C1198" t="s">
        <v>2288</v>
      </c>
      <c r="D1198" t="s">
        <v>2290</v>
      </c>
    </row>
    <row r="1199" spans="1:6" x14ac:dyDescent="0.3">
      <c r="A1199" t="str">
        <f>"30"</f>
        <v>30</v>
      </c>
      <c r="B1199" t="str">
        <f>"30.3301"</f>
        <v>30.3301</v>
      </c>
      <c r="C1199" t="s">
        <v>2288</v>
      </c>
      <c r="D1199" t="s">
        <v>2287</v>
      </c>
      <c r="E1199" t="s">
        <v>2286</v>
      </c>
      <c r="F1199" t="s">
        <v>2274</v>
      </c>
    </row>
    <row r="1200" spans="1:6" x14ac:dyDescent="0.3">
      <c r="A1200" t="str">
        <f>"30"</f>
        <v>30</v>
      </c>
      <c r="B1200" t="str">
        <f>"30.34"</f>
        <v>30.34</v>
      </c>
      <c r="C1200" t="s">
        <v>5839</v>
      </c>
      <c r="D1200" t="s">
        <v>5840</v>
      </c>
    </row>
    <row r="1201" spans="1:5" x14ac:dyDescent="0.3">
      <c r="A1201" t="str">
        <f>"30"</f>
        <v>30</v>
      </c>
      <c r="B1201" t="str">
        <f>"30.3401"</f>
        <v>30.3401</v>
      </c>
      <c r="C1201" t="s">
        <v>5839</v>
      </c>
      <c r="D1201" t="s">
        <v>5838</v>
      </c>
    </row>
    <row r="1202" spans="1:5" x14ac:dyDescent="0.3">
      <c r="A1202" t="str">
        <f>"30"</f>
        <v>30</v>
      </c>
      <c r="B1202" t="str">
        <f>"30.35"</f>
        <v>30.35</v>
      </c>
      <c r="C1202" t="s">
        <v>5836</v>
      </c>
      <c r="D1202" t="s">
        <v>5837</v>
      </c>
    </row>
    <row r="1203" spans="1:5" x14ac:dyDescent="0.3">
      <c r="A1203" t="str">
        <f>"30"</f>
        <v>30</v>
      </c>
      <c r="B1203" t="str">
        <f>"30.3501"</f>
        <v>30.3501</v>
      </c>
      <c r="C1203" t="s">
        <v>5836</v>
      </c>
      <c r="D1203" t="s">
        <v>5835</v>
      </c>
    </row>
    <row r="1204" spans="1:5" x14ac:dyDescent="0.3">
      <c r="A1204" t="str">
        <f>"30"</f>
        <v>30</v>
      </c>
      <c r="B1204" t="str">
        <f>"30.36"</f>
        <v>30.36</v>
      </c>
      <c r="C1204" t="s">
        <v>5833</v>
      </c>
      <c r="D1204" t="s">
        <v>5834</v>
      </c>
    </row>
    <row r="1205" spans="1:5" x14ac:dyDescent="0.3">
      <c r="A1205" t="str">
        <f>"30"</f>
        <v>30</v>
      </c>
      <c r="B1205" t="str">
        <f>"30.3601"</f>
        <v>30.3601</v>
      </c>
      <c r="C1205" t="s">
        <v>5833</v>
      </c>
      <c r="D1205" t="s">
        <v>5832</v>
      </c>
      <c r="E1205" t="s">
        <v>5831</v>
      </c>
    </row>
    <row r="1206" spans="1:5" x14ac:dyDescent="0.3">
      <c r="A1206" t="str">
        <f>"30"</f>
        <v>30</v>
      </c>
      <c r="B1206" t="str">
        <f>"30.37"</f>
        <v>30.37</v>
      </c>
      <c r="C1206" t="s">
        <v>5829</v>
      </c>
      <c r="D1206" t="s">
        <v>5830</v>
      </c>
    </row>
    <row r="1207" spans="1:5" x14ac:dyDescent="0.3">
      <c r="A1207" t="str">
        <f>"30"</f>
        <v>30</v>
      </c>
      <c r="B1207" t="str">
        <f>"30.3701"</f>
        <v>30.3701</v>
      </c>
      <c r="C1207" t="s">
        <v>5829</v>
      </c>
      <c r="D1207" t="s">
        <v>5828</v>
      </c>
      <c r="E1207" t="s">
        <v>5827</v>
      </c>
    </row>
    <row r="1208" spans="1:5" x14ac:dyDescent="0.3">
      <c r="A1208" t="str">
        <f>"30"</f>
        <v>30</v>
      </c>
      <c r="B1208" t="str">
        <f>"30.38"</f>
        <v>30.38</v>
      </c>
      <c r="C1208" t="s">
        <v>5825</v>
      </c>
      <c r="D1208" t="s">
        <v>5826</v>
      </c>
    </row>
    <row r="1209" spans="1:5" x14ac:dyDescent="0.3">
      <c r="A1209" t="str">
        <f>"30"</f>
        <v>30</v>
      </c>
      <c r="B1209" t="str">
        <f>"30.3801"</f>
        <v>30.3801</v>
      </c>
      <c r="C1209" t="s">
        <v>5825</v>
      </c>
      <c r="D1209" t="s">
        <v>5824</v>
      </c>
    </row>
    <row r="1210" spans="1:5" x14ac:dyDescent="0.3">
      <c r="A1210" t="str">
        <f>"30"</f>
        <v>30</v>
      </c>
      <c r="B1210" t="str">
        <f>"30.39"</f>
        <v>30.39</v>
      </c>
      <c r="C1210" t="s">
        <v>5822</v>
      </c>
      <c r="D1210" t="s">
        <v>5823</v>
      </c>
    </row>
    <row r="1211" spans="1:5" x14ac:dyDescent="0.3">
      <c r="A1211" t="str">
        <f>"30"</f>
        <v>30</v>
      </c>
      <c r="B1211" t="str">
        <f>"30.3901"</f>
        <v>30.3901</v>
      </c>
      <c r="C1211" t="s">
        <v>5822</v>
      </c>
      <c r="D1211" t="s">
        <v>5821</v>
      </c>
    </row>
    <row r="1212" spans="1:5" x14ac:dyDescent="0.3">
      <c r="A1212" t="str">
        <f>"30"</f>
        <v>30</v>
      </c>
      <c r="B1212" t="str">
        <f>"30.40"</f>
        <v>30.40</v>
      </c>
      <c r="C1212" t="s">
        <v>5819</v>
      </c>
      <c r="D1212" t="s">
        <v>5820</v>
      </c>
    </row>
    <row r="1213" spans="1:5" x14ac:dyDescent="0.3">
      <c r="A1213" t="str">
        <f>"30"</f>
        <v>30</v>
      </c>
      <c r="B1213" t="str">
        <f>"30.4001"</f>
        <v>30.4001</v>
      </c>
      <c r="C1213" t="s">
        <v>5819</v>
      </c>
      <c r="D1213" t="s">
        <v>5818</v>
      </c>
      <c r="E1213" t="s">
        <v>5817</v>
      </c>
    </row>
    <row r="1214" spans="1:5" x14ac:dyDescent="0.3">
      <c r="A1214" t="str">
        <f>"30"</f>
        <v>30</v>
      </c>
      <c r="B1214" t="str">
        <f>"30.41"</f>
        <v>30.41</v>
      </c>
      <c r="C1214" t="s">
        <v>5815</v>
      </c>
      <c r="D1214" t="s">
        <v>5816</v>
      </c>
    </row>
    <row r="1215" spans="1:5" x14ac:dyDescent="0.3">
      <c r="A1215" t="str">
        <f>"30"</f>
        <v>30</v>
      </c>
      <c r="B1215" t="str">
        <f>"30.4101"</f>
        <v>30.4101</v>
      </c>
      <c r="C1215" t="s">
        <v>5815</v>
      </c>
      <c r="D1215" t="s">
        <v>5814</v>
      </c>
    </row>
    <row r="1216" spans="1:5" x14ac:dyDescent="0.3">
      <c r="A1216" t="str">
        <f>"30"</f>
        <v>30</v>
      </c>
      <c r="B1216" t="str">
        <f>"30.42"</f>
        <v>30.42</v>
      </c>
      <c r="C1216" t="s">
        <v>5812</v>
      </c>
      <c r="D1216" t="s">
        <v>5813</v>
      </c>
    </row>
    <row r="1217" spans="1:6" x14ac:dyDescent="0.3">
      <c r="A1217" t="str">
        <f>"30"</f>
        <v>30</v>
      </c>
      <c r="B1217" t="str">
        <f>"30.4201"</f>
        <v>30.4201</v>
      </c>
      <c r="C1217" t="s">
        <v>5812</v>
      </c>
      <c r="D1217" t="s">
        <v>5811</v>
      </c>
    </row>
    <row r="1218" spans="1:6" x14ac:dyDescent="0.3">
      <c r="A1218" t="str">
        <f>"30"</f>
        <v>30</v>
      </c>
      <c r="B1218" t="str">
        <f>"30.43"</f>
        <v>30.43</v>
      </c>
      <c r="C1218" t="s">
        <v>5809</v>
      </c>
      <c r="D1218" t="s">
        <v>5810</v>
      </c>
    </row>
    <row r="1219" spans="1:6" x14ac:dyDescent="0.3">
      <c r="A1219" t="str">
        <f>"30"</f>
        <v>30</v>
      </c>
      <c r="B1219" t="str">
        <f>"30.4301"</f>
        <v>30.4301</v>
      </c>
      <c r="C1219" t="s">
        <v>5809</v>
      </c>
      <c r="D1219" t="s">
        <v>5808</v>
      </c>
    </row>
    <row r="1220" spans="1:6" x14ac:dyDescent="0.3">
      <c r="A1220" t="str">
        <f>"30"</f>
        <v>30</v>
      </c>
      <c r="B1220" t="str">
        <f>"30.44"</f>
        <v>30.44</v>
      </c>
      <c r="C1220" t="s">
        <v>5806</v>
      </c>
      <c r="D1220" t="s">
        <v>5807</v>
      </c>
    </row>
    <row r="1221" spans="1:6" x14ac:dyDescent="0.3">
      <c r="A1221" t="str">
        <f>"30"</f>
        <v>30</v>
      </c>
      <c r="B1221" t="str">
        <f>"30.4401"</f>
        <v>30.4401</v>
      </c>
      <c r="C1221" t="s">
        <v>5806</v>
      </c>
      <c r="D1221" t="s">
        <v>5805</v>
      </c>
      <c r="E1221" t="s">
        <v>5804</v>
      </c>
    </row>
    <row r="1222" spans="1:6" x14ac:dyDescent="0.3">
      <c r="A1222" t="str">
        <f>"30"</f>
        <v>30</v>
      </c>
      <c r="B1222" t="str">
        <f>"30.45"</f>
        <v>30.45</v>
      </c>
      <c r="C1222" t="s">
        <v>5802</v>
      </c>
      <c r="D1222" t="s">
        <v>5803</v>
      </c>
    </row>
    <row r="1223" spans="1:6" x14ac:dyDescent="0.3">
      <c r="A1223" t="str">
        <f>"30"</f>
        <v>30</v>
      </c>
      <c r="B1223" t="str">
        <f>"30.4501"</f>
        <v>30.4501</v>
      </c>
      <c r="C1223" t="s">
        <v>5802</v>
      </c>
      <c r="D1223" t="s">
        <v>5801</v>
      </c>
      <c r="E1223" t="s">
        <v>5800</v>
      </c>
    </row>
    <row r="1224" spans="1:6" x14ac:dyDescent="0.3">
      <c r="A1224" t="str">
        <f>"30"</f>
        <v>30</v>
      </c>
      <c r="B1224" t="str">
        <f>"30.46"</f>
        <v>30.46</v>
      </c>
      <c r="C1224" t="s">
        <v>5798</v>
      </c>
      <c r="D1224" t="s">
        <v>5799</v>
      </c>
    </row>
    <row r="1225" spans="1:6" x14ac:dyDescent="0.3">
      <c r="A1225" t="str">
        <f>"30"</f>
        <v>30</v>
      </c>
      <c r="B1225" t="str">
        <f>"30.4601"</f>
        <v>30.4601</v>
      </c>
      <c r="C1225" t="s">
        <v>5798</v>
      </c>
      <c r="D1225" t="s">
        <v>5797</v>
      </c>
      <c r="E1225" t="s">
        <v>5796</v>
      </c>
    </row>
    <row r="1226" spans="1:6" x14ac:dyDescent="0.3">
      <c r="A1226" t="str">
        <f>"30"</f>
        <v>30</v>
      </c>
      <c r="B1226" t="str">
        <f>"30.47"</f>
        <v>30.47</v>
      </c>
      <c r="C1226" t="s">
        <v>5794</v>
      </c>
      <c r="D1226" t="s">
        <v>5795</v>
      </c>
    </row>
    <row r="1227" spans="1:6" x14ac:dyDescent="0.3">
      <c r="A1227" t="str">
        <f>"30"</f>
        <v>30</v>
      </c>
      <c r="B1227" t="str">
        <f>"30.4701"</f>
        <v>30.4701</v>
      </c>
      <c r="C1227" t="s">
        <v>5794</v>
      </c>
      <c r="D1227" t="s">
        <v>5793</v>
      </c>
      <c r="E1227" t="s">
        <v>5792</v>
      </c>
    </row>
    <row r="1228" spans="1:6" x14ac:dyDescent="0.3">
      <c r="A1228" t="str">
        <f>"30"</f>
        <v>30</v>
      </c>
      <c r="B1228" t="str">
        <f>"30.48"</f>
        <v>30.48</v>
      </c>
      <c r="C1228" t="s">
        <v>5790</v>
      </c>
      <c r="D1228" t="s">
        <v>5791</v>
      </c>
    </row>
    <row r="1229" spans="1:6" x14ac:dyDescent="0.3">
      <c r="A1229" t="str">
        <f>"30"</f>
        <v>30</v>
      </c>
      <c r="B1229" t="str">
        <f>"30.4801"</f>
        <v>30.4801</v>
      </c>
      <c r="C1229" t="s">
        <v>5790</v>
      </c>
      <c r="D1229" t="s">
        <v>5789</v>
      </c>
      <c r="E1229" t="s">
        <v>5788</v>
      </c>
    </row>
    <row r="1230" spans="1:6" x14ac:dyDescent="0.3">
      <c r="A1230" t="str">
        <f>"30"</f>
        <v>30</v>
      </c>
      <c r="B1230" t="str">
        <f>"30.49"</f>
        <v>30.49</v>
      </c>
      <c r="C1230" t="s">
        <v>5786</v>
      </c>
      <c r="D1230" t="s">
        <v>5787</v>
      </c>
    </row>
    <row r="1231" spans="1:6" x14ac:dyDescent="0.3">
      <c r="A1231" t="str">
        <f>"30"</f>
        <v>30</v>
      </c>
      <c r="B1231" t="str">
        <f>"30.4901"</f>
        <v>30.4901</v>
      </c>
      <c r="C1231" t="s">
        <v>5786</v>
      </c>
      <c r="D1231" t="s">
        <v>5785</v>
      </c>
      <c r="E1231" t="s">
        <v>5784</v>
      </c>
      <c r="F1231" t="s">
        <v>5783</v>
      </c>
    </row>
    <row r="1232" spans="1:6" x14ac:dyDescent="0.3">
      <c r="A1232" t="str">
        <f>"30"</f>
        <v>30</v>
      </c>
      <c r="B1232" t="str">
        <f>"30.50"</f>
        <v>30.50</v>
      </c>
      <c r="C1232" t="s">
        <v>5781</v>
      </c>
      <c r="D1232" t="s">
        <v>5782</v>
      </c>
    </row>
    <row r="1233" spans="1:6" x14ac:dyDescent="0.3">
      <c r="A1233" t="str">
        <f>"30"</f>
        <v>30</v>
      </c>
      <c r="B1233" t="str">
        <f>"30.5001"</f>
        <v>30.5001</v>
      </c>
      <c r="C1233" t="s">
        <v>5781</v>
      </c>
      <c r="D1233" t="s">
        <v>5780</v>
      </c>
    </row>
    <row r="1234" spans="1:6" x14ac:dyDescent="0.3">
      <c r="A1234" t="str">
        <f>"30"</f>
        <v>30</v>
      </c>
      <c r="B1234" t="str">
        <f>"30.51"</f>
        <v>30.51</v>
      </c>
      <c r="C1234" t="s">
        <v>5778</v>
      </c>
      <c r="D1234" t="s">
        <v>5779</v>
      </c>
    </row>
    <row r="1235" spans="1:6" x14ac:dyDescent="0.3">
      <c r="A1235" t="str">
        <f>"30"</f>
        <v>30</v>
      </c>
      <c r="B1235" t="str">
        <f>"30.5101"</f>
        <v>30.5101</v>
      </c>
      <c r="C1235" t="s">
        <v>5778</v>
      </c>
      <c r="D1235" t="s">
        <v>5777</v>
      </c>
      <c r="E1235" t="s">
        <v>5776</v>
      </c>
    </row>
    <row r="1236" spans="1:6" x14ac:dyDescent="0.3">
      <c r="A1236" t="str">
        <f>"30"</f>
        <v>30</v>
      </c>
      <c r="B1236" t="str">
        <f>"30.52"</f>
        <v>30.52</v>
      </c>
      <c r="C1236" t="s">
        <v>5775</v>
      </c>
      <c r="D1236" t="s">
        <v>5774</v>
      </c>
    </row>
    <row r="1237" spans="1:6" x14ac:dyDescent="0.3">
      <c r="A1237" t="str">
        <f>"30"</f>
        <v>30</v>
      </c>
      <c r="B1237" t="str">
        <f>"30.5201"</f>
        <v>30.5201</v>
      </c>
      <c r="C1237" t="s">
        <v>5773</v>
      </c>
      <c r="D1237" t="s">
        <v>5772</v>
      </c>
    </row>
    <row r="1238" spans="1:6" x14ac:dyDescent="0.3">
      <c r="A1238" t="str">
        <f>"30"</f>
        <v>30</v>
      </c>
      <c r="B1238" t="str">
        <f>"30.5202"</f>
        <v>30.5202</v>
      </c>
      <c r="C1238" t="s">
        <v>5771</v>
      </c>
      <c r="D1238" t="s">
        <v>5770</v>
      </c>
    </row>
    <row r="1239" spans="1:6" x14ac:dyDescent="0.3">
      <c r="A1239" t="str">
        <f>"30"</f>
        <v>30</v>
      </c>
      <c r="B1239" t="str">
        <f>"30.5203"</f>
        <v>30.5203</v>
      </c>
      <c r="C1239" t="s">
        <v>5769</v>
      </c>
      <c r="D1239" t="s">
        <v>5768</v>
      </c>
    </row>
    <row r="1240" spans="1:6" x14ac:dyDescent="0.3">
      <c r="A1240" t="str">
        <f>"30"</f>
        <v>30</v>
      </c>
      <c r="B1240" t="str">
        <f>"30.5299"</f>
        <v>30.5299</v>
      </c>
      <c r="C1240" t="s">
        <v>5767</v>
      </c>
      <c r="D1240" t="s">
        <v>5766</v>
      </c>
    </row>
    <row r="1241" spans="1:6" x14ac:dyDescent="0.3">
      <c r="A1241" t="str">
        <f>"30"</f>
        <v>30</v>
      </c>
      <c r="B1241" t="str">
        <f>"30.53"</f>
        <v>30.53</v>
      </c>
      <c r="C1241" t="s">
        <v>5764</v>
      </c>
      <c r="D1241" t="s">
        <v>5765</v>
      </c>
    </row>
    <row r="1242" spans="1:6" x14ac:dyDescent="0.3">
      <c r="A1242" t="str">
        <f>"30"</f>
        <v>30</v>
      </c>
      <c r="B1242" t="str">
        <f>"30.5301"</f>
        <v>30.5301</v>
      </c>
      <c r="C1242" t="s">
        <v>5764</v>
      </c>
      <c r="D1242" t="s">
        <v>5763</v>
      </c>
    </row>
    <row r="1243" spans="1:6" x14ac:dyDescent="0.3">
      <c r="A1243" t="str">
        <f>"30"</f>
        <v>30</v>
      </c>
      <c r="B1243" t="str">
        <f>"30.70"</f>
        <v>30.70</v>
      </c>
      <c r="C1243" t="s">
        <v>5762</v>
      </c>
      <c r="D1243" t="s">
        <v>5761</v>
      </c>
    </row>
    <row r="1244" spans="1:6" x14ac:dyDescent="0.3">
      <c r="A1244" t="str">
        <f>"30"</f>
        <v>30</v>
      </c>
      <c r="B1244" t="str">
        <f>"30.7001"</f>
        <v>30.7001</v>
      </c>
      <c r="C1244" t="s">
        <v>5760</v>
      </c>
      <c r="D1244" t="s">
        <v>5759</v>
      </c>
    </row>
    <row r="1245" spans="1:6" x14ac:dyDescent="0.3">
      <c r="A1245" t="str">
        <f>"30"</f>
        <v>30</v>
      </c>
      <c r="B1245" t="str">
        <f>"30.7099"</f>
        <v>30.7099</v>
      </c>
      <c r="C1245" t="s">
        <v>5758</v>
      </c>
      <c r="D1245" t="s">
        <v>5757</v>
      </c>
    </row>
    <row r="1246" spans="1:6" x14ac:dyDescent="0.3">
      <c r="A1246" t="str">
        <f>"30"</f>
        <v>30</v>
      </c>
      <c r="B1246" t="str">
        <f>"30.71"</f>
        <v>30.71</v>
      </c>
      <c r="C1246" t="s">
        <v>5756</v>
      </c>
      <c r="D1246" t="s">
        <v>5755</v>
      </c>
    </row>
    <row r="1247" spans="1:6" x14ac:dyDescent="0.3">
      <c r="A1247" t="str">
        <f>"30"</f>
        <v>30</v>
      </c>
      <c r="B1247" t="str">
        <f>"30.7101"</f>
        <v>30.7101</v>
      </c>
      <c r="C1247" t="s">
        <v>5754</v>
      </c>
      <c r="D1247" t="s">
        <v>5753</v>
      </c>
    </row>
    <row r="1248" spans="1:6" x14ac:dyDescent="0.3">
      <c r="A1248" t="str">
        <f>"30"</f>
        <v>30</v>
      </c>
      <c r="B1248" t="str">
        <f>"30.7102"</f>
        <v>30.7102</v>
      </c>
      <c r="C1248" t="s">
        <v>5752</v>
      </c>
      <c r="D1248" t="s">
        <v>5751</v>
      </c>
      <c r="E1248" t="s">
        <v>5750</v>
      </c>
      <c r="F1248" t="s">
        <v>5749</v>
      </c>
    </row>
    <row r="1249" spans="1:6" x14ac:dyDescent="0.3">
      <c r="A1249" t="str">
        <f>"30"</f>
        <v>30</v>
      </c>
      <c r="B1249" t="str">
        <f>"30.7103"</f>
        <v>30.7103</v>
      </c>
      <c r="C1249" t="s">
        <v>5748</v>
      </c>
      <c r="D1249" t="s">
        <v>5747</v>
      </c>
      <c r="F1249" t="s">
        <v>5746</v>
      </c>
    </row>
    <row r="1250" spans="1:6" x14ac:dyDescent="0.3">
      <c r="A1250" t="str">
        <f>"30"</f>
        <v>30</v>
      </c>
      <c r="B1250" t="str">
        <f>"30.7104"</f>
        <v>30.7104</v>
      </c>
      <c r="C1250" t="s">
        <v>5745</v>
      </c>
      <c r="D1250" t="s">
        <v>5744</v>
      </c>
    </row>
    <row r="1251" spans="1:6" x14ac:dyDescent="0.3">
      <c r="A1251" t="str">
        <f>"30"</f>
        <v>30</v>
      </c>
      <c r="B1251" t="str">
        <f>"30.7199"</f>
        <v>30.7199</v>
      </c>
      <c r="C1251" t="s">
        <v>5743</v>
      </c>
      <c r="D1251" t="s">
        <v>5742</v>
      </c>
      <c r="F1251" t="s">
        <v>5741</v>
      </c>
    </row>
    <row r="1252" spans="1:6" x14ac:dyDescent="0.3">
      <c r="A1252" t="str">
        <f>"30"</f>
        <v>30</v>
      </c>
      <c r="B1252" t="str">
        <f>"30.99"</f>
        <v>30.99</v>
      </c>
      <c r="C1252" t="s">
        <v>2285</v>
      </c>
      <c r="D1252" t="s">
        <v>2284</v>
      </c>
    </row>
    <row r="1253" spans="1:6" x14ac:dyDescent="0.3">
      <c r="A1253" t="str">
        <f>"30"</f>
        <v>30</v>
      </c>
      <c r="B1253" t="str">
        <f>"30.9999"</f>
        <v>30.9999</v>
      </c>
      <c r="C1253" t="s">
        <v>2283</v>
      </c>
      <c r="D1253" t="s">
        <v>2282</v>
      </c>
    </row>
    <row r="1254" spans="1:6" x14ac:dyDescent="0.3">
      <c r="A1254" t="str">
        <f>"31"</f>
        <v>31</v>
      </c>
      <c r="B1254" t="str">
        <f>"31"</f>
        <v>31</v>
      </c>
      <c r="C1254" t="s">
        <v>5740</v>
      </c>
      <c r="D1254" t="s">
        <v>5739</v>
      </c>
    </row>
    <row r="1255" spans="1:6" x14ac:dyDescent="0.3">
      <c r="A1255" t="str">
        <f>"31"</f>
        <v>31</v>
      </c>
      <c r="B1255" t="str">
        <f>"31.01"</f>
        <v>31.01</v>
      </c>
      <c r="C1255" t="s">
        <v>5738</v>
      </c>
      <c r="D1255" t="s">
        <v>2281</v>
      </c>
    </row>
    <row r="1256" spans="1:6" x14ac:dyDescent="0.3">
      <c r="A1256" t="str">
        <f>"31"</f>
        <v>31</v>
      </c>
      <c r="B1256" t="str">
        <f>"31.0101"</f>
        <v>31.0101</v>
      </c>
      <c r="C1256" t="s">
        <v>5738</v>
      </c>
      <c r="D1256" t="s">
        <v>2280</v>
      </c>
    </row>
    <row r="1257" spans="1:6" x14ac:dyDescent="0.3">
      <c r="A1257" t="str">
        <f>"31"</f>
        <v>31</v>
      </c>
      <c r="B1257" t="str">
        <f>"31.03"</f>
        <v>31.03</v>
      </c>
      <c r="C1257" t="s">
        <v>5737</v>
      </c>
      <c r="D1257" t="s">
        <v>2279</v>
      </c>
    </row>
    <row r="1258" spans="1:6" x14ac:dyDescent="0.3">
      <c r="A1258" t="str">
        <f>"31"</f>
        <v>31</v>
      </c>
      <c r="B1258" t="str">
        <f>"31.0301"</f>
        <v>31.0301</v>
      </c>
      <c r="C1258" t="s">
        <v>5736</v>
      </c>
      <c r="D1258" t="s">
        <v>2278</v>
      </c>
      <c r="E1258" t="s">
        <v>5735</v>
      </c>
    </row>
    <row r="1259" spans="1:6" x14ac:dyDescent="0.3">
      <c r="A1259" t="str">
        <f>"31"</f>
        <v>31</v>
      </c>
      <c r="B1259" t="str">
        <f>"31.0302"</f>
        <v>31.0302</v>
      </c>
      <c r="C1259" t="s">
        <v>2277</v>
      </c>
      <c r="D1259" t="s">
        <v>2276</v>
      </c>
    </row>
    <row r="1260" spans="1:6" x14ac:dyDescent="0.3">
      <c r="A1260" t="str">
        <f>"31"</f>
        <v>31</v>
      </c>
      <c r="B1260" t="str">
        <f>"31.0399"</f>
        <v>31.0399</v>
      </c>
      <c r="C1260" t="s">
        <v>5734</v>
      </c>
      <c r="D1260" t="s">
        <v>5733</v>
      </c>
    </row>
    <row r="1261" spans="1:6" x14ac:dyDescent="0.3">
      <c r="A1261" t="str">
        <f>"31"</f>
        <v>31</v>
      </c>
      <c r="B1261" t="str">
        <f>"31.05"</f>
        <v>31.05</v>
      </c>
      <c r="C1261" t="s">
        <v>5732</v>
      </c>
      <c r="D1261" t="s">
        <v>2275</v>
      </c>
    </row>
    <row r="1262" spans="1:6" x14ac:dyDescent="0.3">
      <c r="A1262" t="str">
        <f>"31"</f>
        <v>31</v>
      </c>
      <c r="B1262" t="str">
        <f>"31.0501"</f>
        <v>31.0501</v>
      </c>
      <c r="C1262" t="s">
        <v>5731</v>
      </c>
      <c r="D1262" t="s">
        <v>5730</v>
      </c>
      <c r="E1262" t="s">
        <v>2273</v>
      </c>
      <c r="F1262" t="s">
        <v>2269</v>
      </c>
    </row>
    <row r="1263" spans="1:6" x14ac:dyDescent="0.3">
      <c r="A1263" t="str">
        <f>"31"</f>
        <v>31</v>
      </c>
      <c r="B1263" t="str">
        <f>"31.0504"</f>
        <v>31.0504</v>
      </c>
      <c r="C1263" t="s">
        <v>2272</v>
      </c>
      <c r="D1263" t="s">
        <v>2271</v>
      </c>
      <c r="E1263" t="s">
        <v>2270</v>
      </c>
    </row>
    <row r="1264" spans="1:6" x14ac:dyDescent="0.3">
      <c r="A1264" t="str">
        <f>"31"</f>
        <v>31</v>
      </c>
      <c r="B1264" t="str">
        <f>"31.0505"</f>
        <v>31.0505</v>
      </c>
      <c r="C1264" t="s">
        <v>5729</v>
      </c>
      <c r="D1264" t="s">
        <v>5728</v>
      </c>
      <c r="E1264" t="s">
        <v>5727</v>
      </c>
    </row>
    <row r="1265" spans="1:6" x14ac:dyDescent="0.3">
      <c r="A1265" t="str">
        <f>"31"</f>
        <v>31</v>
      </c>
      <c r="B1265" t="str">
        <f>"31.0507"</f>
        <v>31.0507</v>
      </c>
      <c r="C1265" t="s">
        <v>2268</v>
      </c>
      <c r="D1265" t="s">
        <v>2267</v>
      </c>
      <c r="E1265" t="s">
        <v>2266</v>
      </c>
      <c r="F1265" t="s">
        <v>2265</v>
      </c>
    </row>
    <row r="1266" spans="1:6" x14ac:dyDescent="0.3">
      <c r="A1266" t="str">
        <f>"31"</f>
        <v>31</v>
      </c>
      <c r="B1266" t="str">
        <f>"31.0508"</f>
        <v>31.0508</v>
      </c>
      <c r="C1266" t="s">
        <v>2264</v>
      </c>
      <c r="D1266" t="s">
        <v>2263</v>
      </c>
      <c r="E1266" t="s">
        <v>5726</v>
      </c>
      <c r="F1266" t="s">
        <v>5725</v>
      </c>
    </row>
    <row r="1267" spans="1:6" x14ac:dyDescent="0.3">
      <c r="A1267" t="str">
        <f>"31"</f>
        <v>31</v>
      </c>
      <c r="B1267" t="str">
        <f>"31.0599"</f>
        <v>31.0599</v>
      </c>
      <c r="C1267" t="s">
        <v>5724</v>
      </c>
      <c r="D1267" t="s">
        <v>5723</v>
      </c>
    </row>
    <row r="1268" spans="1:6" x14ac:dyDescent="0.3">
      <c r="A1268" t="str">
        <f>"31"</f>
        <v>31</v>
      </c>
      <c r="B1268" t="str">
        <f>"31.06"</f>
        <v>31.06</v>
      </c>
      <c r="C1268" t="s">
        <v>2261</v>
      </c>
      <c r="D1268" t="s">
        <v>2262</v>
      </c>
    </row>
    <row r="1269" spans="1:6" x14ac:dyDescent="0.3">
      <c r="A1269" t="str">
        <f>"31"</f>
        <v>31</v>
      </c>
      <c r="B1269" t="str">
        <f>"31.0601"</f>
        <v>31.0601</v>
      </c>
      <c r="C1269" t="s">
        <v>2261</v>
      </c>
      <c r="D1269" t="s">
        <v>2260</v>
      </c>
      <c r="E1269" t="s">
        <v>2259</v>
      </c>
    </row>
    <row r="1270" spans="1:6" x14ac:dyDescent="0.3">
      <c r="A1270" t="str">
        <f>"31"</f>
        <v>31</v>
      </c>
      <c r="B1270" t="str">
        <f>"31.99"</f>
        <v>31.99</v>
      </c>
      <c r="C1270" t="s">
        <v>5722</v>
      </c>
      <c r="D1270" t="s">
        <v>2258</v>
      </c>
    </row>
    <row r="1271" spans="1:6" x14ac:dyDescent="0.3">
      <c r="A1271" t="str">
        <f>"31"</f>
        <v>31</v>
      </c>
      <c r="B1271" t="str">
        <f>"31.9999"</f>
        <v>31.9999</v>
      </c>
      <c r="C1271" t="s">
        <v>5722</v>
      </c>
      <c r="D1271" t="s">
        <v>5721</v>
      </c>
    </row>
    <row r="1272" spans="1:6" x14ac:dyDescent="0.3">
      <c r="A1272" t="str">
        <f>"32"</f>
        <v>32</v>
      </c>
      <c r="B1272" t="str">
        <f>"32"</f>
        <v>32</v>
      </c>
      <c r="C1272" t="s">
        <v>2257</v>
      </c>
      <c r="D1272" t="s">
        <v>2256</v>
      </c>
    </row>
    <row r="1273" spans="1:6" x14ac:dyDescent="0.3">
      <c r="A1273" t="str">
        <f>"32"</f>
        <v>32</v>
      </c>
      <c r="B1273" t="str">
        <f>"32.01"</f>
        <v>32.01</v>
      </c>
      <c r="C1273" t="s">
        <v>2255</v>
      </c>
      <c r="D1273" t="s">
        <v>2254</v>
      </c>
    </row>
    <row r="1274" spans="1:6" x14ac:dyDescent="0.3">
      <c r="A1274" t="str">
        <f>"32"</f>
        <v>32</v>
      </c>
      <c r="B1274" t="str">
        <f>"32.0101"</f>
        <v>32.0101</v>
      </c>
      <c r="C1274" t="s">
        <v>2253</v>
      </c>
      <c r="D1274" t="s">
        <v>2252</v>
      </c>
      <c r="F1274" t="s">
        <v>2251</v>
      </c>
    </row>
    <row r="1275" spans="1:6" x14ac:dyDescent="0.3">
      <c r="A1275" t="str">
        <f>"32"</f>
        <v>32</v>
      </c>
      <c r="B1275" t="str">
        <f>"32.0104"</f>
        <v>32.0104</v>
      </c>
      <c r="C1275" t="s">
        <v>2250</v>
      </c>
      <c r="D1275" t="s">
        <v>2249</v>
      </c>
      <c r="F1275" t="s">
        <v>2244</v>
      </c>
    </row>
    <row r="1276" spans="1:6" x14ac:dyDescent="0.3">
      <c r="A1276" t="str">
        <f>"32"</f>
        <v>32</v>
      </c>
      <c r="B1276" t="str">
        <f>"32.0105"</f>
        <v>32.0105</v>
      </c>
      <c r="C1276" t="s">
        <v>2248</v>
      </c>
      <c r="D1276" t="s">
        <v>2247</v>
      </c>
    </row>
    <row r="1277" spans="1:6" x14ac:dyDescent="0.3">
      <c r="A1277" t="str">
        <f>"32"</f>
        <v>32</v>
      </c>
      <c r="B1277" t="str">
        <f>"32.0107"</f>
        <v>32.0107</v>
      </c>
      <c r="C1277" t="s">
        <v>2246</v>
      </c>
      <c r="D1277" t="s">
        <v>2245</v>
      </c>
    </row>
    <row r="1278" spans="1:6" x14ac:dyDescent="0.3">
      <c r="A1278" t="str">
        <f>"32"</f>
        <v>32</v>
      </c>
      <c r="B1278" t="str">
        <f>"32.0108"</f>
        <v>32.0108</v>
      </c>
      <c r="C1278" t="s">
        <v>2243</v>
      </c>
      <c r="D1278" t="s">
        <v>2242</v>
      </c>
      <c r="F1278" t="s">
        <v>2241</v>
      </c>
    </row>
    <row r="1279" spans="1:6" x14ac:dyDescent="0.3">
      <c r="A1279" t="str">
        <f>"32"</f>
        <v>32</v>
      </c>
      <c r="B1279" t="str">
        <f>"32.0109"</f>
        <v>32.0109</v>
      </c>
      <c r="C1279" t="s">
        <v>2240</v>
      </c>
      <c r="D1279" t="s">
        <v>2239</v>
      </c>
      <c r="F1279" t="s">
        <v>2238</v>
      </c>
    </row>
    <row r="1280" spans="1:6" x14ac:dyDescent="0.3">
      <c r="A1280" t="str">
        <f>"32"</f>
        <v>32</v>
      </c>
      <c r="B1280" t="str">
        <f>"32.0110"</f>
        <v>32.0110</v>
      </c>
      <c r="C1280" t="s">
        <v>2237</v>
      </c>
      <c r="D1280" t="s">
        <v>2236</v>
      </c>
      <c r="F1280" t="s">
        <v>2206</v>
      </c>
    </row>
    <row r="1281" spans="1:6" x14ac:dyDescent="0.3">
      <c r="A1281" t="str">
        <f>"32"</f>
        <v>32</v>
      </c>
      <c r="B1281" t="str">
        <f>"32.0111"</f>
        <v>32.0111</v>
      </c>
      <c r="C1281" t="s">
        <v>2235</v>
      </c>
      <c r="D1281" t="s">
        <v>2234</v>
      </c>
    </row>
    <row r="1282" spans="1:6" x14ac:dyDescent="0.3">
      <c r="A1282" t="str">
        <f>"32"</f>
        <v>32</v>
      </c>
      <c r="B1282" t="str">
        <f>"32.0112"</f>
        <v>32.0112</v>
      </c>
      <c r="C1282" t="s">
        <v>5720</v>
      </c>
      <c r="D1282" t="s">
        <v>5719</v>
      </c>
    </row>
    <row r="1283" spans="1:6" x14ac:dyDescent="0.3">
      <c r="A1283" t="str">
        <f>"32"</f>
        <v>32</v>
      </c>
      <c r="B1283" t="str">
        <f>"32.0199"</f>
        <v>32.0199</v>
      </c>
      <c r="C1283" t="s">
        <v>2233</v>
      </c>
      <c r="D1283" t="s">
        <v>2232</v>
      </c>
    </row>
    <row r="1284" spans="1:6" x14ac:dyDescent="0.3">
      <c r="A1284" t="str">
        <f>"32"</f>
        <v>32</v>
      </c>
      <c r="B1284" t="str">
        <f>"32.02"</f>
        <v>32.02</v>
      </c>
      <c r="C1284" t="s">
        <v>5718</v>
      </c>
      <c r="D1284" t="s">
        <v>5717</v>
      </c>
    </row>
    <row r="1285" spans="1:6" x14ac:dyDescent="0.3">
      <c r="A1285" t="str">
        <f>"32"</f>
        <v>32</v>
      </c>
      <c r="B1285" t="str">
        <f>"32.0201"</f>
        <v>32.0201</v>
      </c>
      <c r="C1285" t="s">
        <v>5716</v>
      </c>
      <c r="D1285" t="s">
        <v>5715</v>
      </c>
    </row>
    <row r="1286" spans="1:6" x14ac:dyDescent="0.3">
      <c r="A1286" t="str">
        <f>"32"</f>
        <v>32</v>
      </c>
      <c r="B1286" t="str">
        <f>"32.0202"</f>
        <v>32.0202</v>
      </c>
      <c r="C1286" t="s">
        <v>5714</v>
      </c>
      <c r="D1286" t="s">
        <v>5713</v>
      </c>
      <c r="E1286" t="s">
        <v>5712</v>
      </c>
      <c r="F1286" t="s">
        <v>5711</v>
      </c>
    </row>
    <row r="1287" spans="1:6" x14ac:dyDescent="0.3">
      <c r="A1287" t="str">
        <f>"32"</f>
        <v>32</v>
      </c>
      <c r="B1287" t="str">
        <f>"32.0203"</f>
        <v>32.0203</v>
      </c>
      <c r="C1287" t="s">
        <v>5710</v>
      </c>
      <c r="D1287" t="s">
        <v>5709</v>
      </c>
      <c r="F1287" t="s">
        <v>5708</v>
      </c>
    </row>
    <row r="1288" spans="1:6" x14ac:dyDescent="0.3">
      <c r="A1288" t="str">
        <f>"32"</f>
        <v>32</v>
      </c>
      <c r="B1288" t="str">
        <f>"32.0204"</f>
        <v>32.0204</v>
      </c>
      <c r="C1288" t="s">
        <v>5707</v>
      </c>
      <c r="D1288" t="s">
        <v>5706</v>
      </c>
      <c r="F1288" t="s">
        <v>5705</v>
      </c>
    </row>
    <row r="1289" spans="1:6" x14ac:dyDescent="0.3">
      <c r="A1289" t="str">
        <f>"32"</f>
        <v>32</v>
      </c>
      <c r="B1289" t="str">
        <f>"32.0205"</f>
        <v>32.0205</v>
      </c>
      <c r="C1289" t="s">
        <v>5704</v>
      </c>
      <c r="D1289" t="s">
        <v>5703</v>
      </c>
      <c r="F1289" t="s">
        <v>5702</v>
      </c>
    </row>
    <row r="1290" spans="1:6" x14ac:dyDescent="0.3">
      <c r="A1290" t="str">
        <f>"32"</f>
        <v>32</v>
      </c>
      <c r="B1290" t="str">
        <f>"32.0299"</f>
        <v>32.0299</v>
      </c>
      <c r="C1290" t="s">
        <v>5701</v>
      </c>
      <c r="D1290" t="s">
        <v>5700</v>
      </c>
    </row>
    <row r="1291" spans="1:6" x14ac:dyDescent="0.3">
      <c r="A1291" t="str">
        <f>"33"</f>
        <v>33</v>
      </c>
      <c r="B1291" t="str">
        <f>"33"</f>
        <v>33</v>
      </c>
      <c r="C1291" t="s">
        <v>2231</v>
      </c>
      <c r="D1291" t="s">
        <v>2230</v>
      </c>
    </row>
    <row r="1292" spans="1:6" x14ac:dyDescent="0.3">
      <c r="A1292" t="str">
        <f>"33"</f>
        <v>33</v>
      </c>
      <c r="B1292" t="str">
        <f>"33.01"</f>
        <v>33.01</v>
      </c>
      <c r="C1292" t="s">
        <v>2229</v>
      </c>
      <c r="D1292" t="s">
        <v>2228</v>
      </c>
    </row>
    <row r="1293" spans="1:6" x14ac:dyDescent="0.3">
      <c r="A1293" t="str">
        <f>"33"</f>
        <v>33</v>
      </c>
      <c r="B1293" t="str">
        <f>"33.0101"</f>
        <v>33.0101</v>
      </c>
      <c r="C1293" t="s">
        <v>2227</v>
      </c>
      <c r="D1293" t="s">
        <v>2226</v>
      </c>
    </row>
    <row r="1294" spans="1:6" x14ac:dyDescent="0.3">
      <c r="A1294" t="str">
        <f>"33"</f>
        <v>33</v>
      </c>
      <c r="B1294" t="str">
        <f>"33.0102"</f>
        <v>33.0102</v>
      </c>
      <c r="C1294" t="s">
        <v>2225</v>
      </c>
      <c r="D1294" t="s">
        <v>2224</v>
      </c>
    </row>
    <row r="1295" spans="1:6" x14ac:dyDescent="0.3">
      <c r="A1295" t="str">
        <f>"33"</f>
        <v>33</v>
      </c>
      <c r="B1295" t="str">
        <f>"33.0103"</f>
        <v>33.0103</v>
      </c>
      <c r="C1295" t="s">
        <v>2223</v>
      </c>
      <c r="D1295" t="s">
        <v>2222</v>
      </c>
    </row>
    <row r="1296" spans="1:6" x14ac:dyDescent="0.3">
      <c r="A1296" t="str">
        <f>"33"</f>
        <v>33</v>
      </c>
      <c r="B1296" t="str">
        <f>"33.0104"</f>
        <v>33.0104</v>
      </c>
      <c r="C1296" t="s">
        <v>2221</v>
      </c>
      <c r="D1296" t="s">
        <v>2220</v>
      </c>
    </row>
    <row r="1297" spans="1:6" x14ac:dyDescent="0.3">
      <c r="A1297" t="str">
        <f>"33"</f>
        <v>33</v>
      </c>
      <c r="B1297" t="str">
        <f>"33.0105"</f>
        <v>33.0105</v>
      </c>
      <c r="C1297" t="s">
        <v>2219</v>
      </c>
      <c r="D1297" t="s">
        <v>2218</v>
      </c>
    </row>
    <row r="1298" spans="1:6" x14ac:dyDescent="0.3">
      <c r="A1298" t="str">
        <f>"33"</f>
        <v>33</v>
      </c>
      <c r="B1298" t="str">
        <f>"33.0106"</f>
        <v>33.0106</v>
      </c>
      <c r="C1298" t="s">
        <v>5699</v>
      </c>
      <c r="D1298" t="s">
        <v>5698</v>
      </c>
    </row>
    <row r="1299" spans="1:6" x14ac:dyDescent="0.3">
      <c r="A1299" t="str">
        <f>"33"</f>
        <v>33</v>
      </c>
      <c r="B1299" t="str">
        <f>"33.0199"</f>
        <v>33.0199</v>
      </c>
      <c r="C1299" t="s">
        <v>2217</v>
      </c>
      <c r="D1299" t="s">
        <v>2216</v>
      </c>
    </row>
    <row r="1300" spans="1:6" x14ac:dyDescent="0.3">
      <c r="A1300" t="str">
        <f>"34"</f>
        <v>34</v>
      </c>
      <c r="B1300" t="str">
        <f>"34"</f>
        <v>34</v>
      </c>
      <c r="C1300" t="s">
        <v>2215</v>
      </c>
      <c r="D1300" t="s">
        <v>5697</v>
      </c>
    </row>
    <row r="1301" spans="1:6" x14ac:dyDescent="0.3">
      <c r="A1301" t="str">
        <f>"34"</f>
        <v>34</v>
      </c>
      <c r="B1301" t="str">
        <f>"34.01"</f>
        <v>34.01</v>
      </c>
      <c r="C1301" t="s">
        <v>2214</v>
      </c>
      <c r="D1301" t="s">
        <v>2213</v>
      </c>
    </row>
    <row r="1302" spans="1:6" x14ac:dyDescent="0.3">
      <c r="A1302" t="str">
        <f>"34"</f>
        <v>34</v>
      </c>
      <c r="B1302" t="str">
        <f>"34.0102"</f>
        <v>34.0102</v>
      </c>
      <c r="C1302" t="s">
        <v>2212</v>
      </c>
      <c r="D1302" t="s">
        <v>2211</v>
      </c>
    </row>
    <row r="1303" spans="1:6" x14ac:dyDescent="0.3">
      <c r="A1303" t="str">
        <f>"34"</f>
        <v>34</v>
      </c>
      <c r="B1303" t="str">
        <f>"34.0103"</f>
        <v>34.0103</v>
      </c>
      <c r="C1303" t="s">
        <v>2210</v>
      </c>
      <c r="D1303" t="s">
        <v>2209</v>
      </c>
    </row>
    <row r="1304" spans="1:6" x14ac:dyDescent="0.3">
      <c r="A1304" t="str">
        <f>"34"</f>
        <v>34</v>
      </c>
      <c r="B1304" t="str">
        <f>"34.0104"</f>
        <v>34.0104</v>
      </c>
      <c r="C1304" t="s">
        <v>2208</v>
      </c>
      <c r="D1304" t="s">
        <v>2207</v>
      </c>
    </row>
    <row r="1305" spans="1:6" x14ac:dyDescent="0.3">
      <c r="A1305" t="str">
        <f>"34"</f>
        <v>34</v>
      </c>
      <c r="B1305" t="str">
        <f>"34.0105"</f>
        <v>34.0105</v>
      </c>
      <c r="C1305" t="s">
        <v>5696</v>
      </c>
      <c r="D1305" t="s">
        <v>5695</v>
      </c>
    </row>
    <row r="1306" spans="1:6" x14ac:dyDescent="0.3">
      <c r="A1306" t="str">
        <f>"34"</f>
        <v>34</v>
      </c>
      <c r="B1306" t="str">
        <f>"34.0199"</f>
        <v>34.0199</v>
      </c>
      <c r="C1306" t="s">
        <v>2205</v>
      </c>
      <c r="D1306" t="s">
        <v>2204</v>
      </c>
      <c r="F1306" t="s">
        <v>2123</v>
      </c>
    </row>
    <row r="1307" spans="1:6" x14ac:dyDescent="0.3">
      <c r="A1307" t="str">
        <f>"35"</f>
        <v>35</v>
      </c>
      <c r="B1307" t="str">
        <f>"35"</f>
        <v>35</v>
      </c>
      <c r="C1307" t="s">
        <v>2203</v>
      </c>
      <c r="D1307" t="s">
        <v>2202</v>
      </c>
    </row>
    <row r="1308" spans="1:6" x14ac:dyDescent="0.3">
      <c r="A1308" t="str">
        <f>"35"</f>
        <v>35</v>
      </c>
      <c r="B1308" t="str">
        <f>"35.01"</f>
        <v>35.01</v>
      </c>
      <c r="C1308" t="s">
        <v>2201</v>
      </c>
      <c r="D1308" t="s">
        <v>2200</v>
      </c>
    </row>
    <row r="1309" spans="1:6" x14ac:dyDescent="0.3">
      <c r="A1309" t="str">
        <f>"35"</f>
        <v>35</v>
      </c>
      <c r="B1309" t="str">
        <f>"35.0101"</f>
        <v>35.0101</v>
      </c>
      <c r="C1309" t="s">
        <v>2199</v>
      </c>
      <c r="D1309" t="s">
        <v>2198</v>
      </c>
    </row>
    <row r="1310" spans="1:6" x14ac:dyDescent="0.3">
      <c r="A1310" t="str">
        <f>"35"</f>
        <v>35</v>
      </c>
      <c r="B1310" t="str">
        <f>"35.0102"</f>
        <v>35.0102</v>
      </c>
      <c r="C1310" t="s">
        <v>2197</v>
      </c>
      <c r="D1310" t="s">
        <v>2196</v>
      </c>
    </row>
    <row r="1311" spans="1:6" x14ac:dyDescent="0.3">
      <c r="A1311" t="str">
        <f>"35"</f>
        <v>35</v>
      </c>
      <c r="B1311" t="str">
        <f>"35.0103"</f>
        <v>35.0103</v>
      </c>
      <c r="C1311" t="s">
        <v>2195</v>
      </c>
      <c r="D1311" t="s">
        <v>2194</v>
      </c>
    </row>
    <row r="1312" spans="1:6" x14ac:dyDescent="0.3">
      <c r="A1312" t="str">
        <f>"35"</f>
        <v>35</v>
      </c>
      <c r="B1312" t="str">
        <f>"35.0105"</f>
        <v>35.0105</v>
      </c>
      <c r="C1312" t="s">
        <v>5694</v>
      </c>
      <c r="D1312" t="s">
        <v>5693</v>
      </c>
    </row>
    <row r="1313" spans="1:4" x14ac:dyDescent="0.3">
      <c r="A1313" t="str">
        <f>"35"</f>
        <v>35</v>
      </c>
      <c r="B1313" t="str">
        <f>"35.0199"</f>
        <v>35.0199</v>
      </c>
      <c r="C1313" t="s">
        <v>2193</v>
      </c>
      <c r="D1313" t="s">
        <v>2192</v>
      </c>
    </row>
    <row r="1314" spans="1:4" x14ac:dyDescent="0.3">
      <c r="A1314" t="str">
        <f>"36"</f>
        <v>36</v>
      </c>
      <c r="B1314" t="str">
        <f>"36"</f>
        <v>36</v>
      </c>
      <c r="C1314" t="s">
        <v>2191</v>
      </c>
      <c r="D1314" t="s">
        <v>2190</v>
      </c>
    </row>
    <row r="1315" spans="1:4" x14ac:dyDescent="0.3">
      <c r="A1315" t="str">
        <f>"36"</f>
        <v>36</v>
      </c>
      <c r="B1315" t="str">
        <f>"36.01"</f>
        <v>36.01</v>
      </c>
      <c r="C1315" t="s">
        <v>2189</v>
      </c>
      <c r="D1315" t="s">
        <v>2188</v>
      </c>
    </row>
    <row r="1316" spans="1:4" x14ac:dyDescent="0.3">
      <c r="A1316" t="str">
        <f>"36"</f>
        <v>36</v>
      </c>
      <c r="B1316" t="str">
        <f>"36.0101"</f>
        <v>36.0101</v>
      </c>
      <c r="C1316" t="s">
        <v>2187</v>
      </c>
      <c r="D1316" t="s">
        <v>2186</v>
      </c>
    </row>
    <row r="1317" spans="1:4" x14ac:dyDescent="0.3">
      <c r="A1317" t="str">
        <f>"36"</f>
        <v>36</v>
      </c>
      <c r="B1317" t="str">
        <f>"36.0102"</f>
        <v>36.0102</v>
      </c>
      <c r="C1317" t="s">
        <v>2185</v>
      </c>
      <c r="D1317" t="s">
        <v>2184</v>
      </c>
    </row>
    <row r="1318" spans="1:4" x14ac:dyDescent="0.3">
      <c r="A1318" t="str">
        <f>"36"</f>
        <v>36</v>
      </c>
      <c r="B1318" t="str">
        <f>"36.0103"</f>
        <v>36.0103</v>
      </c>
      <c r="C1318" t="s">
        <v>2183</v>
      </c>
      <c r="D1318" t="s">
        <v>2182</v>
      </c>
    </row>
    <row r="1319" spans="1:4" x14ac:dyDescent="0.3">
      <c r="A1319" t="str">
        <f>"36"</f>
        <v>36</v>
      </c>
      <c r="B1319" t="str">
        <f>"36.0105"</f>
        <v>36.0105</v>
      </c>
      <c r="C1319" t="s">
        <v>2181</v>
      </c>
      <c r="D1319" t="s">
        <v>2180</v>
      </c>
    </row>
    <row r="1320" spans="1:4" x14ac:dyDescent="0.3">
      <c r="A1320" t="str">
        <f>"36"</f>
        <v>36</v>
      </c>
      <c r="B1320" t="str">
        <f>"36.0106"</f>
        <v>36.0106</v>
      </c>
      <c r="C1320" t="s">
        <v>2179</v>
      </c>
      <c r="D1320" t="s">
        <v>2178</v>
      </c>
    </row>
    <row r="1321" spans="1:4" x14ac:dyDescent="0.3">
      <c r="A1321" t="str">
        <f>"36"</f>
        <v>36</v>
      </c>
      <c r="B1321" t="str">
        <f>"36.0107"</f>
        <v>36.0107</v>
      </c>
      <c r="C1321" t="s">
        <v>2177</v>
      </c>
      <c r="D1321" t="s">
        <v>2176</v>
      </c>
    </row>
    <row r="1322" spans="1:4" x14ac:dyDescent="0.3">
      <c r="A1322" t="str">
        <f>"36"</f>
        <v>36</v>
      </c>
      <c r="B1322" t="str">
        <f>"36.0108"</f>
        <v>36.0108</v>
      </c>
      <c r="C1322" t="s">
        <v>2175</v>
      </c>
      <c r="D1322" t="s">
        <v>2174</v>
      </c>
    </row>
    <row r="1323" spans="1:4" x14ac:dyDescent="0.3">
      <c r="A1323" t="str">
        <f>"36"</f>
        <v>36</v>
      </c>
      <c r="B1323" t="str">
        <f>"36.0109"</f>
        <v>36.0109</v>
      </c>
      <c r="C1323" t="s">
        <v>2173</v>
      </c>
      <c r="D1323" t="s">
        <v>2172</v>
      </c>
    </row>
    <row r="1324" spans="1:4" x14ac:dyDescent="0.3">
      <c r="A1324" t="str">
        <f>"36"</f>
        <v>36</v>
      </c>
      <c r="B1324" t="str">
        <f>"36.0110"</f>
        <v>36.0110</v>
      </c>
      <c r="C1324" t="s">
        <v>2171</v>
      </c>
      <c r="D1324" t="s">
        <v>2170</v>
      </c>
    </row>
    <row r="1325" spans="1:4" x14ac:dyDescent="0.3">
      <c r="A1325" t="str">
        <f>"36"</f>
        <v>36</v>
      </c>
      <c r="B1325" t="str">
        <f>"36.0111"</f>
        <v>36.0111</v>
      </c>
      <c r="C1325" t="s">
        <v>2169</v>
      </c>
      <c r="D1325" t="s">
        <v>2168</v>
      </c>
    </row>
    <row r="1326" spans="1:4" x14ac:dyDescent="0.3">
      <c r="A1326" t="str">
        <f>"36"</f>
        <v>36</v>
      </c>
      <c r="B1326" t="str">
        <f>"36.0112"</f>
        <v>36.0112</v>
      </c>
      <c r="C1326" t="s">
        <v>2167</v>
      </c>
      <c r="D1326" t="s">
        <v>2166</v>
      </c>
    </row>
    <row r="1327" spans="1:4" x14ac:dyDescent="0.3">
      <c r="A1327" t="str">
        <f>"36"</f>
        <v>36</v>
      </c>
      <c r="B1327" t="str">
        <f>"36.0113"</f>
        <v>36.0113</v>
      </c>
      <c r="C1327" t="s">
        <v>2165</v>
      </c>
      <c r="D1327" t="s">
        <v>2164</v>
      </c>
    </row>
    <row r="1328" spans="1:4" x14ac:dyDescent="0.3">
      <c r="A1328" t="str">
        <f>"36"</f>
        <v>36</v>
      </c>
      <c r="B1328" t="str">
        <f>"36.0114"</f>
        <v>36.0114</v>
      </c>
      <c r="C1328" t="s">
        <v>2163</v>
      </c>
      <c r="D1328" t="s">
        <v>2162</v>
      </c>
    </row>
    <row r="1329" spans="1:6" x14ac:dyDescent="0.3">
      <c r="A1329" t="str">
        <f>"36"</f>
        <v>36</v>
      </c>
      <c r="B1329" t="str">
        <f>"36.0115"</f>
        <v>36.0115</v>
      </c>
      <c r="C1329" t="s">
        <v>1237</v>
      </c>
      <c r="D1329" t="s">
        <v>2161</v>
      </c>
    </row>
    <row r="1330" spans="1:6" x14ac:dyDescent="0.3">
      <c r="A1330" t="str">
        <f>"36"</f>
        <v>36</v>
      </c>
      <c r="B1330" t="str">
        <f>"36.0116"</f>
        <v>36.0116</v>
      </c>
      <c r="C1330" t="s">
        <v>2160</v>
      </c>
      <c r="D1330" t="s">
        <v>2159</v>
      </c>
    </row>
    <row r="1331" spans="1:6" x14ac:dyDescent="0.3">
      <c r="A1331" t="str">
        <f>"36"</f>
        <v>36</v>
      </c>
      <c r="B1331" t="str">
        <f>"36.0117"</f>
        <v>36.0117</v>
      </c>
      <c r="C1331" t="s">
        <v>2158</v>
      </c>
      <c r="D1331" t="s">
        <v>2157</v>
      </c>
    </row>
    <row r="1332" spans="1:6" x14ac:dyDescent="0.3">
      <c r="A1332" t="str">
        <f>"36"</f>
        <v>36</v>
      </c>
      <c r="B1332" t="str">
        <f>"36.0118"</f>
        <v>36.0118</v>
      </c>
      <c r="C1332" t="s">
        <v>2156</v>
      </c>
      <c r="D1332" t="s">
        <v>2155</v>
      </c>
    </row>
    <row r="1333" spans="1:6" x14ac:dyDescent="0.3">
      <c r="A1333" t="str">
        <f>"36"</f>
        <v>36</v>
      </c>
      <c r="B1333" t="str">
        <f>"36.0119"</f>
        <v>36.0119</v>
      </c>
      <c r="C1333" t="s">
        <v>2154</v>
      </c>
      <c r="D1333" t="s">
        <v>5692</v>
      </c>
    </row>
    <row r="1334" spans="1:6" x14ac:dyDescent="0.3">
      <c r="A1334" t="str">
        <f>"36"</f>
        <v>36</v>
      </c>
      <c r="B1334" t="str">
        <f>"36.0120"</f>
        <v>36.0120</v>
      </c>
      <c r="C1334" t="s">
        <v>5691</v>
      </c>
      <c r="D1334" t="s">
        <v>5690</v>
      </c>
      <c r="E1334" t="s">
        <v>5689</v>
      </c>
    </row>
    <row r="1335" spans="1:6" x14ac:dyDescent="0.3">
      <c r="A1335" t="str">
        <f>"36"</f>
        <v>36</v>
      </c>
      <c r="B1335" t="str">
        <f>"36.0121"</f>
        <v>36.0121</v>
      </c>
      <c r="C1335" t="s">
        <v>5688</v>
      </c>
      <c r="D1335" t="s">
        <v>5687</v>
      </c>
    </row>
    <row r="1336" spans="1:6" x14ac:dyDescent="0.3">
      <c r="A1336" t="str">
        <f>"36"</f>
        <v>36</v>
      </c>
      <c r="B1336" t="str">
        <f>"36.0122"</f>
        <v>36.0122</v>
      </c>
      <c r="C1336" t="s">
        <v>5686</v>
      </c>
      <c r="D1336" t="s">
        <v>5685</v>
      </c>
    </row>
    <row r="1337" spans="1:6" x14ac:dyDescent="0.3">
      <c r="A1337" t="str">
        <f>"36"</f>
        <v>36</v>
      </c>
      <c r="B1337" t="str">
        <f>"36.0123"</f>
        <v>36.0123</v>
      </c>
      <c r="C1337" t="s">
        <v>5684</v>
      </c>
      <c r="D1337" t="s">
        <v>5683</v>
      </c>
      <c r="E1337" t="s">
        <v>5682</v>
      </c>
    </row>
    <row r="1338" spans="1:6" x14ac:dyDescent="0.3">
      <c r="A1338" t="str">
        <f>"36"</f>
        <v>36</v>
      </c>
      <c r="B1338" t="str">
        <f>"36.0199"</f>
        <v>36.0199</v>
      </c>
      <c r="C1338" t="s">
        <v>2152</v>
      </c>
      <c r="D1338" t="s">
        <v>2151</v>
      </c>
    </row>
    <row r="1339" spans="1:6" x14ac:dyDescent="0.3">
      <c r="A1339" t="str">
        <f>"36"</f>
        <v>36</v>
      </c>
      <c r="B1339" t="str">
        <f>"36.02"</f>
        <v>36.02</v>
      </c>
      <c r="C1339" t="s">
        <v>5681</v>
      </c>
      <c r="D1339" t="s">
        <v>5680</v>
      </c>
    </row>
    <row r="1340" spans="1:6" x14ac:dyDescent="0.3">
      <c r="A1340" t="str">
        <f>"36"</f>
        <v>36</v>
      </c>
      <c r="B1340" t="str">
        <f>"36.0202"</f>
        <v>36.0202</v>
      </c>
      <c r="C1340" t="s">
        <v>2154</v>
      </c>
      <c r="D1340" t="s">
        <v>2153</v>
      </c>
    </row>
    <row r="1341" spans="1:6" x14ac:dyDescent="0.3">
      <c r="A1341" t="str">
        <f>"36"</f>
        <v>36</v>
      </c>
      <c r="B1341" t="str">
        <f>"36.0203"</f>
        <v>36.0203</v>
      </c>
      <c r="C1341" t="s">
        <v>5679</v>
      </c>
      <c r="D1341" t="s">
        <v>5678</v>
      </c>
    </row>
    <row r="1342" spans="1:6" x14ac:dyDescent="0.3">
      <c r="A1342" t="str">
        <f>"36"</f>
        <v>36</v>
      </c>
      <c r="B1342" t="str">
        <f>"36.0204"</f>
        <v>36.0204</v>
      </c>
      <c r="C1342" t="s">
        <v>5677</v>
      </c>
      <c r="D1342" t="s">
        <v>5676</v>
      </c>
    </row>
    <row r="1343" spans="1:6" x14ac:dyDescent="0.3">
      <c r="A1343" t="str">
        <f>"36"</f>
        <v>36</v>
      </c>
      <c r="B1343" t="str">
        <f>"36.0205"</f>
        <v>36.0205</v>
      </c>
      <c r="C1343" t="s">
        <v>5675</v>
      </c>
      <c r="D1343" t="s">
        <v>5674</v>
      </c>
    </row>
    <row r="1344" spans="1:6" x14ac:dyDescent="0.3">
      <c r="A1344" t="str">
        <f>"36"</f>
        <v>36</v>
      </c>
      <c r="B1344" t="str">
        <f>"36.0206"</f>
        <v>36.0206</v>
      </c>
      <c r="C1344" t="s">
        <v>5673</v>
      </c>
      <c r="D1344" t="s">
        <v>5672</v>
      </c>
      <c r="F1344" t="s">
        <v>5671</v>
      </c>
    </row>
    <row r="1345" spans="1:5" x14ac:dyDescent="0.3">
      <c r="A1345" t="str">
        <f>"36"</f>
        <v>36</v>
      </c>
      <c r="B1345" t="str">
        <f>"36.0207"</f>
        <v>36.0207</v>
      </c>
      <c r="C1345" t="s">
        <v>5670</v>
      </c>
      <c r="D1345" t="s">
        <v>5669</v>
      </c>
      <c r="E1345" t="s">
        <v>5668</v>
      </c>
    </row>
    <row r="1346" spans="1:5" x14ac:dyDescent="0.3">
      <c r="A1346" t="str">
        <f>"36"</f>
        <v>36</v>
      </c>
      <c r="B1346" t="str">
        <f>"36.0299"</f>
        <v>36.0299</v>
      </c>
      <c r="C1346" t="s">
        <v>5667</v>
      </c>
      <c r="D1346" t="s">
        <v>5666</v>
      </c>
    </row>
    <row r="1347" spans="1:5" x14ac:dyDescent="0.3">
      <c r="A1347" t="str">
        <f>"37"</f>
        <v>37</v>
      </c>
      <c r="B1347" t="str">
        <f>"37"</f>
        <v>37</v>
      </c>
      <c r="C1347" t="s">
        <v>2150</v>
      </c>
      <c r="D1347" t="s">
        <v>2149</v>
      </c>
    </row>
    <row r="1348" spans="1:5" x14ac:dyDescent="0.3">
      <c r="A1348" t="str">
        <f>"37"</f>
        <v>37</v>
      </c>
      <c r="B1348" t="str">
        <f>"37.01"</f>
        <v>37.01</v>
      </c>
      <c r="C1348" t="s">
        <v>2148</v>
      </c>
      <c r="D1348" t="s">
        <v>2147</v>
      </c>
    </row>
    <row r="1349" spans="1:5" x14ac:dyDescent="0.3">
      <c r="A1349" t="str">
        <f>"37"</f>
        <v>37</v>
      </c>
      <c r="B1349" t="str">
        <f>"37.0101"</f>
        <v>37.0101</v>
      </c>
      <c r="C1349" t="s">
        <v>2146</v>
      </c>
      <c r="D1349" t="s">
        <v>2145</v>
      </c>
    </row>
    <row r="1350" spans="1:5" x14ac:dyDescent="0.3">
      <c r="A1350" t="str">
        <f>"37"</f>
        <v>37</v>
      </c>
      <c r="B1350" t="str">
        <f>"37.0102"</f>
        <v>37.0102</v>
      </c>
      <c r="C1350" t="s">
        <v>2144</v>
      </c>
      <c r="D1350" t="s">
        <v>2143</v>
      </c>
    </row>
    <row r="1351" spans="1:5" x14ac:dyDescent="0.3">
      <c r="A1351" t="str">
        <f>"37"</f>
        <v>37</v>
      </c>
      <c r="B1351" t="str">
        <f>"37.0103"</f>
        <v>37.0103</v>
      </c>
      <c r="C1351" t="s">
        <v>2142</v>
      </c>
      <c r="D1351" t="s">
        <v>2141</v>
      </c>
    </row>
    <row r="1352" spans="1:5" x14ac:dyDescent="0.3">
      <c r="A1352" t="str">
        <f>"37"</f>
        <v>37</v>
      </c>
      <c r="B1352" t="str">
        <f>"37.0104"</f>
        <v>37.0104</v>
      </c>
      <c r="C1352" t="s">
        <v>2140</v>
      </c>
      <c r="D1352" t="s">
        <v>2139</v>
      </c>
    </row>
    <row r="1353" spans="1:5" x14ac:dyDescent="0.3">
      <c r="A1353" t="str">
        <f>"37"</f>
        <v>37</v>
      </c>
      <c r="B1353" t="str">
        <f>"37.0106"</f>
        <v>37.0106</v>
      </c>
      <c r="C1353" t="s">
        <v>5665</v>
      </c>
      <c r="D1353" t="s">
        <v>5664</v>
      </c>
    </row>
    <row r="1354" spans="1:5" x14ac:dyDescent="0.3">
      <c r="A1354" t="str">
        <f>"37"</f>
        <v>37</v>
      </c>
      <c r="B1354" t="str">
        <f>"37.0107"</f>
        <v>37.0107</v>
      </c>
      <c r="C1354" t="s">
        <v>5663</v>
      </c>
      <c r="D1354" t="s">
        <v>5662</v>
      </c>
    </row>
    <row r="1355" spans="1:5" x14ac:dyDescent="0.3">
      <c r="A1355" t="str">
        <f>"37"</f>
        <v>37</v>
      </c>
      <c r="B1355" t="str">
        <f>"37.0199"</f>
        <v>37.0199</v>
      </c>
      <c r="C1355" t="s">
        <v>2138</v>
      </c>
      <c r="D1355" t="s">
        <v>2137</v>
      </c>
    </row>
    <row r="1356" spans="1:5" x14ac:dyDescent="0.3">
      <c r="A1356" t="str">
        <f>"38"</f>
        <v>38</v>
      </c>
      <c r="B1356" t="str">
        <f>"38"</f>
        <v>38</v>
      </c>
      <c r="C1356" t="s">
        <v>2136</v>
      </c>
      <c r="D1356" t="s">
        <v>2135</v>
      </c>
    </row>
    <row r="1357" spans="1:5" x14ac:dyDescent="0.3">
      <c r="A1357" t="str">
        <f>"38"</f>
        <v>38</v>
      </c>
      <c r="B1357" t="str">
        <f>"38.00"</f>
        <v>38.00</v>
      </c>
      <c r="C1357" t="s">
        <v>2133</v>
      </c>
      <c r="D1357" t="s">
        <v>2134</v>
      </c>
    </row>
    <row r="1358" spans="1:5" x14ac:dyDescent="0.3">
      <c r="A1358" t="str">
        <f>"38"</f>
        <v>38</v>
      </c>
      <c r="B1358" t="str">
        <f>"38.0001"</f>
        <v>38.0001</v>
      </c>
      <c r="C1358" t="s">
        <v>2133</v>
      </c>
      <c r="D1358" t="s">
        <v>2132</v>
      </c>
      <c r="E1358" t="s">
        <v>2131</v>
      </c>
    </row>
    <row r="1359" spans="1:5" x14ac:dyDescent="0.3">
      <c r="A1359" t="str">
        <f>"38"</f>
        <v>38</v>
      </c>
      <c r="B1359" t="str">
        <f>"38.01"</f>
        <v>38.01</v>
      </c>
      <c r="C1359" t="s">
        <v>2129</v>
      </c>
      <c r="D1359" t="s">
        <v>2130</v>
      </c>
    </row>
    <row r="1360" spans="1:5" x14ac:dyDescent="0.3">
      <c r="A1360" t="str">
        <f>"38"</f>
        <v>38</v>
      </c>
      <c r="B1360" t="str">
        <f>"38.0101"</f>
        <v>38.0101</v>
      </c>
      <c r="C1360" t="s">
        <v>2129</v>
      </c>
      <c r="D1360" t="s">
        <v>2128</v>
      </c>
    </row>
    <row r="1361" spans="1:6" x14ac:dyDescent="0.3">
      <c r="A1361" t="str">
        <f>"38"</f>
        <v>38</v>
      </c>
      <c r="B1361" t="str">
        <f>"38.0102"</f>
        <v>38.0102</v>
      </c>
      <c r="C1361" t="s">
        <v>2127</v>
      </c>
      <c r="D1361" t="s">
        <v>2126</v>
      </c>
    </row>
    <row r="1362" spans="1:6" x14ac:dyDescent="0.3">
      <c r="A1362" t="str">
        <f>"38"</f>
        <v>38</v>
      </c>
      <c r="B1362" t="str">
        <f>"38.0103"</f>
        <v>38.0103</v>
      </c>
      <c r="C1362" t="s">
        <v>2125</v>
      </c>
      <c r="D1362" t="s">
        <v>2124</v>
      </c>
    </row>
    <row r="1363" spans="1:6" x14ac:dyDescent="0.3">
      <c r="A1363" t="str">
        <f>"38"</f>
        <v>38</v>
      </c>
      <c r="B1363" t="str">
        <f>"38.0104"</f>
        <v>38.0104</v>
      </c>
      <c r="C1363" t="s">
        <v>2122</v>
      </c>
      <c r="D1363" t="s">
        <v>2121</v>
      </c>
      <c r="E1363" t="s">
        <v>2120</v>
      </c>
      <c r="F1363" t="s">
        <v>2081</v>
      </c>
    </row>
    <row r="1364" spans="1:6" x14ac:dyDescent="0.3">
      <c r="A1364" t="str">
        <f>"38"</f>
        <v>38</v>
      </c>
      <c r="B1364" t="str">
        <f>"38.0199"</f>
        <v>38.0199</v>
      </c>
      <c r="C1364" t="s">
        <v>2119</v>
      </c>
      <c r="D1364" t="s">
        <v>2118</v>
      </c>
      <c r="E1364" t="s">
        <v>5534</v>
      </c>
    </row>
    <row r="1365" spans="1:6" x14ac:dyDescent="0.3">
      <c r="A1365" t="str">
        <f>"38"</f>
        <v>38</v>
      </c>
      <c r="B1365" t="str">
        <f>"38.02"</f>
        <v>38.02</v>
      </c>
      <c r="C1365" t="s">
        <v>2116</v>
      </c>
      <c r="D1365" t="s">
        <v>2117</v>
      </c>
    </row>
    <row r="1366" spans="1:6" x14ac:dyDescent="0.3">
      <c r="A1366" t="str">
        <f>"38"</f>
        <v>38</v>
      </c>
      <c r="B1366" t="str">
        <f>"38.0201"</f>
        <v>38.0201</v>
      </c>
      <c r="C1366" t="s">
        <v>2116</v>
      </c>
      <c r="D1366" t="s">
        <v>2115</v>
      </c>
    </row>
    <row r="1367" spans="1:6" x14ac:dyDescent="0.3">
      <c r="A1367" t="str">
        <f>"38"</f>
        <v>38</v>
      </c>
      <c r="B1367" t="str">
        <f>"38.0202"</f>
        <v>38.0202</v>
      </c>
      <c r="C1367" t="s">
        <v>2114</v>
      </c>
      <c r="D1367" t="s">
        <v>2113</v>
      </c>
    </row>
    <row r="1368" spans="1:6" x14ac:dyDescent="0.3">
      <c r="A1368" t="str">
        <f>"38"</f>
        <v>38</v>
      </c>
      <c r="B1368" t="str">
        <f>"38.0203"</f>
        <v>38.0203</v>
      </c>
      <c r="C1368" t="s">
        <v>2112</v>
      </c>
      <c r="D1368" t="s">
        <v>2111</v>
      </c>
      <c r="E1368" t="s">
        <v>2110</v>
      </c>
    </row>
    <row r="1369" spans="1:6" x14ac:dyDescent="0.3">
      <c r="A1369" t="str">
        <f>"38"</f>
        <v>38</v>
      </c>
      <c r="B1369" t="str">
        <f>"38.0204"</f>
        <v>38.0204</v>
      </c>
      <c r="C1369" t="s">
        <v>2109</v>
      </c>
      <c r="D1369" t="s">
        <v>2108</v>
      </c>
    </row>
    <row r="1370" spans="1:6" x14ac:dyDescent="0.3">
      <c r="A1370" t="str">
        <f>"38"</f>
        <v>38</v>
      </c>
      <c r="B1370" t="str">
        <f>"38.0205"</f>
        <v>38.0205</v>
      </c>
      <c r="C1370" t="s">
        <v>2107</v>
      </c>
      <c r="D1370" t="s">
        <v>2106</v>
      </c>
    </row>
    <row r="1371" spans="1:6" x14ac:dyDescent="0.3">
      <c r="A1371" t="str">
        <f>"38"</f>
        <v>38</v>
      </c>
      <c r="B1371" t="str">
        <f>"38.0206"</f>
        <v>38.0206</v>
      </c>
      <c r="C1371" t="s">
        <v>2105</v>
      </c>
      <c r="D1371" t="s">
        <v>2104</v>
      </c>
      <c r="E1371" t="s">
        <v>5661</v>
      </c>
    </row>
    <row r="1372" spans="1:6" x14ac:dyDescent="0.3">
      <c r="A1372" t="str">
        <f>"38"</f>
        <v>38</v>
      </c>
      <c r="B1372" t="str">
        <f>"38.0207"</f>
        <v>38.0207</v>
      </c>
      <c r="C1372" t="s">
        <v>2073</v>
      </c>
      <c r="D1372" t="s">
        <v>5660</v>
      </c>
    </row>
    <row r="1373" spans="1:6" x14ac:dyDescent="0.3">
      <c r="A1373" t="str">
        <f>"38"</f>
        <v>38</v>
      </c>
      <c r="B1373" t="str">
        <f>"38.0208"</f>
        <v>38.0208</v>
      </c>
      <c r="C1373" t="s">
        <v>5659</v>
      </c>
      <c r="D1373" t="s">
        <v>5658</v>
      </c>
    </row>
    <row r="1374" spans="1:6" x14ac:dyDescent="0.3">
      <c r="A1374" t="str">
        <f>"38"</f>
        <v>38</v>
      </c>
      <c r="B1374" t="str">
        <f>"38.0209"</f>
        <v>38.0209</v>
      </c>
      <c r="C1374" t="s">
        <v>5657</v>
      </c>
      <c r="D1374" t="s">
        <v>5656</v>
      </c>
    </row>
    <row r="1375" spans="1:6" x14ac:dyDescent="0.3">
      <c r="A1375" t="str">
        <f>"38"</f>
        <v>38</v>
      </c>
      <c r="B1375" t="str">
        <f>"38.0299"</f>
        <v>38.0299</v>
      </c>
      <c r="C1375" t="s">
        <v>2103</v>
      </c>
      <c r="D1375" t="s">
        <v>2102</v>
      </c>
    </row>
    <row r="1376" spans="1:6" x14ac:dyDescent="0.3">
      <c r="A1376" t="str">
        <f>"38"</f>
        <v>38</v>
      </c>
      <c r="B1376" t="str">
        <f>"38.99"</f>
        <v>38.99</v>
      </c>
      <c r="C1376" t="s">
        <v>2100</v>
      </c>
      <c r="D1376" t="s">
        <v>2101</v>
      </c>
    </row>
    <row r="1377" spans="1:5" x14ac:dyDescent="0.3">
      <c r="A1377" t="str">
        <f>"38"</f>
        <v>38</v>
      </c>
      <c r="B1377" t="str">
        <f>"38.9999"</f>
        <v>38.9999</v>
      </c>
      <c r="C1377" t="s">
        <v>2100</v>
      </c>
      <c r="D1377" t="s">
        <v>2099</v>
      </c>
    </row>
    <row r="1378" spans="1:5" x14ac:dyDescent="0.3">
      <c r="A1378" t="str">
        <f>"39"</f>
        <v>39</v>
      </c>
      <c r="B1378" t="str">
        <f>"39"</f>
        <v>39</v>
      </c>
      <c r="C1378" t="s">
        <v>2098</v>
      </c>
      <c r="D1378" t="s">
        <v>2097</v>
      </c>
    </row>
    <row r="1379" spans="1:5" x14ac:dyDescent="0.3">
      <c r="A1379" t="str">
        <f>"39"</f>
        <v>39</v>
      </c>
      <c r="B1379" t="str">
        <f>"39.02"</f>
        <v>39.02</v>
      </c>
      <c r="C1379" t="s">
        <v>2095</v>
      </c>
      <c r="D1379" t="s">
        <v>2096</v>
      </c>
    </row>
    <row r="1380" spans="1:5" x14ac:dyDescent="0.3">
      <c r="A1380" t="str">
        <f>"39"</f>
        <v>39</v>
      </c>
      <c r="B1380" t="str">
        <f>"39.0201"</f>
        <v>39.0201</v>
      </c>
      <c r="C1380" t="s">
        <v>2095</v>
      </c>
      <c r="D1380" t="s">
        <v>2094</v>
      </c>
      <c r="E1380" t="s">
        <v>2093</v>
      </c>
    </row>
    <row r="1381" spans="1:5" x14ac:dyDescent="0.3">
      <c r="A1381" t="str">
        <f>"39"</f>
        <v>39</v>
      </c>
      <c r="B1381" t="str">
        <f>"39.03"</f>
        <v>39.03</v>
      </c>
      <c r="C1381" t="s">
        <v>2092</v>
      </c>
      <c r="D1381" t="s">
        <v>5655</v>
      </c>
    </row>
    <row r="1382" spans="1:5" x14ac:dyDescent="0.3">
      <c r="A1382" t="str">
        <f>"39"</f>
        <v>39</v>
      </c>
      <c r="B1382" t="str">
        <f>"39.0301"</f>
        <v>39.0301</v>
      </c>
      <c r="C1382" t="s">
        <v>5654</v>
      </c>
      <c r="D1382" t="s">
        <v>2091</v>
      </c>
    </row>
    <row r="1383" spans="1:5" x14ac:dyDescent="0.3">
      <c r="A1383" t="str">
        <f>"39"</f>
        <v>39</v>
      </c>
      <c r="B1383" t="str">
        <f>"39.0302"</f>
        <v>39.0302</v>
      </c>
      <c r="C1383" t="s">
        <v>5653</v>
      </c>
      <c r="D1383" t="s">
        <v>5652</v>
      </c>
    </row>
    <row r="1384" spans="1:5" x14ac:dyDescent="0.3">
      <c r="A1384" t="str">
        <f>"39"</f>
        <v>39</v>
      </c>
      <c r="B1384" t="str">
        <f>"39.0399"</f>
        <v>39.0399</v>
      </c>
      <c r="C1384" t="s">
        <v>5651</v>
      </c>
      <c r="D1384" t="s">
        <v>5650</v>
      </c>
    </row>
    <row r="1385" spans="1:5" x14ac:dyDescent="0.3">
      <c r="A1385" t="str">
        <f>"39"</f>
        <v>39</v>
      </c>
      <c r="B1385" t="str">
        <f>"39.04"</f>
        <v>39.04</v>
      </c>
      <c r="C1385" t="s">
        <v>2089</v>
      </c>
      <c r="D1385" t="s">
        <v>2090</v>
      </c>
    </row>
    <row r="1386" spans="1:5" x14ac:dyDescent="0.3">
      <c r="A1386" t="str">
        <f>"39"</f>
        <v>39</v>
      </c>
      <c r="B1386" t="str">
        <f>"39.0401"</f>
        <v>39.0401</v>
      </c>
      <c r="C1386" t="s">
        <v>2089</v>
      </c>
      <c r="D1386" t="s">
        <v>2088</v>
      </c>
    </row>
    <row r="1387" spans="1:5" x14ac:dyDescent="0.3">
      <c r="A1387" t="str">
        <f>"39"</f>
        <v>39</v>
      </c>
      <c r="B1387" t="str">
        <f>"39.05"</f>
        <v>39.05</v>
      </c>
      <c r="C1387" t="s">
        <v>5649</v>
      </c>
      <c r="D1387" t="s">
        <v>5648</v>
      </c>
    </row>
    <row r="1388" spans="1:5" x14ac:dyDescent="0.3">
      <c r="A1388" t="str">
        <f>"39"</f>
        <v>39</v>
      </c>
      <c r="B1388" t="str">
        <f>"39.0501"</f>
        <v>39.0501</v>
      </c>
      <c r="C1388" t="s">
        <v>2087</v>
      </c>
      <c r="D1388" t="s">
        <v>2086</v>
      </c>
    </row>
    <row r="1389" spans="1:5" x14ac:dyDescent="0.3">
      <c r="A1389" t="str">
        <f>"39"</f>
        <v>39</v>
      </c>
      <c r="B1389" t="str">
        <f>"39.0502"</f>
        <v>39.0502</v>
      </c>
      <c r="C1389" t="s">
        <v>5647</v>
      </c>
      <c r="D1389" t="s">
        <v>5646</v>
      </c>
    </row>
    <row r="1390" spans="1:5" x14ac:dyDescent="0.3">
      <c r="A1390" t="str">
        <f>"39"</f>
        <v>39</v>
      </c>
      <c r="B1390" t="str">
        <f>"39.0599"</f>
        <v>39.0599</v>
      </c>
      <c r="C1390" t="s">
        <v>5645</v>
      </c>
      <c r="D1390" t="s">
        <v>5644</v>
      </c>
    </row>
    <row r="1391" spans="1:5" x14ac:dyDescent="0.3">
      <c r="A1391" t="str">
        <f>"39"</f>
        <v>39</v>
      </c>
      <c r="B1391" t="str">
        <f>"39.06"</f>
        <v>39.06</v>
      </c>
      <c r="C1391" t="s">
        <v>2085</v>
      </c>
      <c r="D1391" t="s">
        <v>2084</v>
      </c>
    </row>
    <row r="1392" spans="1:5" x14ac:dyDescent="0.3">
      <c r="A1392" t="str">
        <f>"39"</f>
        <v>39</v>
      </c>
      <c r="B1392" t="str">
        <f>"39.0601"</f>
        <v>39.0601</v>
      </c>
      <c r="C1392" t="s">
        <v>2083</v>
      </c>
      <c r="D1392" t="s">
        <v>2082</v>
      </c>
    </row>
    <row r="1393" spans="1:6" x14ac:dyDescent="0.3">
      <c r="A1393" t="str">
        <f>"39"</f>
        <v>39</v>
      </c>
      <c r="B1393" t="str">
        <f>"39.0602"</f>
        <v>39.0602</v>
      </c>
      <c r="C1393" t="s">
        <v>2080</v>
      </c>
      <c r="D1393" t="s">
        <v>2079</v>
      </c>
      <c r="F1393" t="s">
        <v>2076</v>
      </c>
    </row>
    <row r="1394" spans="1:6" x14ac:dyDescent="0.3">
      <c r="A1394" t="str">
        <f>"39"</f>
        <v>39</v>
      </c>
      <c r="B1394" t="str">
        <f>"39.0604"</f>
        <v>39.0604</v>
      </c>
      <c r="C1394" t="s">
        <v>2078</v>
      </c>
      <c r="D1394" t="s">
        <v>2077</v>
      </c>
    </row>
    <row r="1395" spans="1:6" x14ac:dyDescent="0.3">
      <c r="A1395" t="str">
        <f>"39"</f>
        <v>39</v>
      </c>
      <c r="B1395" t="str">
        <f>"39.0605"</f>
        <v>39.0605</v>
      </c>
      <c r="C1395" t="s">
        <v>2075</v>
      </c>
      <c r="D1395" t="s">
        <v>2074</v>
      </c>
      <c r="E1395" t="s">
        <v>5643</v>
      </c>
      <c r="F1395" t="s">
        <v>2064</v>
      </c>
    </row>
    <row r="1396" spans="1:6" x14ac:dyDescent="0.3">
      <c r="A1396" t="str">
        <f>"39"</f>
        <v>39</v>
      </c>
      <c r="B1396" t="str">
        <f>"39.0606"</f>
        <v>39.0606</v>
      </c>
      <c r="C1396" t="s">
        <v>2073</v>
      </c>
      <c r="D1396" t="s">
        <v>5642</v>
      </c>
    </row>
    <row r="1397" spans="1:6" x14ac:dyDescent="0.3">
      <c r="A1397" t="str">
        <f>"39"</f>
        <v>39</v>
      </c>
      <c r="B1397" t="str">
        <f>"39.0699"</f>
        <v>39.0699</v>
      </c>
      <c r="C1397" t="s">
        <v>2071</v>
      </c>
      <c r="D1397" t="s">
        <v>2070</v>
      </c>
    </row>
    <row r="1398" spans="1:6" x14ac:dyDescent="0.3">
      <c r="A1398" t="str">
        <f>"39"</f>
        <v>39</v>
      </c>
      <c r="B1398" t="str">
        <f>"39.07"</f>
        <v>39.07</v>
      </c>
      <c r="C1398" t="s">
        <v>2069</v>
      </c>
      <c r="D1398" t="s">
        <v>2068</v>
      </c>
    </row>
    <row r="1399" spans="1:6" x14ac:dyDescent="0.3">
      <c r="A1399" t="str">
        <f>"39"</f>
        <v>39</v>
      </c>
      <c r="B1399" t="str">
        <f>"39.0701"</f>
        <v>39.0701</v>
      </c>
      <c r="C1399" t="s">
        <v>2067</v>
      </c>
      <c r="D1399" t="s">
        <v>2066</v>
      </c>
      <c r="E1399" t="s">
        <v>2065</v>
      </c>
      <c r="F1399" t="s">
        <v>5641</v>
      </c>
    </row>
    <row r="1400" spans="1:6" x14ac:dyDescent="0.3">
      <c r="A1400" t="str">
        <f>"39"</f>
        <v>39</v>
      </c>
      <c r="B1400" t="str">
        <f>"39.0702"</f>
        <v>39.0702</v>
      </c>
      <c r="C1400" t="s">
        <v>2063</v>
      </c>
      <c r="D1400" t="s">
        <v>2062</v>
      </c>
      <c r="F1400" t="s">
        <v>2052</v>
      </c>
    </row>
    <row r="1401" spans="1:6" x14ac:dyDescent="0.3">
      <c r="A1401" t="str">
        <f>"39"</f>
        <v>39</v>
      </c>
      <c r="B1401" t="str">
        <f>"39.0703"</f>
        <v>39.0703</v>
      </c>
      <c r="C1401" t="s">
        <v>2061</v>
      </c>
      <c r="D1401" t="s">
        <v>2060</v>
      </c>
    </row>
    <row r="1402" spans="1:6" x14ac:dyDescent="0.3">
      <c r="A1402" t="str">
        <f>"39"</f>
        <v>39</v>
      </c>
      <c r="B1402" t="str">
        <f>"39.0704"</f>
        <v>39.0704</v>
      </c>
      <c r="C1402" t="s">
        <v>2059</v>
      </c>
      <c r="D1402" t="s">
        <v>2058</v>
      </c>
    </row>
    <row r="1403" spans="1:6" x14ac:dyDescent="0.3">
      <c r="A1403" t="str">
        <f>"39"</f>
        <v>39</v>
      </c>
      <c r="B1403" t="str">
        <f>"39.0705"</f>
        <v>39.0705</v>
      </c>
      <c r="C1403" t="s">
        <v>2057</v>
      </c>
      <c r="D1403" t="s">
        <v>2056</v>
      </c>
    </row>
    <row r="1404" spans="1:6" x14ac:dyDescent="0.3">
      <c r="A1404" t="str">
        <f>"39"</f>
        <v>39</v>
      </c>
      <c r="B1404" t="str">
        <f>"39.0706"</f>
        <v>39.0706</v>
      </c>
      <c r="C1404" t="s">
        <v>5640</v>
      </c>
      <c r="D1404" t="s">
        <v>5639</v>
      </c>
    </row>
    <row r="1405" spans="1:6" x14ac:dyDescent="0.3">
      <c r="A1405" t="str">
        <f>"39"</f>
        <v>39</v>
      </c>
      <c r="B1405" t="str">
        <f>"39.0799"</f>
        <v>39.0799</v>
      </c>
      <c r="C1405" t="s">
        <v>2055</v>
      </c>
      <c r="D1405" t="s">
        <v>2054</v>
      </c>
    </row>
    <row r="1406" spans="1:6" x14ac:dyDescent="0.3">
      <c r="A1406" t="str">
        <f>"39"</f>
        <v>39</v>
      </c>
      <c r="B1406" t="str">
        <f>"39.08"</f>
        <v>39.08</v>
      </c>
      <c r="C1406" t="s">
        <v>5638</v>
      </c>
      <c r="D1406" t="s">
        <v>5637</v>
      </c>
    </row>
    <row r="1407" spans="1:6" x14ac:dyDescent="0.3">
      <c r="A1407" t="str">
        <f>"39"</f>
        <v>39</v>
      </c>
      <c r="B1407" t="str">
        <f>"39.0801"</f>
        <v>39.0801</v>
      </c>
      <c r="C1407" t="s">
        <v>5636</v>
      </c>
      <c r="D1407" t="s">
        <v>5635</v>
      </c>
      <c r="E1407" t="s">
        <v>5634</v>
      </c>
      <c r="F1407" t="s">
        <v>5633</v>
      </c>
    </row>
    <row r="1408" spans="1:6" x14ac:dyDescent="0.3">
      <c r="A1408" t="str">
        <f>"39"</f>
        <v>39</v>
      </c>
      <c r="B1408" t="str">
        <f>"39.0802"</f>
        <v>39.0802</v>
      </c>
      <c r="C1408" t="s">
        <v>5632</v>
      </c>
      <c r="D1408" t="s">
        <v>5631</v>
      </c>
    </row>
    <row r="1409" spans="1:6" x14ac:dyDescent="0.3">
      <c r="A1409" t="str">
        <f>"39"</f>
        <v>39</v>
      </c>
      <c r="B1409" t="str">
        <f>"39.0899"</f>
        <v>39.0899</v>
      </c>
      <c r="C1409" t="s">
        <v>5630</v>
      </c>
      <c r="D1409" t="s">
        <v>5629</v>
      </c>
    </row>
    <row r="1410" spans="1:6" x14ac:dyDescent="0.3">
      <c r="A1410" t="str">
        <f>"39"</f>
        <v>39</v>
      </c>
      <c r="B1410" t="str">
        <f>"39.99"</f>
        <v>39.99</v>
      </c>
      <c r="C1410" t="s">
        <v>2051</v>
      </c>
      <c r="D1410" t="s">
        <v>2053</v>
      </c>
    </row>
    <row r="1411" spans="1:6" x14ac:dyDescent="0.3">
      <c r="A1411" t="str">
        <f>"39"</f>
        <v>39</v>
      </c>
      <c r="B1411" t="str">
        <f>"39.9999"</f>
        <v>39.9999</v>
      </c>
      <c r="C1411" t="s">
        <v>2051</v>
      </c>
      <c r="D1411" t="s">
        <v>2050</v>
      </c>
      <c r="F1411" t="s">
        <v>2029</v>
      </c>
    </row>
    <row r="1412" spans="1:6" x14ac:dyDescent="0.3">
      <c r="A1412" t="str">
        <f>"40"</f>
        <v>40</v>
      </c>
      <c r="B1412" t="str">
        <f>"40"</f>
        <v>40</v>
      </c>
      <c r="C1412" t="s">
        <v>2049</v>
      </c>
      <c r="D1412" t="s">
        <v>2048</v>
      </c>
    </row>
    <row r="1413" spans="1:6" x14ac:dyDescent="0.3">
      <c r="A1413" t="str">
        <f>"40"</f>
        <v>40</v>
      </c>
      <c r="B1413" t="str">
        <f>"40.01"</f>
        <v>40.01</v>
      </c>
      <c r="C1413" t="s">
        <v>5628</v>
      </c>
      <c r="D1413" t="s">
        <v>2047</v>
      </c>
    </row>
    <row r="1414" spans="1:6" x14ac:dyDescent="0.3">
      <c r="A1414" t="str">
        <f>"40"</f>
        <v>40</v>
      </c>
      <c r="B1414" t="str">
        <f>"40.0101"</f>
        <v>40.0101</v>
      </c>
      <c r="C1414" t="s">
        <v>5628</v>
      </c>
      <c r="D1414" t="s">
        <v>2046</v>
      </c>
    </row>
    <row r="1415" spans="1:6" x14ac:dyDescent="0.3">
      <c r="A1415" t="str">
        <f>"40"</f>
        <v>40</v>
      </c>
      <c r="B1415" t="str">
        <f>"40.02"</f>
        <v>40.02</v>
      </c>
      <c r="C1415" t="s">
        <v>2045</v>
      </c>
      <c r="D1415" t="s">
        <v>2044</v>
      </c>
    </row>
    <row r="1416" spans="1:6" x14ac:dyDescent="0.3">
      <c r="A1416" t="str">
        <f>"40"</f>
        <v>40</v>
      </c>
      <c r="B1416" t="str">
        <f>"40.0201"</f>
        <v>40.0201</v>
      </c>
      <c r="C1416" t="s">
        <v>2043</v>
      </c>
      <c r="D1416" t="s">
        <v>2042</v>
      </c>
    </row>
    <row r="1417" spans="1:6" x14ac:dyDescent="0.3">
      <c r="A1417" t="str">
        <f>"40"</f>
        <v>40</v>
      </c>
      <c r="B1417" t="str">
        <f>"40.0202"</f>
        <v>40.0202</v>
      </c>
      <c r="C1417" t="s">
        <v>2041</v>
      </c>
      <c r="D1417" t="s">
        <v>2040</v>
      </c>
      <c r="E1417" t="s">
        <v>5627</v>
      </c>
    </row>
    <row r="1418" spans="1:6" x14ac:dyDescent="0.3">
      <c r="A1418" t="str">
        <f>"40"</f>
        <v>40</v>
      </c>
      <c r="B1418" t="str">
        <f>"40.0203"</f>
        <v>40.0203</v>
      </c>
      <c r="C1418" t="s">
        <v>2039</v>
      </c>
      <c r="D1418" t="s">
        <v>2038</v>
      </c>
    </row>
    <row r="1419" spans="1:6" x14ac:dyDescent="0.3">
      <c r="A1419" t="str">
        <f>"40"</f>
        <v>40</v>
      </c>
      <c r="B1419" t="str">
        <f>"40.0299"</f>
        <v>40.0299</v>
      </c>
      <c r="C1419" t="s">
        <v>2037</v>
      </c>
      <c r="D1419" t="s">
        <v>2036</v>
      </c>
    </row>
    <row r="1420" spans="1:6" x14ac:dyDescent="0.3">
      <c r="A1420" t="str">
        <f>"40"</f>
        <v>40</v>
      </c>
      <c r="B1420" t="str">
        <f>"40.04"</f>
        <v>40.04</v>
      </c>
      <c r="C1420" t="s">
        <v>2035</v>
      </c>
      <c r="D1420" t="s">
        <v>2034</v>
      </c>
    </row>
    <row r="1421" spans="1:6" x14ac:dyDescent="0.3">
      <c r="A1421" t="str">
        <f>"40"</f>
        <v>40</v>
      </c>
      <c r="B1421" t="str">
        <f>"40.0401"</f>
        <v>40.0401</v>
      </c>
      <c r="C1421" t="s">
        <v>2033</v>
      </c>
      <c r="D1421" t="s">
        <v>2032</v>
      </c>
      <c r="F1421" t="s">
        <v>5626</v>
      </c>
    </row>
    <row r="1422" spans="1:6" x14ac:dyDescent="0.3">
      <c r="A1422" t="str">
        <f>"40"</f>
        <v>40</v>
      </c>
      <c r="B1422" t="str">
        <f>"40.0402"</f>
        <v>40.0402</v>
      </c>
      <c r="C1422" t="s">
        <v>2031</v>
      </c>
      <c r="D1422" t="s">
        <v>2030</v>
      </c>
    </row>
    <row r="1423" spans="1:6" x14ac:dyDescent="0.3">
      <c r="A1423" t="str">
        <f>"40"</f>
        <v>40</v>
      </c>
      <c r="B1423" t="str">
        <f>"40.0403"</f>
        <v>40.0403</v>
      </c>
      <c r="C1423" t="s">
        <v>2028</v>
      </c>
      <c r="D1423" t="s">
        <v>2027</v>
      </c>
      <c r="F1423" t="s">
        <v>1985</v>
      </c>
    </row>
    <row r="1424" spans="1:6" x14ac:dyDescent="0.3">
      <c r="A1424" t="str">
        <f>"40"</f>
        <v>40</v>
      </c>
      <c r="B1424" t="str">
        <f>"40.0404"</f>
        <v>40.0404</v>
      </c>
      <c r="C1424" t="s">
        <v>2026</v>
      </c>
      <c r="D1424" t="s">
        <v>2025</v>
      </c>
    </row>
    <row r="1425" spans="1:6" x14ac:dyDescent="0.3">
      <c r="A1425" t="str">
        <f>"40"</f>
        <v>40</v>
      </c>
      <c r="B1425" t="str">
        <f>"40.0499"</f>
        <v>40.0499</v>
      </c>
      <c r="C1425" t="s">
        <v>2024</v>
      </c>
      <c r="D1425" t="s">
        <v>2023</v>
      </c>
    </row>
    <row r="1426" spans="1:6" x14ac:dyDescent="0.3">
      <c r="A1426" t="str">
        <f>"40"</f>
        <v>40</v>
      </c>
      <c r="B1426" t="str">
        <f>"40.05"</f>
        <v>40.05</v>
      </c>
      <c r="C1426" t="s">
        <v>2022</v>
      </c>
      <c r="D1426" t="s">
        <v>2021</v>
      </c>
    </row>
    <row r="1427" spans="1:6" x14ac:dyDescent="0.3">
      <c r="A1427" t="str">
        <f>"40"</f>
        <v>40</v>
      </c>
      <c r="B1427" t="str">
        <f>"40.0501"</f>
        <v>40.0501</v>
      </c>
      <c r="C1427" t="s">
        <v>2020</v>
      </c>
      <c r="D1427" t="s">
        <v>2019</v>
      </c>
      <c r="E1427" t="s">
        <v>2018</v>
      </c>
    </row>
    <row r="1428" spans="1:6" x14ac:dyDescent="0.3">
      <c r="A1428" t="str">
        <f>"40"</f>
        <v>40</v>
      </c>
      <c r="B1428" t="str">
        <f>"40.0502"</f>
        <v>40.0502</v>
      </c>
      <c r="C1428" t="s">
        <v>2017</v>
      </c>
      <c r="D1428" t="s">
        <v>2016</v>
      </c>
    </row>
    <row r="1429" spans="1:6" x14ac:dyDescent="0.3">
      <c r="A1429" t="str">
        <f>"40"</f>
        <v>40</v>
      </c>
      <c r="B1429" t="str">
        <f>"40.0503"</f>
        <v>40.0503</v>
      </c>
      <c r="C1429" t="s">
        <v>2015</v>
      </c>
      <c r="D1429" t="s">
        <v>2014</v>
      </c>
    </row>
    <row r="1430" spans="1:6" x14ac:dyDescent="0.3">
      <c r="A1430" t="str">
        <f>"40"</f>
        <v>40</v>
      </c>
      <c r="B1430" t="str">
        <f>"40.0504"</f>
        <v>40.0504</v>
      </c>
      <c r="C1430" t="s">
        <v>2013</v>
      </c>
      <c r="D1430" t="s">
        <v>2012</v>
      </c>
    </row>
    <row r="1431" spans="1:6" x14ac:dyDescent="0.3">
      <c r="A1431" t="str">
        <f>"40"</f>
        <v>40</v>
      </c>
      <c r="B1431" t="str">
        <f>"40.0506"</f>
        <v>40.0506</v>
      </c>
      <c r="C1431" t="s">
        <v>2011</v>
      </c>
      <c r="D1431" t="s">
        <v>2010</v>
      </c>
    </row>
    <row r="1432" spans="1:6" x14ac:dyDescent="0.3">
      <c r="A1432" t="str">
        <f>"40"</f>
        <v>40</v>
      </c>
      <c r="B1432" t="str">
        <f>"40.0507"</f>
        <v>40.0507</v>
      </c>
      <c r="C1432" t="s">
        <v>2009</v>
      </c>
      <c r="D1432" t="s">
        <v>2008</v>
      </c>
      <c r="E1432" t="s">
        <v>2007</v>
      </c>
    </row>
    <row r="1433" spans="1:6" x14ac:dyDescent="0.3">
      <c r="A1433" t="str">
        <f>"40"</f>
        <v>40</v>
      </c>
      <c r="B1433" t="str">
        <f>"40.0508"</f>
        <v>40.0508</v>
      </c>
      <c r="C1433" t="s">
        <v>2006</v>
      </c>
      <c r="D1433" t="s">
        <v>2005</v>
      </c>
    </row>
    <row r="1434" spans="1:6" x14ac:dyDescent="0.3">
      <c r="A1434" t="str">
        <f>"40"</f>
        <v>40</v>
      </c>
      <c r="B1434" t="str">
        <f>"40.0509"</f>
        <v>40.0509</v>
      </c>
      <c r="C1434" t="s">
        <v>2004</v>
      </c>
      <c r="D1434" t="s">
        <v>2003</v>
      </c>
    </row>
    <row r="1435" spans="1:6" x14ac:dyDescent="0.3">
      <c r="A1435" t="str">
        <f>"40"</f>
        <v>40</v>
      </c>
      <c r="B1435" t="str">
        <f>"40.0510"</f>
        <v>40.0510</v>
      </c>
      <c r="C1435" t="s">
        <v>2002</v>
      </c>
      <c r="D1435" t="s">
        <v>2001</v>
      </c>
      <c r="E1435" t="s">
        <v>5546</v>
      </c>
    </row>
    <row r="1436" spans="1:6" x14ac:dyDescent="0.3">
      <c r="A1436" t="str">
        <f>"40"</f>
        <v>40</v>
      </c>
      <c r="B1436" t="str">
        <f>"40.0511"</f>
        <v>40.0511</v>
      </c>
      <c r="C1436" t="s">
        <v>2000</v>
      </c>
      <c r="D1436" t="s">
        <v>1999</v>
      </c>
      <c r="E1436" t="s">
        <v>5625</v>
      </c>
    </row>
    <row r="1437" spans="1:6" x14ac:dyDescent="0.3">
      <c r="A1437" t="str">
        <f>"40"</f>
        <v>40</v>
      </c>
      <c r="B1437" t="str">
        <f>"40.0512"</f>
        <v>40.0512</v>
      </c>
      <c r="C1437" t="s">
        <v>5624</v>
      </c>
      <c r="D1437" t="s">
        <v>5623</v>
      </c>
      <c r="F1437" t="s">
        <v>5622</v>
      </c>
    </row>
    <row r="1438" spans="1:6" x14ac:dyDescent="0.3">
      <c r="A1438" t="str">
        <f>"40"</f>
        <v>40</v>
      </c>
      <c r="B1438" t="str">
        <f>"40.0599"</f>
        <v>40.0599</v>
      </c>
      <c r="C1438" t="s">
        <v>1998</v>
      </c>
      <c r="D1438" t="s">
        <v>1997</v>
      </c>
    </row>
    <row r="1439" spans="1:6" x14ac:dyDescent="0.3">
      <c r="A1439" t="str">
        <f>"40"</f>
        <v>40</v>
      </c>
      <c r="B1439" t="str">
        <f>"40.06"</f>
        <v>40.06</v>
      </c>
      <c r="C1439" t="s">
        <v>1996</v>
      </c>
      <c r="D1439" t="s">
        <v>1995</v>
      </c>
    </row>
    <row r="1440" spans="1:6" x14ac:dyDescent="0.3">
      <c r="A1440" t="str">
        <f>"40"</f>
        <v>40</v>
      </c>
      <c r="B1440" t="str">
        <f>"40.0601"</f>
        <v>40.0601</v>
      </c>
      <c r="C1440" t="s">
        <v>1994</v>
      </c>
      <c r="D1440" t="s">
        <v>1993</v>
      </c>
      <c r="E1440" t="s">
        <v>1992</v>
      </c>
    </row>
    <row r="1441" spans="1:6" x14ac:dyDescent="0.3">
      <c r="A1441" t="str">
        <f>"40"</f>
        <v>40</v>
      </c>
      <c r="B1441" t="str">
        <f>"40.0602"</f>
        <v>40.0602</v>
      </c>
      <c r="C1441" t="s">
        <v>1991</v>
      </c>
      <c r="D1441" t="s">
        <v>1990</v>
      </c>
    </row>
    <row r="1442" spans="1:6" x14ac:dyDescent="0.3">
      <c r="A1442" t="str">
        <f>"40"</f>
        <v>40</v>
      </c>
      <c r="B1442" t="str">
        <f>"40.0603"</f>
        <v>40.0603</v>
      </c>
      <c r="C1442" t="s">
        <v>1989</v>
      </c>
      <c r="D1442" t="s">
        <v>1988</v>
      </c>
    </row>
    <row r="1443" spans="1:6" x14ac:dyDescent="0.3">
      <c r="A1443" t="str">
        <f>"40"</f>
        <v>40</v>
      </c>
      <c r="B1443" t="str">
        <f>"40.0604"</f>
        <v>40.0604</v>
      </c>
      <c r="C1443" t="s">
        <v>1987</v>
      </c>
      <c r="D1443" t="s">
        <v>1986</v>
      </c>
    </row>
    <row r="1444" spans="1:6" x14ac:dyDescent="0.3">
      <c r="A1444" t="str">
        <f>"40"</f>
        <v>40</v>
      </c>
      <c r="B1444" t="str">
        <f>"40.0605"</f>
        <v>40.0605</v>
      </c>
      <c r="C1444" t="s">
        <v>1984</v>
      </c>
      <c r="D1444" t="s">
        <v>1983</v>
      </c>
      <c r="E1444" t="s">
        <v>5621</v>
      </c>
      <c r="F1444" t="s">
        <v>1977</v>
      </c>
    </row>
    <row r="1445" spans="1:6" x14ac:dyDescent="0.3">
      <c r="A1445" t="str">
        <f>"40"</f>
        <v>40</v>
      </c>
      <c r="B1445" t="str">
        <f>"40.0606"</f>
        <v>40.0606</v>
      </c>
      <c r="C1445" t="s">
        <v>1982</v>
      </c>
      <c r="D1445" t="s">
        <v>1981</v>
      </c>
    </row>
    <row r="1446" spans="1:6" x14ac:dyDescent="0.3">
      <c r="A1446" t="str">
        <f>"40"</f>
        <v>40</v>
      </c>
      <c r="B1446" t="str">
        <f>"40.0607"</f>
        <v>40.0607</v>
      </c>
      <c r="C1446" t="s">
        <v>1980</v>
      </c>
      <c r="D1446" t="s">
        <v>1979</v>
      </c>
      <c r="E1446" t="s">
        <v>1978</v>
      </c>
    </row>
    <row r="1447" spans="1:6" x14ac:dyDescent="0.3">
      <c r="A1447" t="str">
        <f>"40"</f>
        <v>40</v>
      </c>
      <c r="B1447" t="str">
        <f>"40.0699"</f>
        <v>40.0699</v>
      </c>
      <c r="C1447" t="s">
        <v>1976</v>
      </c>
      <c r="D1447" t="s">
        <v>1975</v>
      </c>
      <c r="F1447" t="s">
        <v>1963</v>
      </c>
    </row>
    <row r="1448" spans="1:6" x14ac:dyDescent="0.3">
      <c r="A1448" t="str">
        <f>"40"</f>
        <v>40</v>
      </c>
      <c r="B1448" t="str">
        <f>"40.08"</f>
        <v>40.08</v>
      </c>
      <c r="C1448" t="s">
        <v>1974</v>
      </c>
      <c r="D1448" t="s">
        <v>1973</v>
      </c>
    </row>
    <row r="1449" spans="1:6" x14ac:dyDescent="0.3">
      <c r="A1449" t="str">
        <f>"40"</f>
        <v>40</v>
      </c>
      <c r="B1449" t="str">
        <f>"40.0801"</f>
        <v>40.0801</v>
      </c>
      <c r="C1449" t="s">
        <v>1972</v>
      </c>
      <c r="D1449" t="s">
        <v>1971</v>
      </c>
      <c r="E1449" t="s">
        <v>1970</v>
      </c>
    </row>
    <row r="1450" spans="1:6" x14ac:dyDescent="0.3">
      <c r="A1450" t="str">
        <f>"40"</f>
        <v>40</v>
      </c>
      <c r="B1450" t="str">
        <f>"40.0802"</f>
        <v>40.0802</v>
      </c>
      <c r="C1450" t="s">
        <v>1969</v>
      </c>
      <c r="D1450" t="s">
        <v>1968</v>
      </c>
    </row>
    <row r="1451" spans="1:6" x14ac:dyDescent="0.3">
      <c r="A1451" t="str">
        <f>"40"</f>
        <v>40</v>
      </c>
      <c r="B1451" t="str">
        <f>"40.0804"</f>
        <v>40.0804</v>
      </c>
      <c r="C1451" t="s">
        <v>1967</v>
      </c>
      <c r="D1451" t="s">
        <v>1966</v>
      </c>
    </row>
    <row r="1452" spans="1:6" x14ac:dyDescent="0.3">
      <c r="A1452" t="str">
        <f>"40"</f>
        <v>40</v>
      </c>
      <c r="B1452" t="str">
        <f>"40.0805"</f>
        <v>40.0805</v>
      </c>
      <c r="C1452" t="s">
        <v>1965</v>
      </c>
      <c r="D1452" t="s">
        <v>1964</v>
      </c>
    </row>
    <row r="1453" spans="1:6" x14ac:dyDescent="0.3">
      <c r="A1453" t="str">
        <f>"40"</f>
        <v>40</v>
      </c>
      <c r="B1453" t="str">
        <f>"40.0806"</f>
        <v>40.0806</v>
      </c>
      <c r="C1453" t="s">
        <v>1962</v>
      </c>
      <c r="D1453" t="s">
        <v>1961</v>
      </c>
      <c r="E1453" t="s">
        <v>1960</v>
      </c>
      <c r="F1453" t="s">
        <v>1959</v>
      </c>
    </row>
    <row r="1454" spans="1:6" x14ac:dyDescent="0.3">
      <c r="A1454" t="str">
        <f>"40"</f>
        <v>40</v>
      </c>
      <c r="B1454" t="str">
        <f>"40.0807"</f>
        <v>40.0807</v>
      </c>
      <c r="C1454" t="s">
        <v>1958</v>
      </c>
      <c r="D1454" t="s">
        <v>1957</v>
      </c>
      <c r="E1454" t="s">
        <v>1956</v>
      </c>
      <c r="F1454" t="s">
        <v>1949</v>
      </c>
    </row>
    <row r="1455" spans="1:6" x14ac:dyDescent="0.3">
      <c r="A1455" t="str">
        <f>"40"</f>
        <v>40</v>
      </c>
      <c r="B1455" t="str">
        <f>"40.0808"</f>
        <v>40.0808</v>
      </c>
      <c r="C1455" t="s">
        <v>1955</v>
      </c>
      <c r="D1455" t="s">
        <v>1954</v>
      </c>
    </row>
    <row r="1456" spans="1:6" x14ac:dyDescent="0.3">
      <c r="A1456" t="str">
        <f>"40"</f>
        <v>40</v>
      </c>
      <c r="B1456" t="str">
        <f>"40.0809"</f>
        <v>40.0809</v>
      </c>
      <c r="C1456" t="s">
        <v>1953</v>
      </c>
      <c r="D1456" t="s">
        <v>1952</v>
      </c>
    </row>
    <row r="1457" spans="1:6" x14ac:dyDescent="0.3">
      <c r="A1457" t="str">
        <f>"40"</f>
        <v>40</v>
      </c>
      <c r="B1457" t="str">
        <f>"40.0810"</f>
        <v>40.0810</v>
      </c>
      <c r="C1457" t="s">
        <v>1951</v>
      </c>
      <c r="D1457" t="s">
        <v>1950</v>
      </c>
    </row>
    <row r="1458" spans="1:6" x14ac:dyDescent="0.3">
      <c r="A1458" t="str">
        <f>"40"</f>
        <v>40</v>
      </c>
      <c r="B1458" t="str">
        <f>"40.0899"</f>
        <v>40.0899</v>
      </c>
      <c r="C1458" t="s">
        <v>1948</v>
      </c>
      <c r="D1458" t="s">
        <v>1947</v>
      </c>
      <c r="F1458" t="s">
        <v>1944</v>
      </c>
    </row>
    <row r="1459" spans="1:6" x14ac:dyDescent="0.3">
      <c r="A1459" t="str">
        <f>"40"</f>
        <v>40</v>
      </c>
      <c r="B1459" t="str">
        <f>"40.10"</f>
        <v>40.10</v>
      </c>
      <c r="C1459" t="s">
        <v>1946</v>
      </c>
      <c r="D1459" t="s">
        <v>1945</v>
      </c>
    </row>
    <row r="1460" spans="1:6" x14ac:dyDescent="0.3">
      <c r="A1460" t="str">
        <f>"40"</f>
        <v>40</v>
      </c>
      <c r="B1460" t="str">
        <f>"40.1001"</f>
        <v>40.1001</v>
      </c>
      <c r="C1460" t="s">
        <v>1943</v>
      </c>
      <c r="D1460" t="s">
        <v>1942</v>
      </c>
      <c r="E1460" t="s">
        <v>1941</v>
      </c>
      <c r="F1460" t="s">
        <v>1929</v>
      </c>
    </row>
    <row r="1461" spans="1:6" x14ac:dyDescent="0.3">
      <c r="A1461" t="str">
        <f>"40"</f>
        <v>40</v>
      </c>
      <c r="B1461" t="str">
        <f>"40.1002"</f>
        <v>40.1002</v>
      </c>
      <c r="C1461" t="s">
        <v>1940</v>
      </c>
      <c r="D1461" t="s">
        <v>1939</v>
      </c>
      <c r="E1461" t="s">
        <v>1938</v>
      </c>
    </row>
    <row r="1462" spans="1:6" x14ac:dyDescent="0.3">
      <c r="A1462" t="str">
        <f>"40"</f>
        <v>40</v>
      </c>
      <c r="B1462" t="str">
        <f>"40.1099"</f>
        <v>40.1099</v>
      </c>
      <c r="C1462" t="s">
        <v>1937</v>
      </c>
      <c r="D1462" t="s">
        <v>1936</v>
      </c>
    </row>
    <row r="1463" spans="1:6" x14ac:dyDescent="0.3">
      <c r="A1463" t="str">
        <f>"40"</f>
        <v>40</v>
      </c>
      <c r="B1463" t="str">
        <f>"40.11"</f>
        <v>40.11</v>
      </c>
      <c r="C1463" t="s">
        <v>5619</v>
      </c>
      <c r="D1463" t="s">
        <v>5620</v>
      </c>
    </row>
    <row r="1464" spans="1:6" x14ac:dyDescent="0.3">
      <c r="A1464" t="str">
        <f>"40"</f>
        <v>40</v>
      </c>
      <c r="B1464" t="str">
        <f>"40.1101"</f>
        <v>40.1101</v>
      </c>
      <c r="C1464" t="s">
        <v>5619</v>
      </c>
      <c r="D1464" t="s">
        <v>5618</v>
      </c>
      <c r="E1464" t="s">
        <v>5617</v>
      </c>
    </row>
    <row r="1465" spans="1:6" x14ac:dyDescent="0.3">
      <c r="A1465" t="str">
        <f>"40"</f>
        <v>40</v>
      </c>
      <c r="B1465" t="str">
        <f>"40.99"</f>
        <v>40.99</v>
      </c>
      <c r="C1465" t="s">
        <v>1934</v>
      </c>
      <c r="D1465" t="s">
        <v>1935</v>
      </c>
    </row>
    <row r="1466" spans="1:6" x14ac:dyDescent="0.3">
      <c r="A1466" t="str">
        <f>"40"</f>
        <v>40</v>
      </c>
      <c r="B1466" t="str">
        <f>"40.9999"</f>
        <v>40.9999</v>
      </c>
      <c r="C1466" t="s">
        <v>1934</v>
      </c>
      <c r="D1466" t="s">
        <v>1933</v>
      </c>
    </row>
    <row r="1467" spans="1:6" x14ac:dyDescent="0.3">
      <c r="A1467" t="str">
        <f>"41"</f>
        <v>41</v>
      </c>
      <c r="B1467" t="str">
        <f>"41"</f>
        <v>41</v>
      </c>
      <c r="C1467" t="s">
        <v>1932</v>
      </c>
      <c r="D1467" t="s">
        <v>1931</v>
      </c>
    </row>
    <row r="1468" spans="1:6" x14ac:dyDescent="0.3">
      <c r="A1468" t="str">
        <f>"41"</f>
        <v>41</v>
      </c>
      <c r="B1468" t="str">
        <f>"41.00"</f>
        <v>41.00</v>
      </c>
      <c r="C1468" t="s">
        <v>1928</v>
      </c>
      <c r="D1468" t="s">
        <v>1930</v>
      </c>
    </row>
    <row r="1469" spans="1:6" x14ac:dyDescent="0.3">
      <c r="A1469" t="str">
        <f>"41"</f>
        <v>41</v>
      </c>
      <c r="B1469" t="str">
        <f>"41.0000"</f>
        <v>41.0000</v>
      </c>
      <c r="C1469" t="s">
        <v>1928</v>
      </c>
      <c r="D1469" t="s">
        <v>1927</v>
      </c>
      <c r="F1469" t="s">
        <v>1912</v>
      </c>
    </row>
    <row r="1470" spans="1:6" x14ac:dyDescent="0.3">
      <c r="A1470" t="str">
        <f>"41"</f>
        <v>41</v>
      </c>
      <c r="B1470" t="str">
        <f>"41.01"</f>
        <v>41.01</v>
      </c>
      <c r="C1470" t="s">
        <v>5616</v>
      </c>
      <c r="D1470" t="s">
        <v>1926</v>
      </c>
    </row>
    <row r="1471" spans="1:6" x14ac:dyDescent="0.3">
      <c r="A1471" t="str">
        <f>"41"</f>
        <v>41</v>
      </c>
      <c r="B1471" t="str">
        <f>"41.0101"</f>
        <v>41.0101</v>
      </c>
      <c r="C1471" t="s">
        <v>5615</v>
      </c>
      <c r="D1471" t="s">
        <v>1925</v>
      </c>
      <c r="E1471" t="s">
        <v>1050</v>
      </c>
      <c r="F1471" t="s">
        <v>5614</v>
      </c>
    </row>
    <row r="1472" spans="1:6" x14ac:dyDescent="0.3">
      <c r="A1472" t="str">
        <f>"41"</f>
        <v>41</v>
      </c>
      <c r="B1472" t="str">
        <f>"41.02"</f>
        <v>41.02</v>
      </c>
      <c r="C1472" t="s">
        <v>1924</v>
      </c>
      <c r="D1472" t="s">
        <v>1923</v>
      </c>
    </row>
    <row r="1473" spans="1:6" x14ac:dyDescent="0.3">
      <c r="A1473" t="str">
        <f>"41"</f>
        <v>41</v>
      </c>
      <c r="B1473" t="str">
        <f>"41.0204"</f>
        <v>41.0204</v>
      </c>
      <c r="C1473" t="s">
        <v>1922</v>
      </c>
      <c r="D1473" t="s">
        <v>1921</v>
      </c>
    </row>
    <row r="1474" spans="1:6" x14ac:dyDescent="0.3">
      <c r="A1474" t="str">
        <f>"41"</f>
        <v>41</v>
      </c>
      <c r="B1474" t="str">
        <f>"41.0205"</f>
        <v>41.0205</v>
      </c>
      <c r="C1474" t="s">
        <v>1920</v>
      </c>
      <c r="D1474" t="s">
        <v>1919</v>
      </c>
    </row>
    <row r="1475" spans="1:6" x14ac:dyDescent="0.3">
      <c r="A1475" t="str">
        <f>"41"</f>
        <v>41</v>
      </c>
      <c r="B1475" t="str">
        <f>"41.0299"</f>
        <v>41.0299</v>
      </c>
      <c r="C1475" t="s">
        <v>1918</v>
      </c>
      <c r="D1475" t="s">
        <v>1917</v>
      </c>
    </row>
    <row r="1476" spans="1:6" x14ac:dyDescent="0.3">
      <c r="A1476" t="str">
        <f>"41"</f>
        <v>41</v>
      </c>
      <c r="B1476" t="str">
        <f>"41.03"</f>
        <v>41.03</v>
      </c>
      <c r="C1476" t="s">
        <v>1916</v>
      </c>
      <c r="D1476" t="s">
        <v>1915</v>
      </c>
    </row>
    <row r="1477" spans="1:6" x14ac:dyDescent="0.3">
      <c r="A1477" t="str">
        <f>"41"</f>
        <v>41</v>
      </c>
      <c r="B1477" t="str">
        <f>"41.0301"</f>
        <v>41.0301</v>
      </c>
      <c r="C1477" t="s">
        <v>1914</v>
      </c>
      <c r="D1477" t="s">
        <v>1913</v>
      </c>
    </row>
    <row r="1478" spans="1:6" x14ac:dyDescent="0.3">
      <c r="A1478" t="str">
        <f>"41"</f>
        <v>41</v>
      </c>
      <c r="B1478" t="str">
        <f>"41.0303"</f>
        <v>41.0303</v>
      </c>
      <c r="C1478" t="s">
        <v>1911</v>
      </c>
      <c r="D1478" t="s">
        <v>1910</v>
      </c>
      <c r="F1478" t="s">
        <v>5613</v>
      </c>
    </row>
    <row r="1479" spans="1:6" x14ac:dyDescent="0.3">
      <c r="A1479" t="str">
        <f>"41"</f>
        <v>41</v>
      </c>
      <c r="B1479" t="str">
        <f>"41.0399"</f>
        <v>41.0399</v>
      </c>
      <c r="C1479" t="s">
        <v>1909</v>
      </c>
      <c r="D1479" t="s">
        <v>1908</v>
      </c>
    </row>
    <row r="1480" spans="1:6" x14ac:dyDescent="0.3">
      <c r="A1480" t="str">
        <f>"41"</f>
        <v>41</v>
      </c>
      <c r="B1480" t="str">
        <f>"41.99"</f>
        <v>41.99</v>
      </c>
      <c r="C1480" t="s">
        <v>1906</v>
      </c>
      <c r="D1480" t="s">
        <v>1907</v>
      </c>
    </row>
    <row r="1481" spans="1:6" x14ac:dyDescent="0.3">
      <c r="A1481" t="str">
        <f>"41"</f>
        <v>41</v>
      </c>
      <c r="B1481" t="str">
        <f>"41.9999"</f>
        <v>41.9999</v>
      </c>
      <c r="C1481" t="s">
        <v>1906</v>
      </c>
      <c r="D1481" t="s">
        <v>1905</v>
      </c>
    </row>
    <row r="1482" spans="1:6" x14ac:dyDescent="0.3">
      <c r="A1482" t="str">
        <f>"42"</f>
        <v>42</v>
      </c>
      <c r="B1482" t="str">
        <f>"42"</f>
        <v>42</v>
      </c>
      <c r="C1482" t="s">
        <v>1904</v>
      </c>
      <c r="D1482" t="s">
        <v>1903</v>
      </c>
    </row>
    <row r="1483" spans="1:6" x14ac:dyDescent="0.3">
      <c r="A1483" t="str">
        <f>"42"</f>
        <v>42</v>
      </c>
      <c r="B1483" t="str">
        <f>"42.01"</f>
        <v>42.01</v>
      </c>
      <c r="C1483" t="s">
        <v>1901</v>
      </c>
      <c r="D1483" t="s">
        <v>1902</v>
      </c>
    </row>
    <row r="1484" spans="1:6" x14ac:dyDescent="0.3">
      <c r="A1484" t="str">
        <f>"42"</f>
        <v>42</v>
      </c>
      <c r="B1484" t="str">
        <f>"42.0101"</f>
        <v>42.0101</v>
      </c>
      <c r="C1484" t="s">
        <v>1901</v>
      </c>
      <c r="D1484" t="s">
        <v>1900</v>
      </c>
      <c r="E1484" t="s">
        <v>1899</v>
      </c>
    </row>
    <row r="1485" spans="1:6" x14ac:dyDescent="0.3">
      <c r="A1485" t="str">
        <f>"42"</f>
        <v>42</v>
      </c>
      <c r="B1485" t="str">
        <f>"42.27"</f>
        <v>42.27</v>
      </c>
      <c r="C1485" t="s">
        <v>1898</v>
      </c>
      <c r="D1485" t="s">
        <v>1897</v>
      </c>
    </row>
    <row r="1486" spans="1:6" x14ac:dyDescent="0.3">
      <c r="A1486" t="str">
        <f>"42"</f>
        <v>42</v>
      </c>
      <c r="B1486" t="str">
        <f>"42.2701"</f>
        <v>42.2701</v>
      </c>
      <c r="C1486" t="s">
        <v>1896</v>
      </c>
      <c r="D1486" t="s">
        <v>1895</v>
      </c>
    </row>
    <row r="1487" spans="1:6" x14ac:dyDescent="0.3">
      <c r="A1487" t="str">
        <f>"42"</f>
        <v>42</v>
      </c>
      <c r="B1487" t="str">
        <f>"42.2702"</f>
        <v>42.2702</v>
      </c>
      <c r="C1487" t="s">
        <v>1894</v>
      </c>
      <c r="D1487" t="s">
        <v>1893</v>
      </c>
    </row>
    <row r="1488" spans="1:6" x14ac:dyDescent="0.3">
      <c r="A1488" t="str">
        <f>"42"</f>
        <v>42</v>
      </c>
      <c r="B1488" t="str">
        <f>"42.2703"</f>
        <v>42.2703</v>
      </c>
      <c r="C1488" t="s">
        <v>1892</v>
      </c>
      <c r="D1488" t="s">
        <v>5612</v>
      </c>
      <c r="E1488" t="s">
        <v>5611</v>
      </c>
      <c r="F1488" t="s">
        <v>5610</v>
      </c>
    </row>
    <row r="1489" spans="1:6" x14ac:dyDescent="0.3">
      <c r="A1489" t="str">
        <f>"42"</f>
        <v>42</v>
      </c>
      <c r="B1489" t="str">
        <f>"42.2704"</f>
        <v>42.2704</v>
      </c>
      <c r="C1489" t="s">
        <v>1891</v>
      </c>
      <c r="D1489" t="s">
        <v>1890</v>
      </c>
    </row>
    <row r="1490" spans="1:6" x14ac:dyDescent="0.3">
      <c r="A1490" t="str">
        <f>"42"</f>
        <v>42</v>
      </c>
      <c r="B1490" t="str">
        <f>"42.2705"</f>
        <v>42.2705</v>
      </c>
      <c r="C1490" t="s">
        <v>1889</v>
      </c>
      <c r="D1490" t="s">
        <v>1888</v>
      </c>
    </row>
    <row r="1491" spans="1:6" x14ac:dyDescent="0.3">
      <c r="A1491" t="str">
        <f>"42"</f>
        <v>42</v>
      </c>
      <c r="B1491" t="str">
        <f>"42.2706"</f>
        <v>42.2706</v>
      </c>
      <c r="C1491" t="s">
        <v>5609</v>
      </c>
      <c r="D1491" t="s">
        <v>5608</v>
      </c>
      <c r="E1491" t="s">
        <v>5607</v>
      </c>
      <c r="F1491" t="s">
        <v>5606</v>
      </c>
    </row>
    <row r="1492" spans="1:6" x14ac:dyDescent="0.3">
      <c r="A1492" t="str">
        <f>"42"</f>
        <v>42</v>
      </c>
      <c r="B1492" t="str">
        <f>"42.2707"</f>
        <v>42.2707</v>
      </c>
      <c r="C1492" t="s">
        <v>1887</v>
      </c>
      <c r="D1492" t="s">
        <v>1886</v>
      </c>
    </row>
    <row r="1493" spans="1:6" x14ac:dyDescent="0.3">
      <c r="A1493" t="str">
        <f>"42"</f>
        <v>42</v>
      </c>
      <c r="B1493" t="str">
        <f>"42.2708"</f>
        <v>42.2708</v>
      </c>
      <c r="C1493" t="s">
        <v>1885</v>
      </c>
      <c r="D1493" t="s">
        <v>1884</v>
      </c>
    </row>
    <row r="1494" spans="1:6" x14ac:dyDescent="0.3">
      <c r="A1494" t="str">
        <f>"42"</f>
        <v>42</v>
      </c>
      <c r="B1494" t="str">
        <f>"42.2709"</f>
        <v>42.2709</v>
      </c>
      <c r="C1494" t="s">
        <v>1883</v>
      </c>
      <c r="D1494" t="s">
        <v>1882</v>
      </c>
    </row>
    <row r="1495" spans="1:6" x14ac:dyDescent="0.3">
      <c r="A1495" t="str">
        <f>"42"</f>
        <v>42</v>
      </c>
      <c r="B1495" t="str">
        <f>"42.2710"</f>
        <v>42.2710</v>
      </c>
      <c r="C1495" t="s">
        <v>5605</v>
      </c>
      <c r="D1495" t="s">
        <v>5604</v>
      </c>
      <c r="F1495" t="s">
        <v>5603</v>
      </c>
    </row>
    <row r="1496" spans="1:6" x14ac:dyDescent="0.3">
      <c r="A1496" t="str">
        <f>"42"</f>
        <v>42</v>
      </c>
      <c r="B1496" t="str">
        <f>"42.2799"</f>
        <v>42.2799</v>
      </c>
      <c r="C1496" t="s">
        <v>1881</v>
      </c>
      <c r="D1496" t="s">
        <v>1880</v>
      </c>
    </row>
    <row r="1497" spans="1:6" x14ac:dyDescent="0.3">
      <c r="A1497" t="str">
        <f>"42"</f>
        <v>42</v>
      </c>
      <c r="B1497" t="str">
        <f>"42.28"</f>
        <v>42.28</v>
      </c>
      <c r="C1497" t="s">
        <v>1879</v>
      </c>
      <c r="D1497" t="s">
        <v>1878</v>
      </c>
    </row>
    <row r="1498" spans="1:6" x14ac:dyDescent="0.3">
      <c r="A1498" t="str">
        <f>"42"</f>
        <v>42</v>
      </c>
      <c r="B1498" t="str">
        <f>"42.2801"</f>
        <v>42.2801</v>
      </c>
      <c r="C1498" t="s">
        <v>1877</v>
      </c>
      <c r="D1498" t="s">
        <v>1876</v>
      </c>
    </row>
    <row r="1499" spans="1:6" x14ac:dyDescent="0.3">
      <c r="A1499" t="str">
        <f>"42"</f>
        <v>42</v>
      </c>
      <c r="B1499" t="str">
        <f>"42.2802"</f>
        <v>42.2802</v>
      </c>
      <c r="C1499" t="s">
        <v>1875</v>
      </c>
      <c r="D1499" t="s">
        <v>1874</v>
      </c>
    </row>
    <row r="1500" spans="1:6" x14ac:dyDescent="0.3">
      <c r="A1500" t="str">
        <f>"42"</f>
        <v>42</v>
      </c>
      <c r="B1500" t="str">
        <f>"42.2803"</f>
        <v>42.2803</v>
      </c>
      <c r="C1500" t="s">
        <v>1873</v>
      </c>
      <c r="D1500" t="s">
        <v>1872</v>
      </c>
      <c r="E1500" t="s">
        <v>1871</v>
      </c>
    </row>
    <row r="1501" spans="1:6" x14ac:dyDescent="0.3">
      <c r="A1501" t="str">
        <f>"42"</f>
        <v>42</v>
      </c>
      <c r="B1501" t="str">
        <f>"42.2804"</f>
        <v>42.2804</v>
      </c>
      <c r="C1501" t="s">
        <v>1870</v>
      </c>
      <c r="D1501" t="s">
        <v>1869</v>
      </c>
      <c r="E1501" t="s">
        <v>1868</v>
      </c>
    </row>
    <row r="1502" spans="1:6" x14ac:dyDescent="0.3">
      <c r="A1502" t="str">
        <f>"42"</f>
        <v>42</v>
      </c>
      <c r="B1502" t="str">
        <f>"42.2805"</f>
        <v>42.2805</v>
      </c>
      <c r="C1502" t="s">
        <v>1867</v>
      </c>
      <c r="D1502" t="s">
        <v>1866</v>
      </c>
      <c r="E1502" t="s">
        <v>1865</v>
      </c>
    </row>
    <row r="1503" spans="1:6" x14ac:dyDescent="0.3">
      <c r="A1503" t="str">
        <f>"42"</f>
        <v>42</v>
      </c>
      <c r="B1503" t="str">
        <f>"42.2806"</f>
        <v>42.2806</v>
      </c>
      <c r="C1503" t="s">
        <v>1864</v>
      </c>
      <c r="D1503" t="s">
        <v>1863</v>
      </c>
    </row>
    <row r="1504" spans="1:6" x14ac:dyDescent="0.3">
      <c r="A1504" t="str">
        <f>"42"</f>
        <v>42</v>
      </c>
      <c r="B1504" t="str">
        <f>"42.2807"</f>
        <v>42.2807</v>
      </c>
      <c r="C1504" t="s">
        <v>1862</v>
      </c>
      <c r="D1504" t="s">
        <v>1861</v>
      </c>
    </row>
    <row r="1505" spans="1:6" x14ac:dyDescent="0.3">
      <c r="A1505" t="str">
        <f>"42"</f>
        <v>42</v>
      </c>
      <c r="B1505" t="str">
        <f>"42.2808"</f>
        <v>42.2808</v>
      </c>
      <c r="C1505" t="s">
        <v>1860</v>
      </c>
      <c r="D1505" t="s">
        <v>1859</v>
      </c>
    </row>
    <row r="1506" spans="1:6" x14ac:dyDescent="0.3">
      <c r="A1506" t="str">
        <f>"42"</f>
        <v>42</v>
      </c>
      <c r="B1506" t="str">
        <f>"42.2809"</f>
        <v>42.2809</v>
      </c>
      <c r="C1506" t="s">
        <v>1858</v>
      </c>
      <c r="D1506" t="s">
        <v>1857</v>
      </c>
      <c r="E1506" t="s">
        <v>1856</v>
      </c>
    </row>
    <row r="1507" spans="1:6" x14ac:dyDescent="0.3">
      <c r="A1507" t="str">
        <f>"42"</f>
        <v>42</v>
      </c>
      <c r="B1507" t="str">
        <f>"42.2810"</f>
        <v>42.2810</v>
      </c>
      <c r="C1507" t="s">
        <v>1855</v>
      </c>
      <c r="D1507" t="s">
        <v>1854</v>
      </c>
    </row>
    <row r="1508" spans="1:6" x14ac:dyDescent="0.3">
      <c r="A1508" t="str">
        <f>"42"</f>
        <v>42</v>
      </c>
      <c r="B1508" t="str">
        <f>"42.2811"</f>
        <v>42.2811</v>
      </c>
      <c r="C1508" t="s">
        <v>1853</v>
      </c>
      <c r="D1508" t="s">
        <v>1852</v>
      </c>
      <c r="E1508" t="s">
        <v>1851</v>
      </c>
    </row>
    <row r="1509" spans="1:6" x14ac:dyDescent="0.3">
      <c r="A1509" t="str">
        <f>"42"</f>
        <v>42</v>
      </c>
      <c r="B1509" t="str">
        <f>"42.2812"</f>
        <v>42.2812</v>
      </c>
      <c r="C1509" t="s">
        <v>1850</v>
      </c>
      <c r="D1509" t="s">
        <v>1849</v>
      </c>
    </row>
    <row r="1510" spans="1:6" x14ac:dyDescent="0.3">
      <c r="A1510" t="str">
        <f>"42"</f>
        <v>42</v>
      </c>
      <c r="B1510" t="str">
        <f>"42.2813"</f>
        <v>42.2813</v>
      </c>
      <c r="C1510" t="s">
        <v>1848</v>
      </c>
      <c r="D1510" t="s">
        <v>1847</v>
      </c>
      <c r="E1510" t="s">
        <v>5602</v>
      </c>
    </row>
    <row r="1511" spans="1:6" x14ac:dyDescent="0.3">
      <c r="A1511" t="str">
        <f>"42"</f>
        <v>42</v>
      </c>
      <c r="B1511" t="str">
        <f>"42.2814"</f>
        <v>42.2814</v>
      </c>
      <c r="C1511" t="s">
        <v>1846</v>
      </c>
      <c r="D1511" t="s">
        <v>1845</v>
      </c>
    </row>
    <row r="1512" spans="1:6" x14ac:dyDescent="0.3">
      <c r="A1512" t="str">
        <f>"42"</f>
        <v>42</v>
      </c>
      <c r="B1512" t="str">
        <f>"42.2815"</f>
        <v>42.2815</v>
      </c>
      <c r="C1512" t="s">
        <v>5601</v>
      </c>
      <c r="D1512" t="s">
        <v>5600</v>
      </c>
      <c r="E1512" t="s">
        <v>5599</v>
      </c>
      <c r="F1512" t="s">
        <v>5598</v>
      </c>
    </row>
    <row r="1513" spans="1:6" x14ac:dyDescent="0.3">
      <c r="A1513" t="str">
        <f>"42"</f>
        <v>42</v>
      </c>
      <c r="B1513" t="str">
        <f>"42.2816"</f>
        <v>42.2816</v>
      </c>
      <c r="C1513" t="s">
        <v>5597</v>
      </c>
      <c r="D1513" t="s">
        <v>5596</v>
      </c>
    </row>
    <row r="1514" spans="1:6" x14ac:dyDescent="0.3">
      <c r="A1514" t="str">
        <f>"42"</f>
        <v>42</v>
      </c>
      <c r="B1514" t="str">
        <f>"42.2817"</f>
        <v>42.2817</v>
      </c>
      <c r="C1514" t="s">
        <v>5595</v>
      </c>
      <c r="D1514" t="s">
        <v>5594</v>
      </c>
    </row>
    <row r="1515" spans="1:6" x14ac:dyDescent="0.3">
      <c r="A1515" t="str">
        <f>"42"</f>
        <v>42</v>
      </c>
      <c r="B1515" t="str">
        <f>"42.2899"</f>
        <v>42.2899</v>
      </c>
      <c r="C1515" t="s">
        <v>1844</v>
      </c>
      <c r="D1515" t="s">
        <v>1843</v>
      </c>
    </row>
    <row r="1516" spans="1:6" x14ac:dyDescent="0.3">
      <c r="A1516" t="str">
        <f>"42"</f>
        <v>42</v>
      </c>
      <c r="B1516" t="str">
        <f>"42.99"</f>
        <v>42.99</v>
      </c>
      <c r="C1516" t="s">
        <v>1841</v>
      </c>
      <c r="D1516" t="s">
        <v>1842</v>
      </c>
    </row>
    <row r="1517" spans="1:6" x14ac:dyDescent="0.3">
      <c r="A1517" t="str">
        <f>"42"</f>
        <v>42</v>
      </c>
      <c r="B1517" t="str">
        <f>"42.9999"</f>
        <v>42.9999</v>
      </c>
      <c r="C1517" t="s">
        <v>1841</v>
      </c>
      <c r="D1517" t="s">
        <v>1840</v>
      </c>
      <c r="F1517" t="s">
        <v>1819</v>
      </c>
    </row>
    <row r="1518" spans="1:6" x14ac:dyDescent="0.3">
      <c r="A1518" t="str">
        <f>"43"</f>
        <v>43</v>
      </c>
      <c r="B1518" t="str">
        <f>"43"</f>
        <v>43</v>
      </c>
      <c r="C1518" t="s">
        <v>1839</v>
      </c>
      <c r="D1518" t="s">
        <v>1838</v>
      </c>
    </row>
    <row r="1519" spans="1:6" x14ac:dyDescent="0.3">
      <c r="A1519" t="str">
        <f>"43"</f>
        <v>43</v>
      </c>
      <c r="B1519" t="str">
        <f>"43.01"</f>
        <v>43.01</v>
      </c>
      <c r="C1519" t="s">
        <v>1837</v>
      </c>
      <c r="D1519" t="s">
        <v>5593</v>
      </c>
    </row>
    <row r="1520" spans="1:6" x14ac:dyDescent="0.3">
      <c r="A1520" t="str">
        <f>"43"</f>
        <v>43</v>
      </c>
      <c r="B1520" t="str">
        <f>"43.0100"</f>
        <v>43.0100</v>
      </c>
      <c r="C1520" t="s">
        <v>5592</v>
      </c>
      <c r="D1520" t="s">
        <v>5591</v>
      </c>
    </row>
    <row r="1521" spans="1:6" x14ac:dyDescent="0.3">
      <c r="A1521" t="str">
        <f>"43"</f>
        <v>43</v>
      </c>
      <c r="B1521" t="str">
        <f>"43.0102"</f>
        <v>43.0102</v>
      </c>
      <c r="C1521" t="s">
        <v>1836</v>
      </c>
      <c r="D1521" t="s">
        <v>1835</v>
      </c>
    </row>
    <row r="1522" spans="1:6" x14ac:dyDescent="0.3">
      <c r="A1522" t="str">
        <f>"43"</f>
        <v>43</v>
      </c>
      <c r="B1522" t="str">
        <f>"43.0103"</f>
        <v>43.0103</v>
      </c>
      <c r="C1522" t="s">
        <v>1834</v>
      </c>
      <c r="D1522" t="s">
        <v>1833</v>
      </c>
    </row>
    <row r="1523" spans="1:6" x14ac:dyDescent="0.3">
      <c r="A1523" t="str">
        <f>"43"</f>
        <v>43</v>
      </c>
      <c r="B1523" t="str">
        <f>"43.0104"</f>
        <v>43.0104</v>
      </c>
      <c r="C1523" t="s">
        <v>1832</v>
      </c>
      <c r="D1523" t="s">
        <v>1831</v>
      </c>
      <c r="E1523" t="s">
        <v>1830</v>
      </c>
    </row>
    <row r="1524" spans="1:6" x14ac:dyDescent="0.3">
      <c r="A1524" t="str">
        <f>"43"</f>
        <v>43</v>
      </c>
      <c r="B1524" t="str">
        <f>"43.0106"</f>
        <v>43.0106</v>
      </c>
      <c r="C1524" t="s">
        <v>1829</v>
      </c>
      <c r="D1524" t="s">
        <v>5590</v>
      </c>
    </row>
    <row r="1525" spans="1:6" x14ac:dyDescent="0.3">
      <c r="A1525" t="str">
        <f>"43"</f>
        <v>43</v>
      </c>
      <c r="B1525" t="str">
        <f>"43.0107"</f>
        <v>43.0107</v>
      </c>
      <c r="C1525" t="s">
        <v>1827</v>
      </c>
      <c r="D1525" t="s">
        <v>1826</v>
      </c>
    </row>
    <row r="1526" spans="1:6" x14ac:dyDescent="0.3">
      <c r="A1526" t="str">
        <f>"43"</f>
        <v>43</v>
      </c>
      <c r="B1526" t="str">
        <f>"43.0109"</f>
        <v>43.0109</v>
      </c>
      <c r="C1526" t="s">
        <v>1825</v>
      </c>
      <c r="D1526" t="s">
        <v>1824</v>
      </c>
    </row>
    <row r="1527" spans="1:6" x14ac:dyDescent="0.3">
      <c r="A1527" t="str">
        <f>"43"</f>
        <v>43</v>
      </c>
      <c r="B1527" t="str">
        <f>"43.0110"</f>
        <v>43.0110</v>
      </c>
      <c r="C1527" t="s">
        <v>1823</v>
      </c>
      <c r="D1527" t="s">
        <v>1822</v>
      </c>
    </row>
    <row r="1528" spans="1:6" x14ac:dyDescent="0.3">
      <c r="A1528" t="str">
        <f>"43"</f>
        <v>43</v>
      </c>
      <c r="B1528" t="str">
        <f>"43.0111"</f>
        <v>43.0111</v>
      </c>
      <c r="C1528" t="s">
        <v>1821</v>
      </c>
      <c r="D1528" t="s">
        <v>5589</v>
      </c>
    </row>
    <row r="1529" spans="1:6" x14ac:dyDescent="0.3">
      <c r="A1529" t="str">
        <f>"43"</f>
        <v>43</v>
      </c>
      <c r="B1529" t="str">
        <f>"43.0112"</f>
        <v>43.0112</v>
      </c>
      <c r="C1529" t="s">
        <v>1818</v>
      </c>
      <c r="D1529" t="s">
        <v>1817</v>
      </c>
      <c r="F1529" t="s">
        <v>1810</v>
      </c>
    </row>
    <row r="1530" spans="1:6" x14ac:dyDescent="0.3">
      <c r="A1530" t="str">
        <f>"43"</f>
        <v>43</v>
      </c>
      <c r="B1530" t="str">
        <f>"43.0113"</f>
        <v>43.0113</v>
      </c>
      <c r="C1530" t="s">
        <v>1816</v>
      </c>
      <c r="D1530" t="s">
        <v>1815</v>
      </c>
    </row>
    <row r="1531" spans="1:6" x14ac:dyDescent="0.3">
      <c r="A1531" t="str">
        <f>"43"</f>
        <v>43</v>
      </c>
      <c r="B1531" t="str">
        <f>"43.0114"</f>
        <v>43.0114</v>
      </c>
      <c r="C1531" t="s">
        <v>1814</v>
      </c>
      <c r="D1531" t="s">
        <v>1813</v>
      </c>
    </row>
    <row r="1532" spans="1:6" x14ac:dyDescent="0.3">
      <c r="A1532" t="str">
        <f>"43"</f>
        <v>43</v>
      </c>
      <c r="B1532" t="str">
        <f>"43.0115"</f>
        <v>43.0115</v>
      </c>
      <c r="C1532" t="s">
        <v>1812</v>
      </c>
      <c r="D1532" t="s">
        <v>1811</v>
      </c>
    </row>
    <row r="1533" spans="1:6" x14ac:dyDescent="0.3">
      <c r="A1533" t="str">
        <f>"43"</f>
        <v>43</v>
      </c>
      <c r="B1533" t="str">
        <f>"43.0116"</f>
        <v>43.0116</v>
      </c>
      <c r="C1533" t="s">
        <v>1809</v>
      </c>
      <c r="D1533" t="s">
        <v>5588</v>
      </c>
    </row>
    <row r="1534" spans="1:6" x14ac:dyDescent="0.3">
      <c r="A1534" t="str">
        <f>"43"</f>
        <v>43</v>
      </c>
      <c r="B1534" t="str">
        <f>"43.0117"</f>
        <v>43.0117</v>
      </c>
      <c r="C1534" t="s">
        <v>1806</v>
      </c>
      <c r="D1534" t="s">
        <v>5587</v>
      </c>
    </row>
    <row r="1535" spans="1:6" x14ac:dyDescent="0.3">
      <c r="A1535" t="str">
        <f>"43"</f>
        <v>43</v>
      </c>
      <c r="B1535" t="str">
        <f>"43.0118"</f>
        <v>43.0118</v>
      </c>
      <c r="C1535" t="s">
        <v>1803</v>
      </c>
      <c r="D1535" t="s">
        <v>5586</v>
      </c>
    </row>
    <row r="1536" spans="1:6" x14ac:dyDescent="0.3">
      <c r="A1536" t="str">
        <f>"43"</f>
        <v>43</v>
      </c>
      <c r="B1536" t="str">
        <f>"43.0119"</f>
        <v>43.0119</v>
      </c>
      <c r="C1536" t="s">
        <v>1801</v>
      </c>
      <c r="D1536" t="s">
        <v>1800</v>
      </c>
    </row>
    <row r="1537" spans="1:6" x14ac:dyDescent="0.3">
      <c r="A1537" t="str">
        <f>"43"</f>
        <v>43</v>
      </c>
      <c r="B1537" t="str">
        <f>"43.0120"</f>
        <v>43.0120</v>
      </c>
      <c r="C1537" t="s">
        <v>1798</v>
      </c>
      <c r="D1537" t="s">
        <v>1797</v>
      </c>
      <c r="F1537" t="s">
        <v>5585</v>
      </c>
    </row>
    <row r="1538" spans="1:6" x14ac:dyDescent="0.3">
      <c r="A1538" t="str">
        <f>"43"</f>
        <v>43</v>
      </c>
      <c r="B1538" t="str">
        <f>"43.0121"</f>
        <v>43.0121</v>
      </c>
      <c r="C1538" t="s">
        <v>1796</v>
      </c>
      <c r="D1538" t="s">
        <v>1795</v>
      </c>
    </row>
    <row r="1539" spans="1:6" x14ac:dyDescent="0.3">
      <c r="A1539" t="str">
        <f>"43"</f>
        <v>43</v>
      </c>
      <c r="B1539" t="str">
        <f>"43.0122"</f>
        <v>43.0122</v>
      </c>
      <c r="C1539" t="s">
        <v>1794</v>
      </c>
      <c r="D1539" t="s">
        <v>1793</v>
      </c>
    </row>
    <row r="1540" spans="1:6" x14ac:dyDescent="0.3">
      <c r="A1540" t="str">
        <f>"43"</f>
        <v>43</v>
      </c>
      <c r="B1540" t="str">
        <f>"43.0123"</f>
        <v>43.0123</v>
      </c>
      <c r="C1540" t="s">
        <v>1792</v>
      </c>
      <c r="D1540" t="s">
        <v>1791</v>
      </c>
    </row>
    <row r="1541" spans="1:6" x14ac:dyDescent="0.3">
      <c r="A1541" t="str">
        <f>"43"</f>
        <v>43</v>
      </c>
      <c r="B1541" t="str">
        <f>"43.0199"</f>
        <v>43.0199</v>
      </c>
      <c r="C1541" t="s">
        <v>1790</v>
      </c>
      <c r="D1541" t="s">
        <v>1789</v>
      </c>
      <c r="E1541" t="s">
        <v>5584</v>
      </c>
    </row>
    <row r="1542" spans="1:6" x14ac:dyDescent="0.3">
      <c r="A1542" t="str">
        <f>"43"</f>
        <v>43</v>
      </c>
      <c r="B1542" t="str">
        <f>"43.02"</f>
        <v>43.02</v>
      </c>
      <c r="C1542" t="s">
        <v>1788</v>
      </c>
      <c r="D1542" t="s">
        <v>1787</v>
      </c>
    </row>
    <row r="1543" spans="1:6" x14ac:dyDescent="0.3">
      <c r="A1543" t="str">
        <f>"43"</f>
        <v>43</v>
      </c>
      <c r="B1543" t="str">
        <f>"43.0201"</f>
        <v>43.0201</v>
      </c>
      <c r="C1543" t="s">
        <v>1786</v>
      </c>
      <c r="D1543" t="s">
        <v>1785</v>
      </c>
      <c r="F1543" t="s">
        <v>1784</v>
      </c>
    </row>
    <row r="1544" spans="1:6" x14ac:dyDescent="0.3">
      <c r="A1544" t="str">
        <f>"43"</f>
        <v>43</v>
      </c>
      <c r="B1544" t="str">
        <f>"43.0202"</f>
        <v>43.0202</v>
      </c>
      <c r="C1544" t="s">
        <v>1783</v>
      </c>
      <c r="D1544" t="s">
        <v>1782</v>
      </c>
      <c r="F1544" t="s">
        <v>1781</v>
      </c>
    </row>
    <row r="1545" spans="1:6" x14ac:dyDescent="0.3">
      <c r="A1545" t="str">
        <f>"43"</f>
        <v>43</v>
      </c>
      <c r="B1545" t="str">
        <f>"43.0203"</f>
        <v>43.0203</v>
      </c>
      <c r="C1545" t="s">
        <v>1780</v>
      </c>
      <c r="D1545" t="s">
        <v>1779</v>
      </c>
      <c r="F1545" t="s">
        <v>5583</v>
      </c>
    </row>
    <row r="1546" spans="1:6" x14ac:dyDescent="0.3">
      <c r="A1546" t="str">
        <f>"43"</f>
        <v>43</v>
      </c>
      <c r="B1546" t="str">
        <f>"43.0204"</f>
        <v>43.0204</v>
      </c>
      <c r="C1546" t="s">
        <v>1778</v>
      </c>
      <c r="D1546" t="s">
        <v>1777</v>
      </c>
    </row>
    <row r="1547" spans="1:6" x14ac:dyDescent="0.3">
      <c r="A1547" t="str">
        <f>"43"</f>
        <v>43</v>
      </c>
      <c r="B1547" t="str">
        <f>"43.0205"</f>
        <v>43.0205</v>
      </c>
      <c r="C1547" t="s">
        <v>1776</v>
      </c>
      <c r="D1547" t="s">
        <v>1775</v>
      </c>
      <c r="F1547" t="s">
        <v>5582</v>
      </c>
    </row>
    <row r="1548" spans="1:6" x14ac:dyDescent="0.3">
      <c r="A1548" t="str">
        <f>"43"</f>
        <v>43</v>
      </c>
      <c r="B1548" t="str">
        <f>"43.0206"</f>
        <v>43.0206</v>
      </c>
      <c r="C1548" t="s">
        <v>1774</v>
      </c>
      <c r="D1548" t="s">
        <v>1773</v>
      </c>
    </row>
    <row r="1549" spans="1:6" x14ac:dyDescent="0.3">
      <c r="A1549" t="str">
        <f>"43"</f>
        <v>43</v>
      </c>
      <c r="B1549" t="str">
        <f>"43.0299"</f>
        <v>43.0299</v>
      </c>
      <c r="C1549" t="s">
        <v>1772</v>
      </c>
      <c r="D1549" t="s">
        <v>1771</v>
      </c>
    </row>
    <row r="1550" spans="1:6" x14ac:dyDescent="0.3">
      <c r="A1550" t="str">
        <f>"43"</f>
        <v>43</v>
      </c>
      <c r="B1550" t="str">
        <f>"43.03"</f>
        <v>43.03</v>
      </c>
      <c r="C1550" t="s">
        <v>1769</v>
      </c>
      <c r="D1550" t="s">
        <v>1770</v>
      </c>
    </row>
    <row r="1551" spans="1:6" x14ac:dyDescent="0.3">
      <c r="A1551" t="str">
        <f>"43"</f>
        <v>43</v>
      </c>
      <c r="B1551" t="str">
        <f>"43.0301"</f>
        <v>43.0301</v>
      </c>
      <c r="C1551" t="s">
        <v>1769</v>
      </c>
      <c r="D1551" t="s">
        <v>1768</v>
      </c>
    </row>
    <row r="1552" spans="1:6" x14ac:dyDescent="0.3">
      <c r="A1552" t="str">
        <f>"43"</f>
        <v>43</v>
      </c>
      <c r="B1552" t="str">
        <f>"43.0302"</f>
        <v>43.0302</v>
      </c>
      <c r="C1552" t="s">
        <v>1767</v>
      </c>
      <c r="D1552" t="s">
        <v>1766</v>
      </c>
      <c r="F1552" t="s">
        <v>1761</v>
      </c>
    </row>
    <row r="1553" spans="1:6" x14ac:dyDescent="0.3">
      <c r="A1553" t="str">
        <f>"43"</f>
        <v>43</v>
      </c>
      <c r="B1553" t="str">
        <f>"43.0303"</f>
        <v>43.0303</v>
      </c>
      <c r="C1553" t="s">
        <v>1765</v>
      </c>
      <c r="D1553" t="s">
        <v>1764</v>
      </c>
    </row>
    <row r="1554" spans="1:6" x14ac:dyDescent="0.3">
      <c r="A1554" t="str">
        <f>"43"</f>
        <v>43</v>
      </c>
      <c r="B1554" t="str">
        <f>"43.0304"</f>
        <v>43.0304</v>
      </c>
      <c r="C1554" t="s">
        <v>1763</v>
      </c>
      <c r="D1554" t="s">
        <v>1762</v>
      </c>
    </row>
    <row r="1555" spans="1:6" x14ac:dyDescent="0.3">
      <c r="A1555" t="str">
        <f>"43"</f>
        <v>43</v>
      </c>
      <c r="B1555" t="str">
        <f>"43.0399"</f>
        <v>43.0399</v>
      </c>
      <c r="C1555" t="s">
        <v>1760</v>
      </c>
      <c r="D1555" t="s">
        <v>1759</v>
      </c>
      <c r="F1555" t="s">
        <v>1744</v>
      </c>
    </row>
    <row r="1556" spans="1:6" x14ac:dyDescent="0.3">
      <c r="A1556" t="str">
        <f>"43"</f>
        <v>43</v>
      </c>
      <c r="B1556" t="str">
        <f>"43.04"</f>
        <v>43.04</v>
      </c>
      <c r="C1556" t="s">
        <v>5581</v>
      </c>
      <c r="D1556" t="s">
        <v>5580</v>
      </c>
    </row>
    <row r="1557" spans="1:6" x14ac:dyDescent="0.3">
      <c r="A1557" t="str">
        <f>"43"</f>
        <v>43</v>
      </c>
      <c r="B1557" t="str">
        <f>"43.0401"</f>
        <v>43.0401</v>
      </c>
      <c r="C1557" t="s">
        <v>5579</v>
      </c>
      <c r="D1557" t="s">
        <v>5578</v>
      </c>
    </row>
    <row r="1558" spans="1:6" x14ac:dyDescent="0.3">
      <c r="A1558" t="str">
        <f>"43"</f>
        <v>43</v>
      </c>
      <c r="B1558" t="str">
        <f>"43.0402"</f>
        <v>43.0402</v>
      </c>
      <c r="C1558" t="s">
        <v>1821</v>
      </c>
      <c r="D1558" t="s">
        <v>1820</v>
      </c>
    </row>
    <row r="1559" spans="1:6" x14ac:dyDescent="0.3">
      <c r="A1559" t="str">
        <f>"43"</f>
        <v>43</v>
      </c>
      <c r="B1559" t="str">
        <f>"43.0403"</f>
        <v>43.0403</v>
      </c>
      <c r="C1559" t="s">
        <v>1809</v>
      </c>
      <c r="D1559" t="s">
        <v>1808</v>
      </c>
      <c r="E1559" t="s">
        <v>5577</v>
      </c>
      <c r="F1559" t="s">
        <v>1807</v>
      </c>
    </row>
    <row r="1560" spans="1:6" x14ac:dyDescent="0.3">
      <c r="A1560" t="str">
        <f>"43"</f>
        <v>43</v>
      </c>
      <c r="B1560" t="str">
        <f>"43.0404"</f>
        <v>43.0404</v>
      </c>
      <c r="C1560" t="s">
        <v>5576</v>
      </c>
      <c r="D1560" t="s">
        <v>5575</v>
      </c>
    </row>
    <row r="1561" spans="1:6" x14ac:dyDescent="0.3">
      <c r="A1561" t="str">
        <f>"43"</f>
        <v>43</v>
      </c>
      <c r="B1561" t="str">
        <f>"43.0405"</f>
        <v>43.0405</v>
      </c>
      <c r="C1561" t="s">
        <v>1806</v>
      </c>
      <c r="D1561" t="s">
        <v>1805</v>
      </c>
      <c r="F1561" t="s">
        <v>1804</v>
      </c>
    </row>
    <row r="1562" spans="1:6" x14ac:dyDescent="0.3">
      <c r="A1562" t="str">
        <f>"43"</f>
        <v>43</v>
      </c>
      <c r="B1562" t="str">
        <f>"43.0406"</f>
        <v>43.0406</v>
      </c>
      <c r="C1562" t="s">
        <v>1829</v>
      </c>
      <c r="D1562" t="s">
        <v>1828</v>
      </c>
      <c r="E1562" t="s">
        <v>5574</v>
      </c>
      <c r="F1562" t="s">
        <v>5573</v>
      </c>
    </row>
    <row r="1563" spans="1:6" x14ac:dyDescent="0.3">
      <c r="A1563" t="str">
        <f>"43"</f>
        <v>43</v>
      </c>
      <c r="B1563" t="str">
        <f>"43.0407"</f>
        <v>43.0407</v>
      </c>
      <c r="C1563" t="s">
        <v>5572</v>
      </c>
      <c r="D1563" t="s">
        <v>5571</v>
      </c>
      <c r="E1563" t="s">
        <v>5570</v>
      </c>
    </row>
    <row r="1564" spans="1:6" x14ac:dyDescent="0.3">
      <c r="A1564" t="str">
        <f>"43"</f>
        <v>43</v>
      </c>
      <c r="B1564" t="str">
        <f>"43.0408"</f>
        <v>43.0408</v>
      </c>
      <c r="C1564" t="s">
        <v>1803</v>
      </c>
      <c r="D1564" t="s">
        <v>1802</v>
      </c>
      <c r="F1564" t="s">
        <v>1799</v>
      </c>
    </row>
    <row r="1565" spans="1:6" x14ac:dyDescent="0.3">
      <c r="A1565" t="str">
        <f>"43"</f>
        <v>43</v>
      </c>
      <c r="B1565" t="str">
        <f>"43.0499"</f>
        <v>43.0499</v>
      </c>
      <c r="C1565" t="s">
        <v>5569</v>
      </c>
      <c r="D1565" t="s">
        <v>5568</v>
      </c>
    </row>
    <row r="1566" spans="1:6" x14ac:dyDescent="0.3">
      <c r="A1566" t="str">
        <f>"43"</f>
        <v>43</v>
      </c>
      <c r="B1566" t="str">
        <f>"43.99"</f>
        <v>43.99</v>
      </c>
      <c r="C1566" t="s">
        <v>1757</v>
      </c>
      <c r="D1566" t="s">
        <v>1758</v>
      </c>
    </row>
    <row r="1567" spans="1:6" x14ac:dyDescent="0.3">
      <c r="A1567" t="str">
        <f>"43"</f>
        <v>43</v>
      </c>
      <c r="B1567" t="str">
        <f>"43.9999"</f>
        <v>43.9999</v>
      </c>
      <c r="C1567" t="s">
        <v>1757</v>
      </c>
      <c r="D1567" t="s">
        <v>1756</v>
      </c>
    </row>
    <row r="1568" spans="1:6" x14ac:dyDescent="0.3">
      <c r="A1568" t="str">
        <f>"44"</f>
        <v>44</v>
      </c>
      <c r="B1568" t="str">
        <f>"44"</f>
        <v>44</v>
      </c>
      <c r="C1568" t="s">
        <v>1755</v>
      </c>
      <c r="D1568" t="s">
        <v>1754</v>
      </c>
    </row>
    <row r="1569" spans="1:6" x14ac:dyDescent="0.3">
      <c r="A1569" t="str">
        <f>"44"</f>
        <v>44</v>
      </c>
      <c r="B1569" t="str">
        <f>"44.00"</f>
        <v>44.00</v>
      </c>
      <c r="C1569" t="s">
        <v>1752</v>
      </c>
      <c r="D1569" t="s">
        <v>1753</v>
      </c>
    </row>
    <row r="1570" spans="1:6" x14ac:dyDescent="0.3">
      <c r="A1570" t="str">
        <f>"44"</f>
        <v>44</v>
      </c>
      <c r="B1570" t="str">
        <f>"44.0000"</f>
        <v>44.0000</v>
      </c>
      <c r="C1570" t="s">
        <v>1752</v>
      </c>
      <c r="D1570" t="s">
        <v>1751</v>
      </c>
      <c r="F1570" t="s">
        <v>5567</v>
      </c>
    </row>
    <row r="1571" spans="1:6" x14ac:dyDescent="0.3">
      <c r="A1571" t="str">
        <f>"44"</f>
        <v>44</v>
      </c>
      <c r="B1571" t="str">
        <f>"44.02"</f>
        <v>44.02</v>
      </c>
      <c r="C1571" t="s">
        <v>1749</v>
      </c>
      <c r="D1571" t="s">
        <v>1750</v>
      </c>
    </row>
    <row r="1572" spans="1:6" x14ac:dyDescent="0.3">
      <c r="A1572" t="str">
        <f>"44"</f>
        <v>44</v>
      </c>
      <c r="B1572" t="str">
        <f>"44.0201"</f>
        <v>44.0201</v>
      </c>
      <c r="C1572" t="s">
        <v>1749</v>
      </c>
      <c r="D1572" t="s">
        <v>5566</v>
      </c>
    </row>
    <row r="1573" spans="1:6" x14ac:dyDescent="0.3">
      <c r="A1573" t="str">
        <f>"44"</f>
        <v>44</v>
      </c>
      <c r="B1573" t="str">
        <f>"44.04"</f>
        <v>44.04</v>
      </c>
      <c r="C1573" t="s">
        <v>1748</v>
      </c>
      <c r="D1573" t="s">
        <v>5565</v>
      </c>
    </row>
    <row r="1574" spans="1:6" x14ac:dyDescent="0.3">
      <c r="A1574" t="str">
        <f>"44"</f>
        <v>44</v>
      </c>
      <c r="B1574" t="str">
        <f>"44.0401"</f>
        <v>44.0401</v>
      </c>
      <c r="C1574" t="s">
        <v>1748</v>
      </c>
      <c r="D1574" t="s">
        <v>1747</v>
      </c>
    </row>
    <row r="1575" spans="1:6" x14ac:dyDescent="0.3">
      <c r="A1575" t="str">
        <f>"44"</f>
        <v>44</v>
      </c>
      <c r="B1575" t="str">
        <f>"44.0402"</f>
        <v>44.0402</v>
      </c>
      <c r="C1575" t="s">
        <v>5564</v>
      </c>
      <c r="D1575" t="s">
        <v>5563</v>
      </c>
    </row>
    <row r="1576" spans="1:6" x14ac:dyDescent="0.3">
      <c r="A1576" t="str">
        <f>"44"</f>
        <v>44</v>
      </c>
      <c r="B1576" t="str">
        <f>"44.0403"</f>
        <v>44.0403</v>
      </c>
      <c r="C1576" t="s">
        <v>5562</v>
      </c>
      <c r="D1576" t="s">
        <v>5561</v>
      </c>
      <c r="E1576" t="s">
        <v>5560</v>
      </c>
    </row>
    <row r="1577" spans="1:6" x14ac:dyDescent="0.3">
      <c r="A1577" t="str">
        <f>"44"</f>
        <v>44</v>
      </c>
      <c r="B1577" t="str">
        <f>"44.0499"</f>
        <v>44.0499</v>
      </c>
      <c r="C1577" t="s">
        <v>5559</v>
      </c>
      <c r="D1577" t="s">
        <v>5558</v>
      </c>
    </row>
    <row r="1578" spans="1:6" x14ac:dyDescent="0.3">
      <c r="A1578" t="str">
        <f>"44"</f>
        <v>44</v>
      </c>
      <c r="B1578" t="str">
        <f>"44.05"</f>
        <v>44.05</v>
      </c>
      <c r="C1578" t="s">
        <v>1746</v>
      </c>
      <c r="D1578" t="s">
        <v>1745</v>
      </c>
    </row>
    <row r="1579" spans="1:6" x14ac:dyDescent="0.3">
      <c r="A1579" t="str">
        <f>"44"</f>
        <v>44</v>
      </c>
      <c r="B1579" t="str">
        <f>"44.0501"</f>
        <v>44.0501</v>
      </c>
      <c r="C1579" t="s">
        <v>1743</v>
      </c>
      <c r="D1579" t="s">
        <v>1742</v>
      </c>
      <c r="F1579" t="s">
        <v>1716</v>
      </c>
    </row>
    <row r="1580" spans="1:6" x14ac:dyDescent="0.3">
      <c r="A1580" t="str">
        <f>"44"</f>
        <v>44</v>
      </c>
      <c r="B1580" t="str">
        <f>"44.0502"</f>
        <v>44.0502</v>
      </c>
      <c r="C1580" t="s">
        <v>1741</v>
      </c>
      <c r="D1580" t="s">
        <v>1740</v>
      </c>
    </row>
    <row r="1581" spans="1:6" x14ac:dyDescent="0.3">
      <c r="A1581" t="str">
        <f>"44"</f>
        <v>44</v>
      </c>
      <c r="B1581" t="str">
        <f>"44.0503"</f>
        <v>44.0503</v>
      </c>
      <c r="C1581" t="s">
        <v>1739</v>
      </c>
      <c r="D1581" t="s">
        <v>1738</v>
      </c>
      <c r="E1581" t="s">
        <v>1737</v>
      </c>
    </row>
    <row r="1582" spans="1:6" x14ac:dyDescent="0.3">
      <c r="A1582" t="str">
        <f>"44"</f>
        <v>44</v>
      </c>
      <c r="B1582" t="str">
        <f>"44.0504"</f>
        <v>44.0504</v>
      </c>
      <c r="C1582" t="s">
        <v>1736</v>
      </c>
      <c r="D1582" t="s">
        <v>1735</v>
      </c>
      <c r="E1582" t="s">
        <v>1734</v>
      </c>
    </row>
    <row r="1583" spans="1:6" x14ac:dyDescent="0.3">
      <c r="A1583" t="str">
        <f>"44"</f>
        <v>44</v>
      </c>
      <c r="B1583" t="str">
        <f>"44.0580"</f>
        <v>44.0580</v>
      </c>
      <c r="C1583" t="s">
        <v>5243</v>
      </c>
      <c r="D1583" t="s">
        <v>5242</v>
      </c>
    </row>
    <row r="1584" spans="1:6" x14ac:dyDescent="0.3">
      <c r="A1584" t="str">
        <f>"44"</f>
        <v>44</v>
      </c>
      <c r="B1584" t="str">
        <f>"44.0599"</f>
        <v>44.0599</v>
      </c>
      <c r="C1584" t="s">
        <v>1733</v>
      </c>
      <c r="D1584" t="s">
        <v>1732</v>
      </c>
    </row>
    <row r="1585" spans="1:6" x14ac:dyDescent="0.3">
      <c r="A1585" t="str">
        <f>"44"</f>
        <v>44</v>
      </c>
      <c r="B1585" t="str">
        <f>"44.07"</f>
        <v>44.07</v>
      </c>
      <c r="C1585" t="s">
        <v>1730</v>
      </c>
      <c r="D1585" t="s">
        <v>1731</v>
      </c>
    </row>
    <row r="1586" spans="1:6" x14ac:dyDescent="0.3">
      <c r="A1586" t="str">
        <f>"44"</f>
        <v>44</v>
      </c>
      <c r="B1586" t="str">
        <f>"44.0701"</f>
        <v>44.0701</v>
      </c>
      <c r="C1586" t="s">
        <v>1730</v>
      </c>
      <c r="D1586" t="s">
        <v>1729</v>
      </c>
      <c r="E1586" t="s">
        <v>1724</v>
      </c>
    </row>
    <row r="1587" spans="1:6" x14ac:dyDescent="0.3">
      <c r="A1587" t="str">
        <f>"44"</f>
        <v>44</v>
      </c>
      <c r="B1587" t="str">
        <f>"44.0702"</f>
        <v>44.0702</v>
      </c>
      <c r="C1587" t="s">
        <v>1728</v>
      </c>
      <c r="D1587" t="s">
        <v>1727</v>
      </c>
    </row>
    <row r="1588" spans="1:6" x14ac:dyDescent="0.3">
      <c r="A1588" t="str">
        <f>"44"</f>
        <v>44</v>
      </c>
      <c r="B1588" t="str">
        <f>"44.0703"</f>
        <v>44.0703</v>
      </c>
      <c r="C1588" t="s">
        <v>5557</v>
      </c>
      <c r="D1588" t="s">
        <v>5556</v>
      </c>
    </row>
    <row r="1589" spans="1:6" x14ac:dyDescent="0.3">
      <c r="A1589" t="str">
        <f>"44"</f>
        <v>44</v>
      </c>
      <c r="B1589" t="str">
        <f>"44.0799"</f>
        <v>44.0799</v>
      </c>
      <c r="C1589" t="s">
        <v>1726</v>
      </c>
      <c r="D1589" t="s">
        <v>1725</v>
      </c>
      <c r="E1589" t="s">
        <v>1724</v>
      </c>
    </row>
    <row r="1590" spans="1:6" x14ac:dyDescent="0.3">
      <c r="A1590" t="str">
        <f>"44"</f>
        <v>44</v>
      </c>
      <c r="B1590" t="str">
        <f>"44.99"</f>
        <v>44.99</v>
      </c>
      <c r="C1590" t="s">
        <v>1722</v>
      </c>
      <c r="D1590" t="s">
        <v>1723</v>
      </c>
    </row>
    <row r="1591" spans="1:6" x14ac:dyDescent="0.3">
      <c r="A1591" t="str">
        <f>"44"</f>
        <v>44</v>
      </c>
      <c r="B1591" t="str">
        <f>"44.9999"</f>
        <v>44.9999</v>
      </c>
      <c r="C1591" t="s">
        <v>1722</v>
      </c>
      <c r="D1591" t="s">
        <v>1721</v>
      </c>
    </row>
    <row r="1592" spans="1:6" x14ac:dyDescent="0.3">
      <c r="A1592" t="str">
        <f>"45"</f>
        <v>45</v>
      </c>
      <c r="B1592" t="str">
        <f>"45"</f>
        <v>45</v>
      </c>
      <c r="C1592" t="s">
        <v>1720</v>
      </c>
      <c r="D1592" t="s">
        <v>1719</v>
      </c>
    </row>
    <row r="1593" spans="1:6" x14ac:dyDescent="0.3">
      <c r="A1593" t="str">
        <f>"45"</f>
        <v>45</v>
      </c>
      <c r="B1593" t="str">
        <f>"45.01"</f>
        <v>45.01</v>
      </c>
      <c r="C1593" t="s">
        <v>1718</v>
      </c>
      <c r="D1593" t="s">
        <v>5555</v>
      </c>
    </row>
    <row r="1594" spans="1:6" x14ac:dyDescent="0.3">
      <c r="A1594" t="str">
        <f>"45"</f>
        <v>45</v>
      </c>
      <c r="B1594" t="str">
        <f>"45.0101"</f>
        <v>45.0101</v>
      </c>
      <c r="C1594" t="s">
        <v>1718</v>
      </c>
      <c r="D1594" t="s">
        <v>1717</v>
      </c>
    </row>
    <row r="1595" spans="1:6" x14ac:dyDescent="0.3">
      <c r="A1595" t="str">
        <f>"45"</f>
        <v>45</v>
      </c>
      <c r="B1595" t="str">
        <f>"45.0102"</f>
        <v>45.0102</v>
      </c>
      <c r="C1595" t="s">
        <v>1715</v>
      </c>
      <c r="D1595" t="s">
        <v>1714</v>
      </c>
      <c r="E1595" t="s">
        <v>1713</v>
      </c>
      <c r="F1595" t="s">
        <v>1705</v>
      </c>
    </row>
    <row r="1596" spans="1:6" x14ac:dyDescent="0.3">
      <c r="A1596" t="str">
        <f>"45"</f>
        <v>45</v>
      </c>
      <c r="B1596" t="str">
        <f>"45.0103"</f>
        <v>45.0103</v>
      </c>
      <c r="C1596" t="s">
        <v>5554</v>
      </c>
      <c r="D1596" t="s">
        <v>5553</v>
      </c>
      <c r="E1596" t="s">
        <v>5552</v>
      </c>
    </row>
    <row r="1597" spans="1:6" x14ac:dyDescent="0.3">
      <c r="A1597" t="str">
        <f>"45"</f>
        <v>45</v>
      </c>
      <c r="B1597" t="str">
        <f>"45.0199"</f>
        <v>45.0199</v>
      </c>
      <c r="C1597" t="s">
        <v>1626</v>
      </c>
      <c r="D1597" t="s">
        <v>5551</v>
      </c>
    </row>
    <row r="1598" spans="1:6" x14ac:dyDescent="0.3">
      <c r="A1598" t="str">
        <f>"45"</f>
        <v>45</v>
      </c>
      <c r="B1598" t="str">
        <f>"45.02"</f>
        <v>45.02</v>
      </c>
      <c r="C1598" t="s">
        <v>1711</v>
      </c>
      <c r="D1598" t="s">
        <v>1712</v>
      </c>
    </row>
    <row r="1599" spans="1:6" x14ac:dyDescent="0.3">
      <c r="A1599" t="str">
        <f>"45"</f>
        <v>45</v>
      </c>
      <c r="B1599" t="str">
        <f>"45.0201"</f>
        <v>45.0201</v>
      </c>
      <c r="C1599" t="s">
        <v>5550</v>
      </c>
      <c r="D1599" t="s">
        <v>1710</v>
      </c>
    </row>
    <row r="1600" spans="1:6" x14ac:dyDescent="0.3">
      <c r="A1600" t="str">
        <f>"45"</f>
        <v>45</v>
      </c>
      <c r="B1600" t="str">
        <f>"45.0202"</f>
        <v>45.0202</v>
      </c>
      <c r="C1600" t="s">
        <v>1709</v>
      </c>
      <c r="D1600" t="s">
        <v>1708</v>
      </c>
    </row>
    <row r="1601" spans="1:6" x14ac:dyDescent="0.3">
      <c r="A1601" t="str">
        <f>"45"</f>
        <v>45</v>
      </c>
      <c r="B1601" t="str">
        <f>"45.0203"</f>
        <v>45.0203</v>
      </c>
      <c r="C1601" t="s">
        <v>1707</v>
      </c>
      <c r="D1601" t="s">
        <v>1706</v>
      </c>
      <c r="E1601" t="s">
        <v>5549</v>
      </c>
    </row>
    <row r="1602" spans="1:6" x14ac:dyDescent="0.3">
      <c r="A1602" t="str">
        <f>"45"</f>
        <v>45</v>
      </c>
      <c r="B1602" t="str">
        <f>"45.0204"</f>
        <v>45.0204</v>
      </c>
      <c r="C1602" t="s">
        <v>1704</v>
      </c>
      <c r="D1602" t="s">
        <v>1703</v>
      </c>
      <c r="F1602" t="s">
        <v>1699</v>
      </c>
    </row>
    <row r="1603" spans="1:6" x14ac:dyDescent="0.3">
      <c r="A1603" t="str">
        <f>"45"</f>
        <v>45</v>
      </c>
      <c r="B1603" t="str">
        <f>"45.0205"</f>
        <v>45.0205</v>
      </c>
      <c r="C1603" t="s">
        <v>5548</v>
      </c>
      <c r="D1603" t="s">
        <v>5547</v>
      </c>
      <c r="E1603" t="s">
        <v>5546</v>
      </c>
    </row>
    <row r="1604" spans="1:6" x14ac:dyDescent="0.3">
      <c r="A1604" t="str">
        <f>"45"</f>
        <v>45</v>
      </c>
      <c r="B1604" t="str">
        <f>"45.0299"</f>
        <v>45.0299</v>
      </c>
      <c r="C1604" t="s">
        <v>1702</v>
      </c>
      <c r="D1604" t="s">
        <v>1701</v>
      </c>
    </row>
    <row r="1605" spans="1:6" x14ac:dyDescent="0.3">
      <c r="A1605" t="str">
        <f>"45"</f>
        <v>45</v>
      </c>
      <c r="B1605" t="str">
        <f>"45.03"</f>
        <v>45.03</v>
      </c>
      <c r="C1605" t="s">
        <v>1698</v>
      </c>
      <c r="D1605" t="s">
        <v>1700</v>
      </c>
    </row>
    <row r="1606" spans="1:6" x14ac:dyDescent="0.3">
      <c r="A1606" t="str">
        <f>"45"</f>
        <v>45</v>
      </c>
      <c r="B1606" t="str">
        <f>"45.0301"</f>
        <v>45.0301</v>
      </c>
      <c r="C1606" t="s">
        <v>1698</v>
      </c>
      <c r="D1606" t="s">
        <v>1697</v>
      </c>
      <c r="E1606" t="s">
        <v>5545</v>
      </c>
      <c r="F1606" t="s">
        <v>1686</v>
      </c>
    </row>
    <row r="1607" spans="1:6" x14ac:dyDescent="0.3">
      <c r="A1607" t="str">
        <f>"45"</f>
        <v>45</v>
      </c>
      <c r="B1607" t="str">
        <f>"45.04"</f>
        <v>45.04</v>
      </c>
      <c r="C1607" t="s">
        <v>1695</v>
      </c>
      <c r="D1607" t="s">
        <v>1696</v>
      </c>
    </row>
    <row r="1608" spans="1:6" x14ac:dyDescent="0.3">
      <c r="A1608" t="str">
        <f>"45"</f>
        <v>45</v>
      </c>
      <c r="B1608" t="str">
        <f>"45.0401"</f>
        <v>45.0401</v>
      </c>
      <c r="C1608" t="s">
        <v>1695</v>
      </c>
      <c r="D1608" t="s">
        <v>1694</v>
      </c>
      <c r="E1608" t="s">
        <v>1693</v>
      </c>
    </row>
    <row r="1609" spans="1:6" x14ac:dyDescent="0.3">
      <c r="A1609" t="str">
        <f>"45"</f>
        <v>45</v>
      </c>
      <c r="B1609" t="str">
        <f>"45.05"</f>
        <v>45.05</v>
      </c>
      <c r="C1609" t="s">
        <v>5544</v>
      </c>
      <c r="D1609" t="s">
        <v>5543</v>
      </c>
    </row>
    <row r="1610" spans="1:6" x14ac:dyDescent="0.3">
      <c r="A1610" t="str">
        <f>"45"</f>
        <v>45</v>
      </c>
      <c r="B1610" t="str">
        <f>"45.0501"</f>
        <v>45.0501</v>
      </c>
      <c r="C1610" t="s">
        <v>1692</v>
      </c>
      <c r="D1610" t="s">
        <v>1691</v>
      </c>
    </row>
    <row r="1611" spans="1:6" x14ac:dyDescent="0.3">
      <c r="A1611" t="str">
        <f>"45"</f>
        <v>45</v>
      </c>
      <c r="B1611" t="str">
        <f>"45.0502"</f>
        <v>45.0502</v>
      </c>
      <c r="C1611" t="s">
        <v>5542</v>
      </c>
      <c r="D1611" t="s">
        <v>5541</v>
      </c>
    </row>
    <row r="1612" spans="1:6" x14ac:dyDescent="0.3">
      <c r="A1612" t="str">
        <f>"45"</f>
        <v>45</v>
      </c>
      <c r="B1612" t="str">
        <f>"45.0599"</f>
        <v>45.0599</v>
      </c>
      <c r="C1612" t="s">
        <v>5540</v>
      </c>
      <c r="D1612" t="s">
        <v>5539</v>
      </c>
    </row>
    <row r="1613" spans="1:6" x14ac:dyDescent="0.3">
      <c r="A1613" t="str">
        <f>"45"</f>
        <v>45</v>
      </c>
      <c r="B1613" t="str">
        <f>"45.06"</f>
        <v>45.06</v>
      </c>
      <c r="C1613" t="s">
        <v>1690</v>
      </c>
      <c r="D1613" t="s">
        <v>1689</v>
      </c>
    </row>
    <row r="1614" spans="1:6" x14ac:dyDescent="0.3">
      <c r="A1614" t="str">
        <f>"45"</f>
        <v>45</v>
      </c>
      <c r="B1614" t="str">
        <f>"45.0601"</f>
        <v>45.0601</v>
      </c>
      <c r="C1614" t="s">
        <v>1688</v>
      </c>
      <c r="D1614" t="s">
        <v>1687</v>
      </c>
      <c r="E1614" t="s">
        <v>5538</v>
      </c>
    </row>
    <row r="1615" spans="1:6" x14ac:dyDescent="0.3">
      <c r="A1615" t="str">
        <f>"45"</f>
        <v>45</v>
      </c>
      <c r="B1615" t="str">
        <f>"45.0602"</f>
        <v>45.0602</v>
      </c>
      <c r="C1615" t="s">
        <v>1685</v>
      </c>
      <c r="D1615" t="s">
        <v>1684</v>
      </c>
      <c r="E1615" t="s">
        <v>5537</v>
      </c>
      <c r="F1615" t="s">
        <v>1683</v>
      </c>
    </row>
    <row r="1616" spans="1:6" x14ac:dyDescent="0.3">
      <c r="A1616" t="str">
        <f>"45"</f>
        <v>45</v>
      </c>
      <c r="B1616" t="str">
        <f>"45.0603"</f>
        <v>45.0603</v>
      </c>
      <c r="C1616" t="s">
        <v>1682</v>
      </c>
      <c r="D1616" t="s">
        <v>1681</v>
      </c>
      <c r="E1616" t="s">
        <v>5536</v>
      </c>
      <c r="F1616" t="s">
        <v>1675</v>
      </c>
    </row>
    <row r="1617" spans="1:6" x14ac:dyDescent="0.3">
      <c r="A1617" t="str">
        <f>"45"</f>
        <v>45</v>
      </c>
      <c r="B1617" t="str">
        <f>"45.0604"</f>
        <v>45.0604</v>
      </c>
      <c r="C1617" t="s">
        <v>1680</v>
      </c>
      <c r="D1617" t="s">
        <v>1679</v>
      </c>
      <c r="E1617" t="s">
        <v>1678</v>
      </c>
    </row>
    <row r="1618" spans="1:6" x14ac:dyDescent="0.3">
      <c r="A1618" t="str">
        <f>"45"</f>
        <v>45</v>
      </c>
      <c r="B1618" t="str">
        <f>"45.0605"</f>
        <v>45.0605</v>
      </c>
      <c r="C1618" t="s">
        <v>1677</v>
      </c>
      <c r="D1618" t="s">
        <v>1676</v>
      </c>
      <c r="E1618" t="s">
        <v>5535</v>
      </c>
    </row>
    <row r="1619" spans="1:6" x14ac:dyDescent="0.3">
      <c r="A1619" t="str">
        <f>"45"</f>
        <v>45</v>
      </c>
      <c r="B1619" t="str">
        <f>"45.0699"</f>
        <v>45.0699</v>
      </c>
      <c r="C1619" t="s">
        <v>1674</v>
      </c>
      <c r="D1619" t="s">
        <v>1673</v>
      </c>
      <c r="E1619" t="s">
        <v>5534</v>
      </c>
      <c r="F1619" t="s">
        <v>1670</v>
      </c>
    </row>
    <row r="1620" spans="1:6" x14ac:dyDescent="0.3">
      <c r="A1620" t="str">
        <f>"45"</f>
        <v>45</v>
      </c>
      <c r="B1620" t="str">
        <f>"45.07"</f>
        <v>45.07</v>
      </c>
      <c r="C1620" t="s">
        <v>1672</v>
      </c>
      <c r="D1620" t="s">
        <v>1671</v>
      </c>
    </row>
    <row r="1621" spans="1:6" x14ac:dyDescent="0.3">
      <c r="A1621" t="str">
        <f>"45"</f>
        <v>45</v>
      </c>
      <c r="B1621" t="str">
        <f>"45.0701"</f>
        <v>45.0701</v>
      </c>
      <c r="C1621" t="s">
        <v>1669</v>
      </c>
      <c r="D1621" t="s">
        <v>1668</v>
      </c>
      <c r="E1621" t="s">
        <v>5533</v>
      </c>
      <c r="F1621" t="s">
        <v>1667</v>
      </c>
    </row>
    <row r="1622" spans="1:6" x14ac:dyDescent="0.3">
      <c r="A1622" t="str">
        <f>"45"</f>
        <v>45</v>
      </c>
      <c r="B1622" t="str">
        <f>"45.0702"</f>
        <v>45.0702</v>
      </c>
      <c r="C1622" t="s">
        <v>1666</v>
      </c>
      <c r="D1622" t="s">
        <v>1665</v>
      </c>
      <c r="E1622" t="s">
        <v>5532</v>
      </c>
      <c r="F1622" t="s">
        <v>1660</v>
      </c>
    </row>
    <row r="1623" spans="1:6" x14ac:dyDescent="0.3">
      <c r="A1623" t="str">
        <f>"45"</f>
        <v>45</v>
      </c>
      <c r="B1623" t="str">
        <f>"45.0799"</f>
        <v>45.0799</v>
      </c>
      <c r="C1623" t="s">
        <v>1664</v>
      </c>
      <c r="D1623" t="s">
        <v>1663</v>
      </c>
    </row>
    <row r="1624" spans="1:6" x14ac:dyDescent="0.3">
      <c r="A1624" t="str">
        <f>"45"</f>
        <v>45</v>
      </c>
      <c r="B1624" t="str">
        <f>"45.09"</f>
        <v>45.09</v>
      </c>
      <c r="C1624" t="s">
        <v>1662</v>
      </c>
      <c r="D1624" t="s">
        <v>1661</v>
      </c>
    </row>
    <row r="1625" spans="1:6" x14ac:dyDescent="0.3">
      <c r="A1625" t="str">
        <f>"45"</f>
        <v>45</v>
      </c>
      <c r="B1625" t="str">
        <f>"45.0901"</f>
        <v>45.0901</v>
      </c>
      <c r="C1625" t="s">
        <v>1659</v>
      </c>
      <c r="D1625" t="s">
        <v>1658</v>
      </c>
      <c r="E1625" t="s">
        <v>5531</v>
      </c>
      <c r="F1625" t="s">
        <v>1657</v>
      </c>
    </row>
    <row r="1626" spans="1:6" x14ac:dyDescent="0.3">
      <c r="A1626" t="str">
        <f>"45"</f>
        <v>45</v>
      </c>
      <c r="B1626" t="str">
        <f>"45.0902"</f>
        <v>45.0902</v>
      </c>
      <c r="C1626" t="s">
        <v>1656</v>
      </c>
      <c r="D1626" t="s">
        <v>1655</v>
      </c>
      <c r="E1626" t="s">
        <v>1654</v>
      </c>
      <c r="F1626" t="s">
        <v>1643</v>
      </c>
    </row>
    <row r="1627" spans="1:6" x14ac:dyDescent="0.3">
      <c r="A1627" t="str">
        <f>"45"</f>
        <v>45</v>
      </c>
      <c r="B1627" t="str">
        <f>"45.0999"</f>
        <v>45.0999</v>
      </c>
      <c r="C1627" t="s">
        <v>1653</v>
      </c>
      <c r="D1627" t="s">
        <v>1652</v>
      </c>
    </row>
    <row r="1628" spans="1:6" x14ac:dyDescent="0.3">
      <c r="A1628" t="str">
        <f>"45"</f>
        <v>45</v>
      </c>
      <c r="B1628" t="str">
        <f>"45.10"</f>
        <v>45.10</v>
      </c>
      <c r="C1628" t="s">
        <v>1651</v>
      </c>
      <c r="D1628" t="s">
        <v>1650</v>
      </c>
    </row>
    <row r="1629" spans="1:6" x14ac:dyDescent="0.3">
      <c r="A1629" t="str">
        <f>"45"</f>
        <v>45</v>
      </c>
      <c r="B1629" t="str">
        <f>"45.1001"</f>
        <v>45.1001</v>
      </c>
      <c r="C1629" t="s">
        <v>1649</v>
      </c>
      <c r="D1629" t="s">
        <v>1648</v>
      </c>
    </row>
    <row r="1630" spans="1:6" x14ac:dyDescent="0.3">
      <c r="A1630" t="str">
        <f>"45"</f>
        <v>45</v>
      </c>
      <c r="B1630" t="str">
        <f>"45.1002"</f>
        <v>45.1002</v>
      </c>
      <c r="C1630" t="s">
        <v>1647</v>
      </c>
      <c r="D1630" t="s">
        <v>1646</v>
      </c>
    </row>
    <row r="1631" spans="1:6" x14ac:dyDescent="0.3">
      <c r="A1631" t="str">
        <f>"45"</f>
        <v>45</v>
      </c>
      <c r="B1631" t="str">
        <f>"45.1003"</f>
        <v>45.1003</v>
      </c>
      <c r="C1631" t="s">
        <v>1645</v>
      </c>
      <c r="D1631" t="s">
        <v>1644</v>
      </c>
    </row>
    <row r="1632" spans="1:6" x14ac:dyDescent="0.3">
      <c r="A1632" t="str">
        <f>"45"</f>
        <v>45</v>
      </c>
      <c r="B1632" t="str">
        <f>"45.1004"</f>
        <v>45.1004</v>
      </c>
      <c r="C1632" t="s">
        <v>1642</v>
      </c>
      <c r="D1632" t="s">
        <v>1641</v>
      </c>
      <c r="F1632" t="s">
        <v>1630</v>
      </c>
    </row>
    <row r="1633" spans="1:6" x14ac:dyDescent="0.3">
      <c r="A1633" t="str">
        <f>"45"</f>
        <v>45</v>
      </c>
      <c r="B1633" t="str">
        <f>"45.1099"</f>
        <v>45.1099</v>
      </c>
      <c r="C1633" t="s">
        <v>1640</v>
      </c>
      <c r="D1633" t="s">
        <v>1639</v>
      </c>
      <c r="E1633" t="s">
        <v>5530</v>
      </c>
    </row>
    <row r="1634" spans="1:6" x14ac:dyDescent="0.3">
      <c r="A1634" t="str">
        <f>"45"</f>
        <v>45</v>
      </c>
      <c r="B1634" t="str">
        <f>"45.11"</f>
        <v>45.11</v>
      </c>
      <c r="C1634" t="s">
        <v>1638</v>
      </c>
      <c r="D1634" t="s">
        <v>5529</v>
      </c>
    </row>
    <row r="1635" spans="1:6" x14ac:dyDescent="0.3">
      <c r="A1635" t="str">
        <f>"45"</f>
        <v>45</v>
      </c>
      <c r="B1635" t="str">
        <f>"45.1101"</f>
        <v>45.1101</v>
      </c>
      <c r="C1635" t="s">
        <v>5528</v>
      </c>
      <c r="D1635" t="s">
        <v>1637</v>
      </c>
    </row>
    <row r="1636" spans="1:6" x14ac:dyDescent="0.3">
      <c r="A1636" t="str">
        <f>"45"</f>
        <v>45</v>
      </c>
      <c r="B1636" t="str">
        <f>"45.1102"</f>
        <v>45.1102</v>
      </c>
      <c r="C1636" t="s">
        <v>5527</v>
      </c>
      <c r="D1636" t="s">
        <v>5526</v>
      </c>
    </row>
    <row r="1637" spans="1:6" x14ac:dyDescent="0.3">
      <c r="A1637" t="str">
        <f>"45"</f>
        <v>45</v>
      </c>
      <c r="B1637" t="str">
        <f>"45.1103"</f>
        <v>45.1103</v>
      </c>
      <c r="C1637" t="s">
        <v>1629</v>
      </c>
      <c r="D1637" t="s">
        <v>1628</v>
      </c>
      <c r="F1637" t="s">
        <v>1621</v>
      </c>
    </row>
    <row r="1638" spans="1:6" x14ac:dyDescent="0.3">
      <c r="A1638" t="str">
        <f>"45"</f>
        <v>45</v>
      </c>
      <c r="B1638" t="str">
        <f>"45.1199"</f>
        <v>45.1199</v>
      </c>
      <c r="C1638" t="s">
        <v>5525</v>
      </c>
      <c r="D1638" t="s">
        <v>5524</v>
      </c>
    </row>
    <row r="1639" spans="1:6" x14ac:dyDescent="0.3">
      <c r="A1639" t="str">
        <f>"45"</f>
        <v>45</v>
      </c>
      <c r="B1639" t="str">
        <f>"45.12"</f>
        <v>45.12</v>
      </c>
      <c r="C1639" t="s">
        <v>1635</v>
      </c>
      <c r="D1639" t="s">
        <v>1636</v>
      </c>
    </row>
    <row r="1640" spans="1:6" x14ac:dyDescent="0.3">
      <c r="A1640" t="str">
        <f>"45"</f>
        <v>45</v>
      </c>
      <c r="B1640" t="str">
        <f>"45.1201"</f>
        <v>45.1201</v>
      </c>
      <c r="C1640" t="s">
        <v>1635</v>
      </c>
      <c r="D1640" t="s">
        <v>1634</v>
      </c>
      <c r="E1640" t="s">
        <v>5523</v>
      </c>
      <c r="F1640" t="s">
        <v>5522</v>
      </c>
    </row>
    <row r="1641" spans="1:6" x14ac:dyDescent="0.3">
      <c r="A1641" t="str">
        <f>"45"</f>
        <v>45</v>
      </c>
      <c r="B1641" t="str">
        <f>"45.13"</f>
        <v>45.13</v>
      </c>
      <c r="C1641" t="s">
        <v>1632</v>
      </c>
      <c r="D1641" t="s">
        <v>1633</v>
      </c>
    </row>
    <row r="1642" spans="1:6" x14ac:dyDescent="0.3">
      <c r="A1642" t="str">
        <f>"45"</f>
        <v>45</v>
      </c>
      <c r="B1642" t="str">
        <f>"45.1301"</f>
        <v>45.1301</v>
      </c>
      <c r="C1642" t="s">
        <v>1632</v>
      </c>
      <c r="D1642" t="s">
        <v>1631</v>
      </c>
      <c r="E1642" t="s">
        <v>5521</v>
      </c>
    </row>
    <row r="1643" spans="1:6" x14ac:dyDescent="0.3">
      <c r="A1643" t="str">
        <f>"45"</f>
        <v>45</v>
      </c>
      <c r="B1643" t="str">
        <f>"45.14"</f>
        <v>45.14</v>
      </c>
      <c r="C1643" t="s">
        <v>1629</v>
      </c>
      <c r="D1643" t="s">
        <v>5520</v>
      </c>
    </row>
    <row r="1644" spans="1:6" x14ac:dyDescent="0.3">
      <c r="A1644" t="str">
        <f>"45"</f>
        <v>45</v>
      </c>
      <c r="B1644" t="str">
        <f>"45.1401"</f>
        <v>45.1401</v>
      </c>
      <c r="C1644" t="s">
        <v>1629</v>
      </c>
      <c r="D1644" t="s">
        <v>5519</v>
      </c>
    </row>
    <row r="1645" spans="1:6" x14ac:dyDescent="0.3">
      <c r="A1645" t="str">
        <f>"45"</f>
        <v>45</v>
      </c>
      <c r="B1645" t="str">
        <f>"45.15"</f>
        <v>45.15</v>
      </c>
      <c r="C1645" t="s">
        <v>5517</v>
      </c>
      <c r="D1645" t="s">
        <v>5518</v>
      </c>
    </row>
    <row r="1646" spans="1:6" x14ac:dyDescent="0.3">
      <c r="A1646" t="str">
        <f>"45"</f>
        <v>45</v>
      </c>
      <c r="B1646" t="str">
        <f>"45.1501"</f>
        <v>45.1501</v>
      </c>
      <c r="C1646" t="s">
        <v>5517</v>
      </c>
      <c r="D1646" t="s">
        <v>5516</v>
      </c>
    </row>
    <row r="1647" spans="1:6" x14ac:dyDescent="0.3">
      <c r="A1647" t="str">
        <f>"45"</f>
        <v>45</v>
      </c>
      <c r="B1647" t="str">
        <f>"45.99"</f>
        <v>45.99</v>
      </c>
      <c r="C1647" t="s">
        <v>1626</v>
      </c>
      <c r="D1647" t="s">
        <v>1627</v>
      </c>
    </row>
    <row r="1648" spans="1:6" x14ac:dyDescent="0.3">
      <c r="A1648" t="str">
        <f>"45"</f>
        <v>45</v>
      </c>
      <c r="B1648" t="str">
        <f>"45.9999"</f>
        <v>45.9999</v>
      </c>
      <c r="C1648" t="s">
        <v>1626</v>
      </c>
      <c r="D1648" t="s">
        <v>1625</v>
      </c>
    </row>
    <row r="1649" spans="1:6" x14ac:dyDescent="0.3">
      <c r="A1649" t="str">
        <f>"46"</f>
        <v>46</v>
      </c>
      <c r="B1649" t="str">
        <f>"46"</f>
        <v>46</v>
      </c>
      <c r="C1649" t="s">
        <v>1624</v>
      </c>
      <c r="D1649" t="s">
        <v>1623</v>
      </c>
    </row>
    <row r="1650" spans="1:6" x14ac:dyDescent="0.3">
      <c r="A1650" t="str">
        <f>"46"</f>
        <v>46</v>
      </c>
      <c r="B1650" t="str">
        <f>"46.00"</f>
        <v>46.00</v>
      </c>
      <c r="C1650" t="s">
        <v>1620</v>
      </c>
      <c r="D1650" t="s">
        <v>1622</v>
      </c>
    </row>
    <row r="1651" spans="1:6" x14ac:dyDescent="0.3">
      <c r="A1651" t="str">
        <f>"46"</f>
        <v>46</v>
      </c>
      <c r="B1651" t="str">
        <f>"46.0000"</f>
        <v>46.0000</v>
      </c>
      <c r="C1651" t="s">
        <v>1620</v>
      </c>
      <c r="D1651" t="s">
        <v>1619</v>
      </c>
      <c r="F1651" t="s">
        <v>1617</v>
      </c>
    </row>
    <row r="1652" spans="1:6" x14ac:dyDescent="0.3">
      <c r="A1652" t="str">
        <f>"46"</f>
        <v>46</v>
      </c>
      <c r="B1652" t="str">
        <f>"46.01"</f>
        <v>46.01</v>
      </c>
      <c r="C1652" t="s">
        <v>1616</v>
      </c>
      <c r="D1652" t="s">
        <v>1618</v>
      </c>
    </row>
    <row r="1653" spans="1:6" x14ac:dyDescent="0.3">
      <c r="A1653" t="str">
        <f>"46"</f>
        <v>46</v>
      </c>
      <c r="B1653" t="str">
        <f>"46.0101"</f>
        <v>46.0101</v>
      </c>
      <c r="C1653" t="s">
        <v>1616</v>
      </c>
      <c r="D1653" t="s">
        <v>1615</v>
      </c>
      <c r="F1653" t="s">
        <v>1612</v>
      </c>
    </row>
    <row r="1654" spans="1:6" x14ac:dyDescent="0.3">
      <c r="A1654" t="str">
        <f>"46"</f>
        <v>46</v>
      </c>
      <c r="B1654" t="str">
        <f>"46.02"</f>
        <v>46.02</v>
      </c>
      <c r="C1654" t="s">
        <v>1614</v>
      </c>
      <c r="D1654" t="s">
        <v>1613</v>
      </c>
    </row>
    <row r="1655" spans="1:6" x14ac:dyDescent="0.3">
      <c r="A1655" t="str">
        <f>"46"</f>
        <v>46</v>
      </c>
      <c r="B1655" t="str">
        <f>"46.0201"</f>
        <v>46.0201</v>
      </c>
      <c r="C1655" t="s">
        <v>1611</v>
      </c>
      <c r="D1655" t="s">
        <v>1610</v>
      </c>
      <c r="F1655" t="s">
        <v>1605</v>
      </c>
    </row>
    <row r="1656" spans="1:6" x14ac:dyDescent="0.3">
      <c r="A1656" t="str">
        <f>"46"</f>
        <v>46</v>
      </c>
      <c r="B1656" t="str">
        <f>"46.03"</f>
        <v>46.03</v>
      </c>
      <c r="C1656" t="s">
        <v>1609</v>
      </c>
      <c r="D1656" t="s">
        <v>1608</v>
      </c>
    </row>
    <row r="1657" spans="1:6" x14ac:dyDescent="0.3">
      <c r="A1657" t="str">
        <f>"46"</f>
        <v>46</v>
      </c>
      <c r="B1657" t="str">
        <f>"46.0301"</f>
        <v>46.0301</v>
      </c>
      <c r="C1657" t="s">
        <v>1607</v>
      </c>
      <c r="D1657" t="s">
        <v>1606</v>
      </c>
    </row>
    <row r="1658" spans="1:6" x14ac:dyDescent="0.3">
      <c r="A1658" t="str">
        <f>"46"</f>
        <v>46</v>
      </c>
      <c r="B1658" t="str">
        <f>"46.0302"</f>
        <v>46.0302</v>
      </c>
      <c r="C1658" t="s">
        <v>1604</v>
      </c>
      <c r="D1658" t="s">
        <v>1603</v>
      </c>
      <c r="E1658" t="s">
        <v>5515</v>
      </c>
      <c r="F1658" t="s">
        <v>1602</v>
      </c>
    </row>
    <row r="1659" spans="1:6" x14ac:dyDescent="0.3">
      <c r="A1659" t="str">
        <f>"46"</f>
        <v>46</v>
      </c>
      <c r="B1659" t="str">
        <f>"46.0303"</f>
        <v>46.0303</v>
      </c>
      <c r="C1659" t="s">
        <v>1601</v>
      </c>
      <c r="D1659" t="s">
        <v>1600</v>
      </c>
      <c r="F1659" t="s">
        <v>1595</v>
      </c>
    </row>
    <row r="1660" spans="1:6" x14ac:dyDescent="0.3">
      <c r="A1660" t="str">
        <f>"46"</f>
        <v>46</v>
      </c>
      <c r="B1660" t="str">
        <f>"46.0399"</f>
        <v>46.0399</v>
      </c>
      <c r="C1660" t="s">
        <v>1599</v>
      </c>
      <c r="D1660" t="s">
        <v>1598</v>
      </c>
    </row>
    <row r="1661" spans="1:6" x14ac:dyDescent="0.3">
      <c r="A1661" t="str">
        <f>"46"</f>
        <v>46</v>
      </c>
      <c r="B1661" t="str">
        <f>"46.04"</f>
        <v>46.04</v>
      </c>
      <c r="C1661" t="s">
        <v>1597</v>
      </c>
      <c r="D1661" t="s">
        <v>1596</v>
      </c>
    </row>
    <row r="1662" spans="1:6" x14ac:dyDescent="0.3">
      <c r="A1662" t="str">
        <f>"46"</f>
        <v>46</v>
      </c>
      <c r="B1662" t="str">
        <f>"46.0401"</f>
        <v>46.0401</v>
      </c>
      <c r="C1662" t="s">
        <v>1594</v>
      </c>
      <c r="D1662" t="s">
        <v>1593</v>
      </c>
      <c r="F1662" t="s">
        <v>1588</v>
      </c>
    </row>
    <row r="1663" spans="1:6" x14ac:dyDescent="0.3">
      <c r="A1663" t="str">
        <f>"46"</f>
        <v>46</v>
      </c>
      <c r="B1663" t="str">
        <f>"46.0402"</f>
        <v>46.0402</v>
      </c>
      <c r="C1663" t="s">
        <v>1592</v>
      </c>
      <c r="D1663" t="s">
        <v>1591</v>
      </c>
    </row>
    <row r="1664" spans="1:6" x14ac:dyDescent="0.3">
      <c r="A1664" t="str">
        <f>"46"</f>
        <v>46</v>
      </c>
      <c r="B1664" t="str">
        <f>"46.0403"</f>
        <v>46.0403</v>
      </c>
      <c r="C1664" t="s">
        <v>1590</v>
      </c>
      <c r="D1664" t="s">
        <v>1589</v>
      </c>
    </row>
    <row r="1665" spans="1:6" x14ac:dyDescent="0.3">
      <c r="A1665" t="str">
        <f>"46"</f>
        <v>46</v>
      </c>
      <c r="B1665" t="str">
        <f>"46.0404"</f>
        <v>46.0404</v>
      </c>
      <c r="C1665" t="s">
        <v>1587</v>
      </c>
      <c r="D1665" t="s">
        <v>1586</v>
      </c>
      <c r="F1665" t="s">
        <v>1585</v>
      </c>
    </row>
    <row r="1666" spans="1:6" x14ac:dyDescent="0.3">
      <c r="A1666" t="str">
        <f>"46"</f>
        <v>46</v>
      </c>
      <c r="B1666" t="str">
        <f>"46.0406"</f>
        <v>46.0406</v>
      </c>
      <c r="C1666" t="s">
        <v>1584</v>
      </c>
      <c r="D1666" t="s">
        <v>1583</v>
      </c>
      <c r="F1666" t="s">
        <v>1582</v>
      </c>
    </row>
    <row r="1667" spans="1:6" x14ac:dyDescent="0.3">
      <c r="A1667" t="str">
        <f>"46"</f>
        <v>46</v>
      </c>
      <c r="B1667" t="str">
        <f>"46.0408"</f>
        <v>46.0408</v>
      </c>
      <c r="C1667" t="s">
        <v>1581</v>
      </c>
      <c r="D1667" t="s">
        <v>5514</v>
      </c>
      <c r="F1667" t="s">
        <v>1574</v>
      </c>
    </row>
    <row r="1668" spans="1:6" x14ac:dyDescent="0.3">
      <c r="A1668" t="str">
        <f>"46"</f>
        <v>46</v>
      </c>
      <c r="B1668" t="str">
        <f>"46.0410"</f>
        <v>46.0410</v>
      </c>
      <c r="C1668" t="s">
        <v>1580</v>
      </c>
      <c r="D1668" t="s">
        <v>1579</v>
      </c>
    </row>
    <row r="1669" spans="1:6" x14ac:dyDescent="0.3">
      <c r="A1669" t="str">
        <f>"46"</f>
        <v>46</v>
      </c>
      <c r="B1669" t="str">
        <f>"46.0411"</f>
        <v>46.0411</v>
      </c>
      <c r="C1669" t="s">
        <v>1578</v>
      </c>
      <c r="D1669" t="s">
        <v>1577</v>
      </c>
    </row>
    <row r="1670" spans="1:6" x14ac:dyDescent="0.3">
      <c r="A1670" t="str">
        <f>"46"</f>
        <v>46</v>
      </c>
      <c r="B1670" t="str">
        <f>"46.0412"</f>
        <v>46.0412</v>
      </c>
      <c r="C1670" t="s">
        <v>1576</v>
      </c>
      <c r="D1670" t="s">
        <v>1575</v>
      </c>
      <c r="E1670" t="s">
        <v>5513</v>
      </c>
    </row>
    <row r="1671" spans="1:6" x14ac:dyDescent="0.3">
      <c r="A1671" t="str">
        <f>"46"</f>
        <v>46</v>
      </c>
      <c r="B1671" t="str">
        <f>"46.0413"</f>
        <v>46.0413</v>
      </c>
      <c r="C1671" t="s">
        <v>1573</v>
      </c>
      <c r="D1671" t="s">
        <v>1572</v>
      </c>
      <c r="F1671" t="s">
        <v>1571</v>
      </c>
    </row>
    <row r="1672" spans="1:6" x14ac:dyDescent="0.3">
      <c r="A1672" t="str">
        <f>"46"</f>
        <v>46</v>
      </c>
      <c r="B1672" t="str">
        <f>"46.0414"</f>
        <v>46.0414</v>
      </c>
      <c r="C1672" t="s">
        <v>1570</v>
      </c>
      <c r="D1672" t="s">
        <v>1569</v>
      </c>
      <c r="F1672" t="s">
        <v>1568</v>
      </c>
    </row>
    <row r="1673" spans="1:6" x14ac:dyDescent="0.3">
      <c r="A1673" t="str">
        <f>"46"</f>
        <v>46</v>
      </c>
      <c r="B1673" t="str">
        <f>"46.0415"</f>
        <v>46.0415</v>
      </c>
      <c r="C1673" t="s">
        <v>5512</v>
      </c>
      <c r="D1673" t="s">
        <v>1567</v>
      </c>
      <c r="F1673" t="s">
        <v>1562</v>
      </c>
    </row>
    <row r="1674" spans="1:6" x14ac:dyDescent="0.3">
      <c r="A1674" t="str">
        <f>"46"</f>
        <v>46</v>
      </c>
      <c r="B1674" t="str">
        <f>"46.0499"</f>
        <v>46.0499</v>
      </c>
      <c r="C1674" t="s">
        <v>1566</v>
      </c>
      <c r="D1674" t="s">
        <v>1565</v>
      </c>
    </row>
    <row r="1675" spans="1:6" x14ac:dyDescent="0.3">
      <c r="A1675" t="str">
        <f>"46"</f>
        <v>46</v>
      </c>
      <c r="B1675" t="str">
        <f>"46.05"</f>
        <v>46.05</v>
      </c>
      <c r="C1675" t="s">
        <v>1564</v>
      </c>
      <c r="D1675" t="s">
        <v>1563</v>
      </c>
    </row>
    <row r="1676" spans="1:6" x14ac:dyDescent="0.3">
      <c r="A1676" t="str">
        <f>"46"</f>
        <v>46</v>
      </c>
      <c r="B1676" t="str">
        <f>"46.0502"</f>
        <v>46.0502</v>
      </c>
      <c r="C1676" t="s">
        <v>1561</v>
      </c>
      <c r="D1676" t="s">
        <v>1560</v>
      </c>
      <c r="F1676" t="s">
        <v>1559</v>
      </c>
    </row>
    <row r="1677" spans="1:6" x14ac:dyDescent="0.3">
      <c r="A1677" t="str">
        <f>"46"</f>
        <v>46</v>
      </c>
      <c r="B1677" t="str">
        <f>"46.0503"</f>
        <v>46.0503</v>
      </c>
      <c r="C1677" t="s">
        <v>1558</v>
      </c>
      <c r="D1677" t="s">
        <v>1557</v>
      </c>
      <c r="F1677" t="s">
        <v>1556</v>
      </c>
    </row>
    <row r="1678" spans="1:6" x14ac:dyDescent="0.3">
      <c r="A1678" t="str">
        <f>"46"</f>
        <v>46</v>
      </c>
      <c r="B1678" t="str">
        <f>"46.0504"</f>
        <v>46.0504</v>
      </c>
      <c r="C1678" t="s">
        <v>1555</v>
      </c>
      <c r="D1678" t="s">
        <v>1554</v>
      </c>
      <c r="F1678" t="s">
        <v>1548</v>
      </c>
    </row>
    <row r="1679" spans="1:6" x14ac:dyDescent="0.3">
      <c r="A1679" t="str">
        <f>"46"</f>
        <v>46</v>
      </c>
      <c r="B1679" t="str">
        <f>"46.0505"</f>
        <v>46.0505</v>
      </c>
      <c r="C1679" t="s">
        <v>1553</v>
      </c>
      <c r="D1679" t="s">
        <v>1552</v>
      </c>
    </row>
    <row r="1680" spans="1:6" x14ac:dyDescent="0.3">
      <c r="A1680" t="str">
        <f>"46"</f>
        <v>46</v>
      </c>
      <c r="B1680" t="str">
        <f>"46.0599"</f>
        <v>46.0599</v>
      </c>
      <c r="C1680" t="s">
        <v>1551</v>
      </c>
      <c r="D1680" t="s">
        <v>1550</v>
      </c>
    </row>
    <row r="1681" spans="1:6" x14ac:dyDescent="0.3">
      <c r="A1681" t="str">
        <f>"46"</f>
        <v>46</v>
      </c>
      <c r="B1681" t="str">
        <f>"46.99"</f>
        <v>46.99</v>
      </c>
      <c r="C1681" t="s">
        <v>1547</v>
      </c>
      <c r="D1681" t="s">
        <v>1549</v>
      </c>
    </row>
    <row r="1682" spans="1:6" x14ac:dyDescent="0.3">
      <c r="A1682" t="str">
        <f>"46"</f>
        <v>46</v>
      </c>
      <c r="B1682" t="str">
        <f>"46.9999"</f>
        <v>46.9999</v>
      </c>
      <c r="C1682" t="s">
        <v>1547</v>
      </c>
      <c r="D1682" t="s">
        <v>1546</v>
      </c>
      <c r="F1682" t="s">
        <v>1539</v>
      </c>
    </row>
    <row r="1683" spans="1:6" x14ac:dyDescent="0.3">
      <c r="A1683" t="str">
        <f>"47"</f>
        <v>47</v>
      </c>
      <c r="B1683" t="str">
        <f>"47"</f>
        <v>47</v>
      </c>
      <c r="C1683" t="s">
        <v>1545</v>
      </c>
      <c r="D1683" t="s">
        <v>1544</v>
      </c>
    </row>
    <row r="1684" spans="1:6" x14ac:dyDescent="0.3">
      <c r="A1684" t="str">
        <f>"47"</f>
        <v>47</v>
      </c>
      <c r="B1684" t="str">
        <f>"47.00"</f>
        <v>47.00</v>
      </c>
      <c r="C1684" t="s">
        <v>1542</v>
      </c>
      <c r="D1684" t="s">
        <v>1543</v>
      </c>
    </row>
    <row r="1685" spans="1:6" x14ac:dyDescent="0.3">
      <c r="A1685" t="str">
        <f>"47"</f>
        <v>47</v>
      </c>
      <c r="B1685" t="str">
        <f>"47.0000"</f>
        <v>47.0000</v>
      </c>
      <c r="C1685" t="s">
        <v>1542</v>
      </c>
      <c r="D1685" t="s">
        <v>1541</v>
      </c>
    </row>
    <row r="1686" spans="1:6" x14ac:dyDescent="0.3">
      <c r="A1686" t="str">
        <f>"47"</f>
        <v>47</v>
      </c>
      <c r="B1686" t="str">
        <f>"47.01"</f>
        <v>47.01</v>
      </c>
      <c r="C1686" t="s">
        <v>5511</v>
      </c>
      <c r="D1686" t="s">
        <v>1540</v>
      </c>
    </row>
    <row r="1687" spans="1:6" x14ac:dyDescent="0.3">
      <c r="A1687" t="str">
        <f>"47"</f>
        <v>47</v>
      </c>
      <c r="B1687" t="str">
        <f>"47.0101"</f>
        <v>47.0101</v>
      </c>
      <c r="C1687" t="s">
        <v>5510</v>
      </c>
      <c r="D1687" t="s">
        <v>1538</v>
      </c>
      <c r="F1687" t="s">
        <v>1530</v>
      </c>
    </row>
    <row r="1688" spans="1:6" x14ac:dyDescent="0.3">
      <c r="A1688" t="str">
        <f>"47"</f>
        <v>47</v>
      </c>
      <c r="B1688" t="str">
        <f>"47.0102"</f>
        <v>47.0102</v>
      </c>
      <c r="C1688" t="s">
        <v>1537</v>
      </c>
      <c r="D1688" t="s">
        <v>1536</v>
      </c>
    </row>
    <row r="1689" spans="1:6" x14ac:dyDescent="0.3">
      <c r="A1689" t="str">
        <f>"47"</f>
        <v>47</v>
      </c>
      <c r="B1689" t="str">
        <f>"47.0103"</f>
        <v>47.0103</v>
      </c>
      <c r="C1689" t="s">
        <v>5509</v>
      </c>
      <c r="D1689" t="s">
        <v>1535</v>
      </c>
    </row>
    <row r="1690" spans="1:6" x14ac:dyDescent="0.3">
      <c r="A1690" t="str">
        <f>"47"</f>
        <v>47</v>
      </c>
      <c r="B1690" t="str">
        <f>"47.0104"</f>
        <v>47.0104</v>
      </c>
      <c r="C1690" t="s">
        <v>1534</v>
      </c>
      <c r="D1690" t="s">
        <v>1533</v>
      </c>
      <c r="E1690" t="s">
        <v>5508</v>
      </c>
    </row>
    <row r="1691" spans="1:6" x14ac:dyDescent="0.3">
      <c r="A1691" t="str">
        <f>"47"</f>
        <v>47</v>
      </c>
      <c r="B1691" t="str">
        <f>"47.0105"</f>
        <v>47.0105</v>
      </c>
      <c r="C1691" t="s">
        <v>1532</v>
      </c>
      <c r="D1691" t="s">
        <v>1531</v>
      </c>
    </row>
    <row r="1692" spans="1:6" x14ac:dyDescent="0.3">
      <c r="A1692" t="str">
        <f>"47"</f>
        <v>47</v>
      </c>
      <c r="B1692" t="str">
        <f>"47.0106"</f>
        <v>47.0106</v>
      </c>
      <c r="C1692" t="s">
        <v>1529</v>
      </c>
      <c r="D1692" t="s">
        <v>1528</v>
      </c>
      <c r="F1692" t="s">
        <v>1523</v>
      </c>
    </row>
    <row r="1693" spans="1:6" x14ac:dyDescent="0.3">
      <c r="A1693" t="str">
        <f>"47"</f>
        <v>47</v>
      </c>
      <c r="B1693" t="str">
        <f>"47.0110"</f>
        <v>47.0110</v>
      </c>
      <c r="C1693" t="s">
        <v>1527</v>
      </c>
      <c r="D1693" t="s">
        <v>1526</v>
      </c>
    </row>
    <row r="1694" spans="1:6" x14ac:dyDescent="0.3">
      <c r="A1694" t="str">
        <f>"47"</f>
        <v>47</v>
      </c>
      <c r="B1694" t="str">
        <f>"47.0199"</f>
        <v>47.0199</v>
      </c>
      <c r="C1694" t="s">
        <v>5507</v>
      </c>
      <c r="D1694" t="s">
        <v>5506</v>
      </c>
    </row>
    <row r="1695" spans="1:6" x14ac:dyDescent="0.3">
      <c r="A1695" t="str">
        <f>"47"</f>
        <v>47</v>
      </c>
      <c r="B1695" t="str">
        <f>"47.02"</f>
        <v>47.02</v>
      </c>
      <c r="C1695" t="s">
        <v>1525</v>
      </c>
      <c r="D1695" t="s">
        <v>1524</v>
      </c>
    </row>
    <row r="1696" spans="1:6" x14ac:dyDescent="0.3">
      <c r="A1696" t="str">
        <f>"47"</f>
        <v>47</v>
      </c>
      <c r="B1696" t="str">
        <f>"47.0201"</f>
        <v>47.0201</v>
      </c>
      <c r="C1696" t="s">
        <v>1522</v>
      </c>
      <c r="D1696" t="s">
        <v>1521</v>
      </c>
      <c r="E1696" t="s">
        <v>1520</v>
      </c>
      <c r="F1696" t="s">
        <v>1518</v>
      </c>
    </row>
    <row r="1697" spans="1:6" x14ac:dyDescent="0.3">
      <c r="A1697" t="str">
        <f>"47"</f>
        <v>47</v>
      </c>
      <c r="B1697" t="str">
        <f>"47.03"</f>
        <v>47.03</v>
      </c>
      <c r="C1697" t="s">
        <v>5505</v>
      </c>
      <c r="D1697" t="s">
        <v>1519</v>
      </c>
    </row>
    <row r="1698" spans="1:6" x14ac:dyDescent="0.3">
      <c r="A1698" t="str">
        <f>"47"</f>
        <v>47</v>
      </c>
      <c r="B1698" t="str">
        <f>"47.0302"</f>
        <v>47.0302</v>
      </c>
      <c r="C1698" t="s">
        <v>1517</v>
      </c>
      <c r="D1698" t="s">
        <v>1516</v>
      </c>
      <c r="F1698" t="s">
        <v>1515</v>
      </c>
    </row>
    <row r="1699" spans="1:6" x14ac:dyDescent="0.3">
      <c r="A1699" t="str">
        <f>"47"</f>
        <v>47</v>
      </c>
      <c r="B1699" t="str">
        <f>"47.0303"</f>
        <v>47.0303</v>
      </c>
      <c r="C1699" t="s">
        <v>5504</v>
      </c>
      <c r="D1699" t="s">
        <v>1514</v>
      </c>
      <c r="F1699" t="s">
        <v>1504</v>
      </c>
    </row>
    <row r="1700" spans="1:6" x14ac:dyDescent="0.3">
      <c r="A1700" t="str">
        <f>"47"</f>
        <v>47</v>
      </c>
      <c r="B1700" t="str">
        <f>"47.0399"</f>
        <v>47.0399</v>
      </c>
      <c r="C1700" t="s">
        <v>5503</v>
      </c>
      <c r="D1700" t="s">
        <v>5502</v>
      </c>
    </row>
    <row r="1701" spans="1:6" x14ac:dyDescent="0.3">
      <c r="A1701" t="str">
        <f>"47"</f>
        <v>47</v>
      </c>
      <c r="B1701" t="str">
        <f>"47.04"</f>
        <v>47.04</v>
      </c>
      <c r="C1701" t="s">
        <v>5501</v>
      </c>
      <c r="D1701" t="s">
        <v>1513</v>
      </c>
    </row>
    <row r="1702" spans="1:6" x14ac:dyDescent="0.3">
      <c r="A1702" t="str">
        <f>"47"</f>
        <v>47</v>
      </c>
      <c r="B1702" t="str">
        <f>"47.0402"</f>
        <v>47.0402</v>
      </c>
      <c r="C1702" t="s">
        <v>1512</v>
      </c>
      <c r="D1702" t="s">
        <v>1511</v>
      </c>
    </row>
    <row r="1703" spans="1:6" x14ac:dyDescent="0.3">
      <c r="A1703" t="str">
        <f>"47"</f>
        <v>47</v>
      </c>
      <c r="B1703" t="str">
        <f>"47.0403"</f>
        <v>47.0403</v>
      </c>
      <c r="C1703" t="s">
        <v>1510</v>
      </c>
      <c r="D1703" t="s">
        <v>1509</v>
      </c>
    </row>
    <row r="1704" spans="1:6" x14ac:dyDescent="0.3">
      <c r="A1704" t="str">
        <f>"47"</f>
        <v>47</v>
      </c>
      <c r="B1704" t="str">
        <f>"47.0404"</f>
        <v>47.0404</v>
      </c>
      <c r="C1704" t="s">
        <v>1508</v>
      </c>
      <c r="D1704" t="s">
        <v>1507</v>
      </c>
    </row>
    <row r="1705" spans="1:6" x14ac:dyDescent="0.3">
      <c r="A1705" t="str">
        <f>"47"</f>
        <v>47</v>
      </c>
      <c r="B1705" t="str">
        <f>"47.0408"</f>
        <v>47.0408</v>
      </c>
      <c r="C1705" t="s">
        <v>1506</v>
      </c>
      <c r="D1705" t="s">
        <v>1505</v>
      </c>
    </row>
    <row r="1706" spans="1:6" x14ac:dyDescent="0.3">
      <c r="A1706" t="str">
        <f>"47"</f>
        <v>47</v>
      </c>
      <c r="B1706" t="str">
        <f>"47.0409"</f>
        <v>47.0409</v>
      </c>
      <c r="C1706" t="s">
        <v>1503</v>
      </c>
      <c r="D1706" t="s">
        <v>1502</v>
      </c>
      <c r="F1706" t="s">
        <v>1501</v>
      </c>
    </row>
    <row r="1707" spans="1:6" x14ac:dyDescent="0.3">
      <c r="A1707" t="str">
        <f>"47"</f>
        <v>47</v>
      </c>
      <c r="B1707" t="str">
        <f>"47.0499"</f>
        <v>47.0499</v>
      </c>
      <c r="C1707" t="s">
        <v>5500</v>
      </c>
      <c r="D1707" t="s">
        <v>5499</v>
      </c>
      <c r="F1707" t="s">
        <v>1498</v>
      </c>
    </row>
    <row r="1708" spans="1:6" x14ac:dyDescent="0.3">
      <c r="A1708" t="str">
        <f>"47"</f>
        <v>47</v>
      </c>
      <c r="B1708" t="str">
        <f>"47.06"</f>
        <v>47.06</v>
      </c>
      <c r="C1708" t="s">
        <v>5498</v>
      </c>
      <c r="D1708" t="s">
        <v>1500</v>
      </c>
    </row>
    <row r="1709" spans="1:6" x14ac:dyDescent="0.3">
      <c r="A1709" t="str">
        <f>"47"</f>
        <v>47</v>
      </c>
      <c r="B1709" t="str">
        <f>"47.0600"</f>
        <v>47.0600</v>
      </c>
      <c r="C1709" t="s">
        <v>5497</v>
      </c>
      <c r="D1709" t="s">
        <v>1499</v>
      </c>
    </row>
    <row r="1710" spans="1:6" x14ac:dyDescent="0.3">
      <c r="A1710" t="str">
        <f>"47"</f>
        <v>47</v>
      </c>
      <c r="B1710" t="str">
        <f>"47.0603"</f>
        <v>47.0603</v>
      </c>
      <c r="C1710" t="s">
        <v>1497</v>
      </c>
      <c r="D1710" t="s">
        <v>1496</v>
      </c>
      <c r="F1710" t="s">
        <v>1495</v>
      </c>
    </row>
    <row r="1711" spans="1:6" x14ac:dyDescent="0.3">
      <c r="A1711" t="str">
        <f>"47"</f>
        <v>47</v>
      </c>
      <c r="B1711" t="str">
        <f>"47.0604"</f>
        <v>47.0604</v>
      </c>
      <c r="C1711" t="s">
        <v>1494</v>
      </c>
      <c r="D1711" t="s">
        <v>1493</v>
      </c>
      <c r="E1711" t="s">
        <v>1492</v>
      </c>
      <c r="F1711" t="s">
        <v>1478</v>
      </c>
    </row>
    <row r="1712" spans="1:6" x14ac:dyDescent="0.3">
      <c r="A1712" t="str">
        <f>"47"</f>
        <v>47</v>
      </c>
      <c r="B1712" t="str">
        <f>"47.0605"</f>
        <v>47.0605</v>
      </c>
      <c r="C1712" t="s">
        <v>1491</v>
      </c>
      <c r="D1712" t="s">
        <v>1490</v>
      </c>
    </row>
    <row r="1713" spans="1:6" x14ac:dyDescent="0.3">
      <c r="A1713" t="str">
        <f>"47"</f>
        <v>47</v>
      </c>
      <c r="B1713" t="str">
        <f>"47.0606"</f>
        <v>47.0606</v>
      </c>
      <c r="C1713" t="s">
        <v>1489</v>
      </c>
      <c r="D1713" t="s">
        <v>1488</v>
      </c>
    </row>
    <row r="1714" spans="1:6" x14ac:dyDescent="0.3">
      <c r="A1714" t="str">
        <f>"47"</f>
        <v>47</v>
      </c>
      <c r="B1714" t="str">
        <f>"47.0607"</f>
        <v>47.0607</v>
      </c>
      <c r="C1714" t="s">
        <v>1487</v>
      </c>
      <c r="D1714" t="s">
        <v>1486</v>
      </c>
    </row>
    <row r="1715" spans="1:6" x14ac:dyDescent="0.3">
      <c r="A1715" t="str">
        <f>"47"</f>
        <v>47</v>
      </c>
      <c r="B1715" t="str">
        <f>"47.0608"</f>
        <v>47.0608</v>
      </c>
      <c r="C1715" t="s">
        <v>1485</v>
      </c>
      <c r="D1715" t="s">
        <v>1484</v>
      </c>
    </row>
    <row r="1716" spans="1:6" x14ac:dyDescent="0.3">
      <c r="A1716" t="str">
        <f>"47"</f>
        <v>47</v>
      </c>
      <c r="B1716" t="str">
        <f>"47.0609"</f>
        <v>47.0609</v>
      </c>
      <c r="C1716" t="s">
        <v>1483</v>
      </c>
      <c r="D1716" t="s">
        <v>1482</v>
      </c>
      <c r="E1716" t="s">
        <v>1481</v>
      </c>
    </row>
    <row r="1717" spans="1:6" x14ac:dyDescent="0.3">
      <c r="A1717" t="str">
        <f>"47"</f>
        <v>47</v>
      </c>
      <c r="B1717" t="str">
        <f>"47.0610"</f>
        <v>47.0610</v>
      </c>
      <c r="C1717" t="s">
        <v>1480</v>
      </c>
      <c r="D1717" t="s">
        <v>1479</v>
      </c>
    </row>
    <row r="1718" spans="1:6" x14ac:dyDescent="0.3">
      <c r="A1718" t="str">
        <f>"47"</f>
        <v>47</v>
      </c>
      <c r="B1718" t="str">
        <f>"47.0611"</f>
        <v>47.0611</v>
      </c>
      <c r="C1718" t="s">
        <v>1477</v>
      </c>
      <c r="D1718" t="s">
        <v>1476</v>
      </c>
      <c r="F1718" t="s">
        <v>1473</v>
      </c>
    </row>
    <row r="1719" spans="1:6" x14ac:dyDescent="0.3">
      <c r="A1719" t="str">
        <f>"47"</f>
        <v>47</v>
      </c>
      <c r="B1719" t="str">
        <f>"47.0612"</f>
        <v>47.0612</v>
      </c>
      <c r="C1719" t="s">
        <v>1475</v>
      </c>
      <c r="D1719" t="s">
        <v>1474</v>
      </c>
    </row>
    <row r="1720" spans="1:6" x14ac:dyDescent="0.3">
      <c r="A1720" t="str">
        <f>"47"</f>
        <v>47</v>
      </c>
      <c r="B1720" t="str">
        <f>"47.0613"</f>
        <v>47.0613</v>
      </c>
      <c r="C1720" t="s">
        <v>1472</v>
      </c>
      <c r="D1720" t="s">
        <v>1471</v>
      </c>
      <c r="F1720" t="s">
        <v>1464</v>
      </c>
    </row>
    <row r="1721" spans="1:6" x14ac:dyDescent="0.3">
      <c r="A1721" t="str">
        <f>"47"</f>
        <v>47</v>
      </c>
      <c r="B1721" t="str">
        <f>"47.0614"</f>
        <v>47.0614</v>
      </c>
      <c r="C1721" t="s">
        <v>1470</v>
      </c>
      <c r="D1721" t="s">
        <v>1469</v>
      </c>
    </row>
    <row r="1722" spans="1:6" x14ac:dyDescent="0.3">
      <c r="A1722" t="str">
        <f>"47"</f>
        <v>47</v>
      </c>
      <c r="B1722" t="str">
        <f>"47.0615"</f>
        <v>47.0615</v>
      </c>
      <c r="C1722" t="s">
        <v>1468</v>
      </c>
      <c r="D1722" t="s">
        <v>1467</v>
      </c>
    </row>
    <row r="1723" spans="1:6" x14ac:dyDescent="0.3">
      <c r="A1723" t="str">
        <f>"47"</f>
        <v>47</v>
      </c>
      <c r="B1723" t="str">
        <f>"47.0616"</f>
        <v>47.0616</v>
      </c>
      <c r="C1723" t="s">
        <v>1466</v>
      </c>
      <c r="D1723" t="s">
        <v>1465</v>
      </c>
    </row>
    <row r="1724" spans="1:6" x14ac:dyDescent="0.3">
      <c r="A1724" t="str">
        <f>"47"</f>
        <v>47</v>
      </c>
      <c r="B1724" t="str">
        <f>"47.0617"</f>
        <v>47.0617</v>
      </c>
      <c r="C1724" t="s">
        <v>1463</v>
      </c>
      <c r="D1724" t="s">
        <v>1462</v>
      </c>
      <c r="F1724" t="s">
        <v>1461</v>
      </c>
    </row>
    <row r="1725" spans="1:6" x14ac:dyDescent="0.3">
      <c r="A1725" t="str">
        <f>"47"</f>
        <v>47</v>
      </c>
      <c r="B1725" t="str">
        <f>"47.0618"</f>
        <v>47.0618</v>
      </c>
      <c r="C1725" t="s">
        <v>1460</v>
      </c>
      <c r="D1725" t="s">
        <v>1459</v>
      </c>
      <c r="F1725" t="s">
        <v>1441</v>
      </c>
    </row>
    <row r="1726" spans="1:6" x14ac:dyDescent="0.3">
      <c r="A1726" t="str">
        <f>"47"</f>
        <v>47</v>
      </c>
      <c r="B1726" t="str">
        <f>"47.0699"</f>
        <v>47.0699</v>
      </c>
      <c r="C1726" t="s">
        <v>5496</v>
      </c>
      <c r="D1726" t="s">
        <v>5495</v>
      </c>
    </row>
    <row r="1727" spans="1:6" x14ac:dyDescent="0.3">
      <c r="A1727" t="str">
        <f>"47"</f>
        <v>47</v>
      </c>
      <c r="B1727" t="str">
        <f>"47.07"</f>
        <v>47.07</v>
      </c>
      <c r="C1727" t="s">
        <v>5494</v>
      </c>
      <c r="D1727" t="s">
        <v>5493</v>
      </c>
    </row>
    <row r="1728" spans="1:6" x14ac:dyDescent="0.3">
      <c r="A1728" t="str">
        <f>"47"</f>
        <v>47</v>
      </c>
      <c r="B1728" t="str">
        <f>"47.0701"</f>
        <v>47.0701</v>
      </c>
      <c r="C1728" t="s">
        <v>5492</v>
      </c>
      <c r="D1728" t="s">
        <v>5491</v>
      </c>
      <c r="E1728" t="s">
        <v>5490</v>
      </c>
    </row>
    <row r="1729" spans="1:6" x14ac:dyDescent="0.3">
      <c r="A1729" t="str">
        <f>"47"</f>
        <v>47</v>
      </c>
      <c r="B1729" t="str">
        <f>"47.0703"</f>
        <v>47.0703</v>
      </c>
      <c r="C1729" t="s">
        <v>5489</v>
      </c>
      <c r="D1729" t="s">
        <v>5488</v>
      </c>
      <c r="E1729" t="s">
        <v>5487</v>
      </c>
      <c r="F1729" t="s">
        <v>5486</v>
      </c>
    </row>
    <row r="1730" spans="1:6" x14ac:dyDescent="0.3">
      <c r="A1730" t="str">
        <f>"47"</f>
        <v>47</v>
      </c>
      <c r="B1730" t="str">
        <f>"47.0704"</f>
        <v>47.0704</v>
      </c>
      <c r="C1730" t="s">
        <v>5485</v>
      </c>
      <c r="D1730" t="s">
        <v>5484</v>
      </c>
      <c r="E1730" t="s">
        <v>5483</v>
      </c>
    </row>
    <row r="1731" spans="1:6" x14ac:dyDescent="0.3">
      <c r="A1731" t="str">
        <f>"47"</f>
        <v>47</v>
      </c>
      <c r="B1731" t="str">
        <f>"47.0705"</f>
        <v>47.0705</v>
      </c>
      <c r="C1731" t="s">
        <v>5482</v>
      </c>
      <c r="D1731" t="s">
        <v>5481</v>
      </c>
      <c r="E1731" t="s">
        <v>5480</v>
      </c>
    </row>
    <row r="1732" spans="1:6" x14ac:dyDescent="0.3">
      <c r="A1732" t="str">
        <f>"47"</f>
        <v>47</v>
      </c>
      <c r="B1732" t="str">
        <f>"47.0706"</f>
        <v>47.0706</v>
      </c>
      <c r="C1732" t="s">
        <v>5479</v>
      </c>
      <c r="D1732" t="s">
        <v>5478</v>
      </c>
      <c r="E1732" t="s">
        <v>5477</v>
      </c>
    </row>
    <row r="1733" spans="1:6" x14ac:dyDescent="0.3">
      <c r="A1733" t="str">
        <f>"47"</f>
        <v>47</v>
      </c>
      <c r="B1733" t="str">
        <f>"47.0799"</f>
        <v>47.0799</v>
      </c>
      <c r="C1733" t="s">
        <v>5476</v>
      </c>
      <c r="D1733" t="s">
        <v>5475</v>
      </c>
      <c r="E1733" t="s">
        <v>5474</v>
      </c>
    </row>
    <row r="1734" spans="1:6" x14ac:dyDescent="0.3">
      <c r="A1734" t="str">
        <f>"47"</f>
        <v>47</v>
      </c>
      <c r="B1734" t="str">
        <f>"47.99"</f>
        <v>47.99</v>
      </c>
      <c r="C1734" t="s">
        <v>1457</v>
      </c>
      <c r="D1734" t="s">
        <v>1458</v>
      </c>
    </row>
    <row r="1735" spans="1:6" x14ac:dyDescent="0.3">
      <c r="A1735" t="str">
        <f>"47"</f>
        <v>47</v>
      </c>
      <c r="B1735" t="str">
        <f>"47.9999"</f>
        <v>47.9999</v>
      </c>
      <c r="C1735" t="s">
        <v>1457</v>
      </c>
      <c r="D1735" t="s">
        <v>5473</v>
      </c>
    </row>
    <row r="1736" spans="1:6" x14ac:dyDescent="0.3">
      <c r="A1736" t="str">
        <f>"48"</f>
        <v>48</v>
      </c>
      <c r="B1736" t="str">
        <f>"48"</f>
        <v>48</v>
      </c>
      <c r="C1736" t="s">
        <v>1456</v>
      </c>
      <c r="D1736" t="s">
        <v>1455</v>
      </c>
    </row>
    <row r="1737" spans="1:6" x14ac:dyDescent="0.3">
      <c r="A1737" t="str">
        <f>"48"</f>
        <v>48</v>
      </c>
      <c r="B1737" t="str">
        <f>"48.00"</f>
        <v>48.00</v>
      </c>
      <c r="C1737" t="s">
        <v>1453</v>
      </c>
      <c r="D1737" t="s">
        <v>1454</v>
      </c>
    </row>
    <row r="1738" spans="1:6" x14ac:dyDescent="0.3">
      <c r="A1738" t="str">
        <f>"48"</f>
        <v>48</v>
      </c>
      <c r="B1738" t="str">
        <f>"48.0000"</f>
        <v>48.0000</v>
      </c>
      <c r="C1738" t="s">
        <v>1453</v>
      </c>
      <c r="D1738" t="s">
        <v>1452</v>
      </c>
    </row>
    <row r="1739" spans="1:6" x14ac:dyDescent="0.3">
      <c r="A1739" t="str">
        <f>"48"</f>
        <v>48</v>
      </c>
      <c r="B1739" t="str">
        <f>"48.03"</f>
        <v>48.03</v>
      </c>
      <c r="C1739" t="s">
        <v>1451</v>
      </c>
      <c r="D1739" t="s">
        <v>1450</v>
      </c>
    </row>
    <row r="1740" spans="1:6" x14ac:dyDescent="0.3">
      <c r="A1740" t="str">
        <f>"48"</f>
        <v>48</v>
      </c>
      <c r="B1740" t="str">
        <f>"48.0303"</f>
        <v>48.0303</v>
      </c>
      <c r="C1740" t="s">
        <v>1449</v>
      </c>
      <c r="D1740" t="s">
        <v>1448</v>
      </c>
    </row>
    <row r="1741" spans="1:6" x14ac:dyDescent="0.3">
      <c r="A1741" t="str">
        <f>"48"</f>
        <v>48</v>
      </c>
      <c r="B1741" t="str">
        <f>"48.0304"</f>
        <v>48.0304</v>
      </c>
      <c r="C1741" t="s">
        <v>1447</v>
      </c>
      <c r="D1741" t="s">
        <v>1446</v>
      </c>
    </row>
    <row r="1742" spans="1:6" x14ac:dyDescent="0.3">
      <c r="A1742" t="str">
        <f>"48"</f>
        <v>48</v>
      </c>
      <c r="B1742" t="str">
        <f>"48.0399"</f>
        <v>48.0399</v>
      </c>
      <c r="C1742" t="s">
        <v>1445</v>
      </c>
      <c r="D1742" t="s">
        <v>1444</v>
      </c>
    </row>
    <row r="1743" spans="1:6" x14ac:dyDescent="0.3">
      <c r="A1743" t="str">
        <f>"48"</f>
        <v>48</v>
      </c>
      <c r="B1743" t="str">
        <f>"48.05"</f>
        <v>48.05</v>
      </c>
      <c r="C1743" t="s">
        <v>1443</v>
      </c>
      <c r="D1743" t="s">
        <v>1442</v>
      </c>
    </row>
    <row r="1744" spans="1:6" x14ac:dyDescent="0.3">
      <c r="A1744" t="str">
        <f>"48"</f>
        <v>48</v>
      </c>
      <c r="B1744" t="str">
        <f>"48.0501"</f>
        <v>48.0501</v>
      </c>
      <c r="C1744" t="s">
        <v>1440</v>
      </c>
      <c r="D1744" t="s">
        <v>1439</v>
      </c>
      <c r="F1744" t="s">
        <v>1436</v>
      </c>
    </row>
    <row r="1745" spans="1:6" x14ac:dyDescent="0.3">
      <c r="A1745" t="str">
        <f>"48"</f>
        <v>48</v>
      </c>
      <c r="B1745" t="str">
        <f>"48.0503"</f>
        <v>48.0503</v>
      </c>
      <c r="C1745" t="s">
        <v>1438</v>
      </c>
      <c r="D1745" t="s">
        <v>1437</v>
      </c>
    </row>
    <row r="1746" spans="1:6" x14ac:dyDescent="0.3">
      <c r="A1746" t="str">
        <f>"48"</f>
        <v>48</v>
      </c>
      <c r="B1746" t="str">
        <f>"48.0506"</f>
        <v>48.0506</v>
      </c>
      <c r="C1746" t="s">
        <v>1435</v>
      </c>
      <c r="D1746" t="s">
        <v>1434</v>
      </c>
      <c r="F1746" t="s">
        <v>1433</v>
      </c>
    </row>
    <row r="1747" spans="1:6" x14ac:dyDescent="0.3">
      <c r="A1747" t="str">
        <f>"48"</f>
        <v>48</v>
      </c>
      <c r="B1747" t="str">
        <f>"48.0507"</f>
        <v>48.0507</v>
      </c>
      <c r="C1747" t="s">
        <v>1432</v>
      </c>
      <c r="D1747" t="s">
        <v>1431</v>
      </c>
      <c r="F1747" t="s">
        <v>1430</v>
      </c>
    </row>
    <row r="1748" spans="1:6" x14ac:dyDescent="0.3">
      <c r="A1748" t="str">
        <f>"48"</f>
        <v>48</v>
      </c>
      <c r="B1748" t="str">
        <f>"48.0508"</f>
        <v>48.0508</v>
      </c>
      <c r="C1748" t="s">
        <v>1429</v>
      </c>
      <c r="D1748" t="s">
        <v>1428</v>
      </c>
      <c r="E1748" t="s">
        <v>1427</v>
      </c>
      <c r="F1748" t="s">
        <v>1426</v>
      </c>
    </row>
    <row r="1749" spans="1:6" x14ac:dyDescent="0.3">
      <c r="A1749" t="str">
        <f>"48"</f>
        <v>48</v>
      </c>
      <c r="B1749" t="str">
        <f>"48.0509"</f>
        <v>48.0509</v>
      </c>
      <c r="C1749" t="s">
        <v>1425</v>
      </c>
      <c r="D1749" t="s">
        <v>1424</v>
      </c>
      <c r="F1749" t="s">
        <v>1421</v>
      </c>
    </row>
    <row r="1750" spans="1:6" x14ac:dyDescent="0.3">
      <c r="A1750" t="str">
        <f>"48"</f>
        <v>48</v>
      </c>
      <c r="B1750" t="str">
        <f>"48.0510"</f>
        <v>48.0510</v>
      </c>
      <c r="C1750" t="s">
        <v>1423</v>
      </c>
      <c r="D1750" t="s">
        <v>1422</v>
      </c>
    </row>
    <row r="1751" spans="1:6" x14ac:dyDescent="0.3">
      <c r="A1751" t="str">
        <f>"48"</f>
        <v>48</v>
      </c>
      <c r="B1751" t="str">
        <f>"48.0511"</f>
        <v>48.0511</v>
      </c>
      <c r="C1751" t="s">
        <v>1420</v>
      </c>
      <c r="D1751" t="s">
        <v>1419</v>
      </c>
      <c r="F1751" t="s">
        <v>1409</v>
      </c>
    </row>
    <row r="1752" spans="1:6" x14ac:dyDescent="0.3">
      <c r="A1752" t="str">
        <f>"48"</f>
        <v>48</v>
      </c>
      <c r="B1752" t="str">
        <f>"48.0599"</f>
        <v>48.0599</v>
      </c>
      <c r="C1752" t="s">
        <v>1418</v>
      </c>
      <c r="D1752" t="s">
        <v>1417</v>
      </c>
    </row>
    <row r="1753" spans="1:6" x14ac:dyDescent="0.3">
      <c r="A1753" t="str">
        <f>"48"</f>
        <v>48</v>
      </c>
      <c r="B1753" t="str">
        <f>"48.07"</f>
        <v>48.07</v>
      </c>
      <c r="C1753" t="s">
        <v>1416</v>
      </c>
      <c r="D1753" t="s">
        <v>1415</v>
      </c>
    </row>
    <row r="1754" spans="1:6" x14ac:dyDescent="0.3">
      <c r="A1754" t="str">
        <f>"48"</f>
        <v>48</v>
      </c>
      <c r="B1754" t="str">
        <f>"48.0701"</f>
        <v>48.0701</v>
      </c>
      <c r="C1754" t="s">
        <v>1414</v>
      </c>
      <c r="D1754" t="s">
        <v>1413</v>
      </c>
      <c r="E1754" t="s">
        <v>1412</v>
      </c>
    </row>
    <row r="1755" spans="1:6" x14ac:dyDescent="0.3">
      <c r="A1755" t="str">
        <f>"48"</f>
        <v>48</v>
      </c>
      <c r="B1755" t="str">
        <f>"48.0702"</f>
        <v>48.0702</v>
      </c>
      <c r="C1755" t="s">
        <v>1411</v>
      </c>
      <c r="D1755" t="s">
        <v>1410</v>
      </c>
    </row>
    <row r="1756" spans="1:6" x14ac:dyDescent="0.3">
      <c r="A1756" t="str">
        <f>"48"</f>
        <v>48</v>
      </c>
      <c r="B1756" t="str">
        <f>"48.0703"</f>
        <v>48.0703</v>
      </c>
      <c r="C1756" t="s">
        <v>1408</v>
      </c>
      <c r="D1756" t="s">
        <v>1407</v>
      </c>
      <c r="F1756" t="s">
        <v>1403</v>
      </c>
    </row>
    <row r="1757" spans="1:6" x14ac:dyDescent="0.3">
      <c r="A1757" t="str">
        <f>"48"</f>
        <v>48</v>
      </c>
      <c r="B1757" t="str">
        <f>"48.0704"</f>
        <v>48.0704</v>
      </c>
      <c r="C1757" t="s">
        <v>5472</v>
      </c>
      <c r="D1757" t="s">
        <v>5471</v>
      </c>
      <c r="E1757" t="s">
        <v>5470</v>
      </c>
    </row>
    <row r="1758" spans="1:6" x14ac:dyDescent="0.3">
      <c r="A1758" t="str">
        <f>"48"</f>
        <v>48</v>
      </c>
      <c r="B1758" t="str">
        <f>"48.0799"</f>
        <v>48.0799</v>
      </c>
      <c r="C1758" t="s">
        <v>1406</v>
      </c>
      <c r="D1758" t="s">
        <v>1405</v>
      </c>
    </row>
    <row r="1759" spans="1:6" x14ac:dyDescent="0.3">
      <c r="A1759" t="str">
        <f>"48"</f>
        <v>48</v>
      </c>
      <c r="B1759" t="str">
        <f>"48.08"</f>
        <v>48.08</v>
      </c>
      <c r="C1759" t="s">
        <v>1402</v>
      </c>
      <c r="D1759" t="s">
        <v>1404</v>
      </c>
    </row>
    <row r="1760" spans="1:6" x14ac:dyDescent="0.3">
      <c r="A1760" t="str">
        <f>"48"</f>
        <v>48</v>
      </c>
      <c r="B1760" t="str">
        <f>"48.0801"</f>
        <v>48.0801</v>
      </c>
      <c r="C1760" t="s">
        <v>1402</v>
      </c>
      <c r="D1760" t="s">
        <v>1401</v>
      </c>
      <c r="F1760" t="s">
        <v>1399</v>
      </c>
    </row>
    <row r="1761" spans="1:6" x14ac:dyDescent="0.3">
      <c r="A1761" t="str">
        <f>"48"</f>
        <v>48</v>
      </c>
      <c r="B1761" t="str">
        <f>"48.99"</f>
        <v>48.99</v>
      </c>
      <c r="C1761" t="s">
        <v>1398</v>
      </c>
      <c r="D1761" t="s">
        <v>1400</v>
      </c>
    </row>
    <row r="1762" spans="1:6" x14ac:dyDescent="0.3">
      <c r="A1762" t="str">
        <f>"48"</f>
        <v>48</v>
      </c>
      <c r="B1762" t="str">
        <f>"48.9999"</f>
        <v>48.9999</v>
      </c>
      <c r="C1762" t="s">
        <v>1398</v>
      </c>
      <c r="D1762" t="s">
        <v>1397</v>
      </c>
      <c r="F1762" t="s">
        <v>1371</v>
      </c>
    </row>
    <row r="1763" spans="1:6" x14ac:dyDescent="0.3">
      <c r="A1763" t="str">
        <f>"49"</f>
        <v>49</v>
      </c>
      <c r="B1763" t="str">
        <f>"49"</f>
        <v>49</v>
      </c>
      <c r="C1763" t="s">
        <v>1396</v>
      </c>
      <c r="D1763" t="s">
        <v>1395</v>
      </c>
    </row>
    <row r="1764" spans="1:6" x14ac:dyDescent="0.3">
      <c r="A1764" t="str">
        <f>"49"</f>
        <v>49</v>
      </c>
      <c r="B1764" t="str">
        <f>"49.01"</f>
        <v>49.01</v>
      </c>
      <c r="C1764" t="s">
        <v>1394</v>
      </c>
      <c r="D1764" t="s">
        <v>1393</v>
      </c>
    </row>
    <row r="1765" spans="1:6" x14ac:dyDescent="0.3">
      <c r="A1765" t="str">
        <f>"49"</f>
        <v>49</v>
      </c>
      <c r="B1765" t="str">
        <f>"49.0101"</f>
        <v>49.0101</v>
      </c>
      <c r="C1765" t="s">
        <v>1392</v>
      </c>
      <c r="D1765" t="s">
        <v>1391</v>
      </c>
    </row>
    <row r="1766" spans="1:6" x14ac:dyDescent="0.3">
      <c r="A1766" t="str">
        <f>"49"</f>
        <v>49</v>
      </c>
      <c r="B1766" t="str">
        <f>"49.0102"</f>
        <v>49.0102</v>
      </c>
      <c r="C1766" t="s">
        <v>1390</v>
      </c>
      <c r="D1766" t="s">
        <v>1389</v>
      </c>
    </row>
    <row r="1767" spans="1:6" x14ac:dyDescent="0.3">
      <c r="A1767" t="str">
        <f>"49"</f>
        <v>49</v>
      </c>
      <c r="B1767" t="str">
        <f>"49.0104"</f>
        <v>49.0104</v>
      </c>
      <c r="C1767" t="s">
        <v>1388</v>
      </c>
      <c r="D1767" t="s">
        <v>1387</v>
      </c>
    </row>
    <row r="1768" spans="1:6" x14ac:dyDescent="0.3">
      <c r="A1768" t="str">
        <f>"49"</f>
        <v>49</v>
      </c>
      <c r="B1768" t="str">
        <f>"49.0105"</f>
        <v>49.0105</v>
      </c>
      <c r="C1768" t="s">
        <v>1386</v>
      </c>
      <c r="D1768" t="s">
        <v>1385</v>
      </c>
    </row>
    <row r="1769" spans="1:6" x14ac:dyDescent="0.3">
      <c r="A1769" t="str">
        <f>"49"</f>
        <v>49</v>
      </c>
      <c r="B1769" t="str">
        <f>"49.0106"</f>
        <v>49.0106</v>
      </c>
      <c r="C1769" t="s">
        <v>1384</v>
      </c>
      <c r="D1769" t="s">
        <v>1383</v>
      </c>
    </row>
    <row r="1770" spans="1:6" x14ac:dyDescent="0.3">
      <c r="A1770" t="str">
        <f>"49"</f>
        <v>49</v>
      </c>
      <c r="B1770" t="str">
        <f>"49.0108"</f>
        <v>49.0108</v>
      </c>
      <c r="C1770" t="s">
        <v>1382</v>
      </c>
      <c r="D1770" t="s">
        <v>1381</v>
      </c>
    </row>
    <row r="1771" spans="1:6" x14ac:dyDescent="0.3">
      <c r="A1771" t="str">
        <f>"49"</f>
        <v>49</v>
      </c>
      <c r="B1771" t="str">
        <f>"49.0109"</f>
        <v>49.0109</v>
      </c>
      <c r="C1771" t="s">
        <v>5469</v>
      </c>
      <c r="D1771" t="s">
        <v>5468</v>
      </c>
      <c r="E1771" t="s">
        <v>5467</v>
      </c>
      <c r="F1771" t="s">
        <v>5466</v>
      </c>
    </row>
    <row r="1772" spans="1:6" x14ac:dyDescent="0.3">
      <c r="A1772" t="str">
        <f>"49"</f>
        <v>49</v>
      </c>
      <c r="B1772" t="str">
        <f>"49.0199"</f>
        <v>49.0199</v>
      </c>
      <c r="C1772" t="s">
        <v>1380</v>
      </c>
      <c r="D1772" t="s">
        <v>1379</v>
      </c>
    </row>
    <row r="1773" spans="1:6" x14ac:dyDescent="0.3">
      <c r="A1773" t="str">
        <f>"49"</f>
        <v>49</v>
      </c>
      <c r="B1773" t="str">
        <f>"49.02"</f>
        <v>49.02</v>
      </c>
      <c r="C1773" t="s">
        <v>1378</v>
      </c>
      <c r="D1773" t="s">
        <v>1377</v>
      </c>
    </row>
    <row r="1774" spans="1:6" x14ac:dyDescent="0.3">
      <c r="A1774" t="str">
        <f>"49"</f>
        <v>49</v>
      </c>
      <c r="B1774" t="str">
        <f>"49.0202"</f>
        <v>49.0202</v>
      </c>
      <c r="C1774" t="s">
        <v>1376</v>
      </c>
      <c r="D1774" t="s">
        <v>1375</v>
      </c>
      <c r="E1774" t="s">
        <v>1374</v>
      </c>
    </row>
    <row r="1775" spans="1:6" x14ac:dyDescent="0.3">
      <c r="A1775" t="str">
        <f>"49"</f>
        <v>49</v>
      </c>
      <c r="B1775" t="str">
        <f>"49.0205"</f>
        <v>49.0205</v>
      </c>
      <c r="C1775" t="s">
        <v>1373</v>
      </c>
      <c r="D1775" t="s">
        <v>1372</v>
      </c>
    </row>
    <row r="1776" spans="1:6" x14ac:dyDescent="0.3">
      <c r="A1776" t="str">
        <f>"49"</f>
        <v>49</v>
      </c>
      <c r="B1776" t="str">
        <f>"49.0206"</f>
        <v>49.0206</v>
      </c>
      <c r="C1776" t="s">
        <v>5465</v>
      </c>
      <c r="D1776" t="s">
        <v>1370</v>
      </c>
      <c r="F1776" t="s">
        <v>1367</v>
      </c>
    </row>
    <row r="1777" spans="1:6" x14ac:dyDescent="0.3">
      <c r="A1777" t="str">
        <f>"49"</f>
        <v>49</v>
      </c>
      <c r="B1777" t="str">
        <f>"49.0207"</f>
        <v>49.0207</v>
      </c>
      <c r="C1777" t="s">
        <v>1369</v>
      </c>
      <c r="D1777" t="s">
        <v>1368</v>
      </c>
    </row>
    <row r="1778" spans="1:6" x14ac:dyDescent="0.3">
      <c r="A1778" t="str">
        <f>"49"</f>
        <v>49</v>
      </c>
      <c r="B1778" t="str">
        <f>"49.0208"</f>
        <v>49.0208</v>
      </c>
      <c r="C1778" t="s">
        <v>1366</v>
      </c>
      <c r="D1778" t="s">
        <v>1365</v>
      </c>
      <c r="F1778" t="s">
        <v>1343</v>
      </c>
    </row>
    <row r="1779" spans="1:6" x14ac:dyDescent="0.3">
      <c r="A1779" t="str">
        <f>"49"</f>
        <v>49</v>
      </c>
      <c r="B1779" t="str">
        <f>"49.0209"</f>
        <v>49.0209</v>
      </c>
      <c r="C1779" t="s">
        <v>5464</v>
      </c>
      <c r="D1779" t="s">
        <v>5463</v>
      </c>
    </row>
    <row r="1780" spans="1:6" x14ac:dyDescent="0.3">
      <c r="A1780" t="str">
        <f>"49"</f>
        <v>49</v>
      </c>
      <c r="B1780" t="str">
        <f>"49.0299"</f>
        <v>49.0299</v>
      </c>
      <c r="C1780" t="s">
        <v>1364</v>
      </c>
      <c r="D1780" t="s">
        <v>1363</v>
      </c>
    </row>
    <row r="1781" spans="1:6" x14ac:dyDescent="0.3">
      <c r="A1781" t="str">
        <f>"49"</f>
        <v>49</v>
      </c>
      <c r="B1781" t="str">
        <f>"49.03"</f>
        <v>49.03</v>
      </c>
      <c r="C1781" t="s">
        <v>1362</v>
      </c>
      <c r="D1781" t="s">
        <v>1361</v>
      </c>
    </row>
    <row r="1782" spans="1:6" x14ac:dyDescent="0.3">
      <c r="A1782" t="str">
        <f>"49"</f>
        <v>49</v>
      </c>
      <c r="B1782" t="str">
        <f>"49.0303"</f>
        <v>49.0303</v>
      </c>
      <c r="C1782" t="s">
        <v>1360</v>
      </c>
      <c r="D1782" t="s">
        <v>1359</v>
      </c>
      <c r="E1782" t="s">
        <v>1358</v>
      </c>
    </row>
    <row r="1783" spans="1:6" x14ac:dyDescent="0.3">
      <c r="A1783" t="str">
        <f>"49"</f>
        <v>49</v>
      </c>
      <c r="B1783" t="str">
        <f>"49.0304"</f>
        <v>49.0304</v>
      </c>
      <c r="C1783" t="s">
        <v>1357</v>
      </c>
      <c r="D1783" t="s">
        <v>1356</v>
      </c>
    </row>
    <row r="1784" spans="1:6" x14ac:dyDescent="0.3">
      <c r="A1784" t="str">
        <f>"49"</f>
        <v>49</v>
      </c>
      <c r="B1784" t="str">
        <f>"49.0309"</f>
        <v>49.0309</v>
      </c>
      <c r="C1784" t="s">
        <v>1355</v>
      </c>
      <c r="D1784" t="s">
        <v>1354</v>
      </c>
    </row>
    <row r="1785" spans="1:6" x14ac:dyDescent="0.3">
      <c r="A1785" t="str">
        <f>"49"</f>
        <v>49</v>
      </c>
      <c r="B1785" t="str">
        <f>"49.0399"</f>
        <v>49.0399</v>
      </c>
      <c r="C1785" t="s">
        <v>1353</v>
      </c>
      <c r="D1785" t="s">
        <v>1352</v>
      </c>
    </row>
    <row r="1786" spans="1:6" x14ac:dyDescent="0.3">
      <c r="A1786" t="str">
        <f>"49"</f>
        <v>49</v>
      </c>
      <c r="B1786" t="str">
        <f>"49.99"</f>
        <v>49.99</v>
      </c>
      <c r="C1786" t="s">
        <v>1350</v>
      </c>
      <c r="D1786" t="s">
        <v>1351</v>
      </c>
    </row>
    <row r="1787" spans="1:6" x14ac:dyDescent="0.3">
      <c r="A1787" t="str">
        <f>"49"</f>
        <v>49</v>
      </c>
      <c r="B1787" t="str">
        <f>"49.9999"</f>
        <v>49.9999</v>
      </c>
      <c r="C1787" t="s">
        <v>1350</v>
      </c>
      <c r="D1787" t="s">
        <v>1349</v>
      </c>
    </row>
    <row r="1788" spans="1:6" x14ac:dyDescent="0.3">
      <c r="A1788" t="str">
        <f>"50"</f>
        <v>50</v>
      </c>
      <c r="B1788" t="str">
        <f>"50"</f>
        <v>50</v>
      </c>
      <c r="C1788" t="s">
        <v>1348</v>
      </c>
      <c r="D1788" t="s">
        <v>1347</v>
      </c>
    </row>
    <row r="1789" spans="1:6" x14ac:dyDescent="0.3">
      <c r="A1789" t="str">
        <f>"50"</f>
        <v>50</v>
      </c>
      <c r="B1789" t="str">
        <f>"50.01"</f>
        <v>50.01</v>
      </c>
      <c r="C1789" t="s">
        <v>1345</v>
      </c>
      <c r="D1789" t="s">
        <v>1346</v>
      </c>
    </row>
    <row r="1790" spans="1:6" x14ac:dyDescent="0.3">
      <c r="A1790" t="str">
        <f>"50"</f>
        <v>50</v>
      </c>
      <c r="B1790" t="str">
        <f>"50.0101"</f>
        <v>50.0101</v>
      </c>
      <c r="C1790" t="s">
        <v>1345</v>
      </c>
      <c r="D1790" t="s">
        <v>1344</v>
      </c>
    </row>
    <row r="1791" spans="1:6" x14ac:dyDescent="0.3">
      <c r="A1791" t="str">
        <f>"50"</f>
        <v>50</v>
      </c>
      <c r="B1791" t="str">
        <f>"50.0102"</f>
        <v>50.0102</v>
      </c>
      <c r="C1791" t="s">
        <v>1342</v>
      </c>
      <c r="D1791" t="s">
        <v>1341</v>
      </c>
      <c r="E1791" t="s">
        <v>1340</v>
      </c>
      <c r="F1791" t="s">
        <v>1334</v>
      </c>
    </row>
    <row r="1792" spans="1:6" x14ac:dyDescent="0.3">
      <c r="A1792" t="str">
        <f>"50"</f>
        <v>50</v>
      </c>
      <c r="B1792" t="str">
        <f>"50.02"</f>
        <v>50.02</v>
      </c>
      <c r="C1792" t="s">
        <v>1338</v>
      </c>
      <c r="D1792" t="s">
        <v>1339</v>
      </c>
    </row>
    <row r="1793" spans="1:6" x14ac:dyDescent="0.3">
      <c r="A1793" t="str">
        <f>"50"</f>
        <v>50</v>
      </c>
      <c r="B1793" t="str">
        <f>"50.0201"</f>
        <v>50.0201</v>
      </c>
      <c r="C1793" t="s">
        <v>1338</v>
      </c>
      <c r="D1793" t="s">
        <v>1337</v>
      </c>
    </row>
    <row r="1794" spans="1:6" x14ac:dyDescent="0.3">
      <c r="A1794" t="str">
        <f>"50"</f>
        <v>50</v>
      </c>
      <c r="B1794" t="str">
        <f>"50.03"</f>
        <v>50.03</v>
      </c>
      <c r="C1794" t="s">
        <v>1336</v>
      </c>
      <c r="D1794" t="s">
        <v>1335</v>
      </c>
    </row>
    <row r="1795" spans="1:6" x14ac:dyDescent="0.3">
      <c r="A1795" t="str">
        <f>"50"</f>
        <v>50</v>
      </c>
      <c r="B1795" t="str">
        <f>"50.0301"</f>
        <v>50.0301</v>
      </c>
      <c r="C1795" t="s">
        <v>1333</v>
      </c>
      <c r="D1795" t="s">
        <v>1332</v>
      </c>
      <c r="F1795" t="s">
        <v>1323</v>
      </c>
    </row>
    <row r="1796" spans="1:6" x14ac:dyDescent="0.3">
      <c r="A1796" t="str">
        <f>"50"</f>
        <v>50</v>
      </c>
      <c r="B1796" t="str">
        <f>"50.0302"</f>
        <v>50.0302</v>
      </c>
      <c r="C1796" t="s">
        <v>1331</v>
      </c>
      <c r="D1796" t="s">
        <v>1330</v>
      </c>
    </row>
    <row r="1797" spans="1:6" x14ac:dyDescent="0.3">
      <c r="A1797" t="str">
        <f>"50"</f>
        <v>50</v>
      </c>
      <c r="B1797" t="str">
        <f>"50.0399"</f>
        <v>50.0399</v>
      </c>
      <c r="C1797" t="s">
        <v>1329</v>
      </c>
      <c r="D1797" t="s">
        <v>1328</v>
      </c>
    </row>
    <row r="1798" spans="1:6" x14ac:dyDescent="0.3">
      <c r="A1798" t="str">
        <f>"50"</f>
        <v>50</v>
      </c>
      <c r="B1798" t="str">
        <f>"50.04"</f>
        <v>50.04</v>
      </c>
      <c r="C1798" t="s">
        <v>1327</v>
      </c>
      <c r="D1798" t="s">
        <v>1326</v>
      </c>
    </row>
    <row r="1799" spans="1:6" x14ac:dyDescent="0.3">
      <c r="A1799" t="str">
        <f>"50"</f>
        <v>50</v>
      </c>
      <c r="B1799" t="str">
        <f>"50.0401"</f>
        <v>50.0401</v>
      </c>
      <c r="C1799" t="s">
        <v>1325</v>
      </c>
      <c r="D1799" t="s">
        <v>1324</v>
      </c>
    </row>
    <row r="1800" spans="1:6" x14ac:dyDescent="0.3">
      <c r="A1800" t="str">
        <f>"50"</f>
        <v>50</v>
      </c>
      <c r="B1800" t="str">
        <f>"50.0402"</f>
        <v>50.0402</v>
      </c>
      <c r="C1800" t="s">
        <v>1322</v>
      </c>
      <c r="D1800" t="s">
        <v>1321</v>
      </c>
      <c r="E1800" t="s">
        <v>1320</v>
      </c>
      <c r="F1800" t="s">
        <v>1304</v>
      </c>
    </row>
    <row r="1801" spans="1:6" x14ac:dyDescent="0.3">
      <c r="A1801" t="str">
        <f>"50"</f>
        <v>50</v>
      </c>
      <c r="B1801" t="str">
        <f>"50.0404"</f>
        <v>50.0404</v>
      </c>
      <c r="C1801" t="s">
        <v>1319</v>
      </c>
      <c r="D1801" t="s">
        <v>1318</v>
      </c>
    </row>
    <row r="1802" spans="1:6" x14ac:dyDescent="0.3">
      <c r="A1802" t="str">
        <f>"50"</f>
        <v>50</v>
      </c>
      <c r="B1802" t="str">
        <f>"50.0406"</f>
        <v>50.0406</v>
      </c>
      <c r="C1802" t="s">
        <v>1317</v>
      </c>
      <c r="D1802" t="s">
        <v>1316</v>
      </c>
    </row>
    <row r="1803" spans="1:6" x14ac:dyDescent="0.3">
      <c r="A1803" t="str">
        <f>"50"</f>
        <v>50</v>
      </c>
      <c r="B1803" t="str">
        <f>"50.0407"</f>
        <v>50.0407</v>
      </c>
      <c r="C1803" t="s">
        <v>1315</v>
      </c>
      <c r="D1803" t="s">
        <v>1314</v>
      </c>
      <c r="E1803" t="s">
        <v>1241</v>
      </c>
    </row>
    <row r="1804" spans="1:6" x14ac:dyDescent="0.3">
      <c r="A1804" t="str">
        <f>"50"</f>
        <v>50</v>
      </c>
      <c r="B1804" t="str">
        <f>"50.0408"</f>
        <v>50.0408</v>
      </c>
      <c r="C1804" t="s">
        <v>1313</v>
      </c>
      <c r="D1804" t="s">
        <v>1312</v>
      </c>
      <c r="E1804" t="s">
        <v>1311</v>
      </c>
    </row>
    <row r="1805" spans="1:6" x14ac:dyDescent="0.3">
      <c r="A1805" t="str">
        <f>"50"</f>
        <v>50</v>
      </c>
      <c r="B1805" t="str">
        <f>"50.0409"</f>
        <v>50.0409</v>
      </c>
      <c r="C1805" t="s">
        <v>1310</v>
      </c>
      <c r="D1805" t="s">
        <v>1309</v>
      </c>
      <c r="E1805" t="s">
        <v>1308</v>
      </c>
    </row>
    <row r="1806" spans="1:6" x14ac:dyDescent="0.3">
      <c r="A1806" t="str">
        <f>"50"</f>
        <v>50</v>
      </c>
      <c r="B1806" t="str">
        <f>"50.0410"</f>
        <v>50.0410</v>
      </c>
      <c r="C1806" t="s">
        <v>1307</v>
      </c>
      <c r="D1806" t="s">
        <v>1306</v>
      </c>
      <c r="E1806" t="s">
        <v>1305</v>
      </c>
    </row>
    <row r="1807" spans="1:6" x14ac:dyDescent="0.3">
      <c r="A1807" t="str">
        <f>"50"</f>
        <v>50</v>
      </c>
      <c r="B1807" t="str">
        <f>"50.0411"</f>
        <v>50.0411</v>
      </c>
      <c r="C1807" t="s">
        <v>1303</v>
      </c>
      <c r="D1807" t="s">
        <v>1302</v>
      </c>
      <c r="E1807" t="s">
        <v>5462</v>
      </c>
      <c r="F1807" t="s">
        <v>1295</v>
      </c>
    </row>
    <row r="1808" spans="1:6" x14ac:dyDescent="0.3">
      <c r="A1808" t="str">
        <f>"50"</f>
        <v>50</v>
      </c>
      <c r="B1808" t="str">
        <f>"50.0499"</f>
        <v>50.0499</v>
      </c>
      <c r="C1808" t="s">
        <v>1301</v>
      </c>
      <c r="D1808" t="s">
        <v>1300</v>
      </c>
    </row>
    <row r="1809" spans="1:6" x14ac:dyDescent="0.3">
      <c r="A1809" t="str">
        <f>"50"</f>
        <v>50</v>
      </c>
      <c r="B1809" t="str">
        <f>"50.05"</f>
        <v>50.05</v>
      </c>
      <c r="C1809" t="s">
        <v>1299</v>
      </c>
      <c r="D1809" t="s">
        <v>1298</v>
      </c>
    </row>
    <row r="1810" spans="1:6" x14ac:dyDescent="0.3">
      <c r="A1810" t="str">
        <f>"50"</f>
        <v>50</v>
      </c>
      <c r="B1810" t="str">
        <f>"50.0501"</f>
        <v>50.0501</v>
      </c>
      <c r="C1810" t="s">
        <v>1297</v>
      </c>
      <c r="D1810" t="s">
        <v>1296</v>
      </c>
    </row>
    <row r="1811" spans="1:6" x14ac:dyDescent="0.3">
      <c r="A1811" t="str">
        <f>"50"</f>
        <v>50</v>
      </c>
      <c r="B1811" t="str">
        <f>"50.0502"</f>
        <v>50.0502</v>
      </c>
      <c r="C1811" t="s">
        <v>1294</v>
      </c>
      <c r="D1811" t="s">
        <v>1293</v>
      </c>
      <c r="F1811" t="s">
        <v>1292</v>
      </c>
    </row>
    <row r="1812" spans="1:6" x14ac:dyDescent="0.3">
      <c r="A1812" t="str">
        <f>"50"</f>
        <v>50</v>
      </c>
      <c r="B1812" t="str">
        <f>"50.0504"</f>
        <v>50.0504</v>
      </c>
      <c r="C1812" t="s">
        <v>1291</v>
      </c>
      <c r="D1812" t="s">
        <v>1290</v>
      </c>
      <c r="F1812" t="s">
        <v>1275</v>
      </c>
    </row>
    <row r="1813" spans="1:6" x14ac:dyDescent="0.3">
      <c r="A1813" t="str">
        <f>"50"</f>
        <v>50</v>
      </c>
      <c r="B1813" t="str">
        <f>"50.0505"</f>
        <v>50.0505</v>
      </c>
      <c r="C1813" t="s">
        <v>1289</v>
      </c>
      <c r="D1813" t="s">
        <v>1288</v>
      </c>
    </row>
    <row r="1814" spans="1:6" x14ac:dyDescent="0.3">
      <c r="A1814" t="str">
        <f>"50"</f>
        <v>50</v>
      </c>
      <c r="B1814" t="str">
        <f>"50.0506"</f>
        <v>50.0506</v>
      </c>
      <c r="C1814" t="s">
        <v>1287</v>
      </c>
      <c r="D1814" t="s">
        <v>1286</v>
      </c>
    </row>
    <row r="1815" spans="1:6" x14ac:dyDescent="0.3">
      <c r="A1815" t="str">
        <f>"50"</f>
        <v>50</v>
      </c>
      <c r="B1815" t="str">
        <f>"50.0507"</f>
        <v>50.0507</v>
      </c>
      <c r="C1815" t="s">
        <v>1285</v>
      </c>
      <c r="D1815" t="s">
        <v>1284</v>
      </c>
    </row>
    <row r="1816" spans="1:6" x14ac:dyDescent="0.3">
      <c r="A1816" t="str">
        <f>"50"</f>
        <v>50</v>
      </c>
      <c r="B1816" t="str">
        <f>"50.0509"</f>
        <v>50.0509</v>
      </c>
      <c r="C1816" t="s">
        <v>1283</v>
      </c>
      <c r="D1816" t="s">
        <v>1282</v>
      </c>
    </row>
    <row r="1817" spans="1:6" x14ac:dyDescent="0.3">
      <c r="A1817" t="str">
        <f>"50"</f>
        <v>50</v>
      </c>
      <c r="B1817" t="str">
        <f>"50.0510"</f>
        <v>50.0510</v>
      </c>
      <c r="C1817" t="s">
        <v>1281</v>
      </c>
      <c r="D1817" t="s">
        <v>1280</v>
      </c>
    </row>
    <row r="1818" spans="1:6" x14ac:dyDescent="0.3">
      <c r="A1818" t="str">
        <f>"50"</f>
        <v>50</v>
      </c>
      <c r="B1818" t="str">
        <f>"50.0511"</f>
        <v>50.0511</v>
      </c>
      <c r="C1818" t="s">
        <v>5461</v>
      </c>
      <c r="D1818" t="s">
        <v>5460</v>
      </c>
      <c r="F1818" t="s">
        <v>5459</v>
      </c>
    </row>
    <row r="1819" spans="1:6" x14ac:dyDescent="0.3">
      <c r="A1819" t="str">
        <f>"50"</f>
        <v>50</v>
      </c>
      <c r="B1819" t="str">
        <f>"50.0512"</f>
        <v>50.0512</v>
      </c>
      <c r="C1819" t="s">
        <v>5458</v>
      </c>
      <c r="D1819" t="s">
        <v>5457</v>
      </c>
    </row>
    <row r="1820" spans="1:6" x14ac:dyDescent="0.3">
      <c r="A1820" t="str">
        <f>"50"</f>
        <v>50</v>
      </c>
      <c r="B1820" t="str">
        <f>"50.0599"</f>
        <v>50.0599</v>
      </c>
      <c r="C1820" t="s">
        <v>1279</v>
      </c>
      <c r="D1820" t="s">
        <v>1278</v>
      </c>
      <c r="E1820" t="s">
        <v>5456</v>
      </c>
    </row>
    <row r="1821" spans="1:6" x14ac:dyDescent="0.3">
      <c r="A1821" t="str">
        <f>"50"</f>
        <v>50</v>
      </c>
      <c r="B1821" t="str">
        <f>"50.06"</f>
        <v>50.06</v>
      </c>
      <c r="C1821" t="s">
        <v>1277</v>
      </c>
      <c r="D1821" t="s">
        <v>1276</v>
      </c>
    </row>
    <row r="1822" spans="1:6" x14ac:dyDescent="0.3">
      <c r="A1822" t="str">
        <f>"50"</f>
        <v>50</v>
      </c>
      <c r="B1822" t="str">
        <f>"50.0601"</f>
        <v>50.0601</v>
      </c>
      <c r="C1822" t="s">
        <v>5455</v>
      </c>
      <c r="D1822" t="s">
        <v>5454</v>
      </c>
      <c r="F1822" t="s">
        <v>5453</v>
      </c>
    </row>
    <row r="1823" spans="1:6" x14ac:dyDescent="0.3">
      <c r="A1823" t="str">
        <f>"50"</f>
        <v>50</v>
      </c>
      <c r="B1823" t="str">
        <f>"50.0602"</f>
        <v>50.0602</v>
      </c>
      <c r="C1823" t="s">
        <v>1274</v>
      </c>
      <c r="D1823" t="s">
        <v>1273</v>
      </c>
      <c r="F1823" t="s">
        <v>1253</v>
      </c>
    </row>
    <row r="1824" spans="1:6" x14ac:dyDescent="0.3">
      <c r="A1824" t="str">
        <f>"50"</f>
        <v>50</v>
      </c>
      <c r="B1824" t="str">
        <f>"50.0605"</f>
        <v>50.0605</v>
      </c>
      <c r="C1824" t="s">
        <v>1272</v>
      </c>
      <c r="D1824" t="s">
        <v>1271</v>
      </c>
      <c r="E1824" t="s">
        <v>1270</v>
      </c>
    </row>
    <row r="1825" spans="1:6" x14ac:dyDescent="0.3">
      <c r="A1825" t="str">
        <f>"50"</f>
        <v>50</v>
      </c>
      <c r="B1825" t="str">
        <f>"50.0607"</f>
        <v>50.0607</v>
      </c>
      <c r="C1825" t="s">
        <v>1269</v>
      </c>
      <c r="D1825" t="s">
        <v>1268</v>
      </c>
    </row>
    <row r="1826" spans="1:6" x14ac:dyDescent="0.3">
      <c r="A1826" t="str">
        <f>"50"</f>
        <v>50</v>
      </c>
      <c r="B1826" t="str">
        <f>"50.0699"</f>
        <v>50.0699</v>
      </c>
      <c r="C1826" t="s">
        <v>1267</v>
      </c>
      <c r="D1826" t="s">
        <v>1266</v>
      </c>
    </row>
    <row r="1827" spans="1:6" x14ac:dyDescent="0.3">
      <c r="A1827" t="str">
        <f>"50"</f>
        <v>50</v>
      </c>
      <c r="B1827" t="str">
        <f>"50.07"</f>
        <v>50.07</v>
      </c>
      <c r="C1827" t="s">
        <v>1265</v>
      </c>
      <c r="D1827" t="s">
        <v>1264</v>
      </c>
    </row>
    <row r="1828" spans="1:6" x14ac:dyDescent="0.3">
      <c r="A1828" t="str">
        <f>"50"</f>
        <v>50</v>
      </c>
      <c r="B1828" t="str">
        <f>"50.0701"</f>
        <v>50.0701</v>
      </c>
      <c r="C1828" t="s">
        <v>1263</v>
      </c>
      <c r="D1828" t="s">
        <v>1262</v>
      </c>
    </row>
    <row r="1829" spans="1:6" x14ac:dyDescent="0.3">
      <c r="A1829" t="str">
        <f>"50"</f>
        <v>50</v>
      </c>
      <c r="B1829" t="str">
        <f>"50.0702"</f>
        <v>50.0702</v>
      </c>
      <c r="C1829" t="s">
        <v>1261</v>
      </c>
      <c r="D1829" t="s">
        <v>1260</v>
      </c>
    </row>
    <row r="1830" spans="1:6" x14ac:dyDescent="0.3">
      <c r="A1830" t="str">
        <f>"50"</f>
        <v>50</v>
      </c>
      <c r="B1830" t="str">
        <f>"50.0703"</f>
        <v>50.0703</v>
      </c>
      <c r="C1830" t="s">
        <v>1259</v>
      </c>
      <c r="D1830" t="s">
        <v>1258</v>
      </c>
    </row>
    <row r="1831" spans="1:6" x14ac:dyDescent="0.3">
      <c r="A1831" t="str">
        <f>"50"</f>
        <v>50</v>
      </c>
      <c r="B1831" t="str">
        <f>"50.0705"</f>
        <v>50.0705</v>
      </c>
      <c r="C1831" t="s">
        <v>1257</v>
      </c>
      <c r="D1831" t="s">
        <v>1256</v>
      </c>
    </row>
    <row r="1832" spans="1:6" x14ac:dyDescent="0.3">
      <c r="A1832" t="str">
        <f>"50"</f>
        <v>50</v>
      </c>
      <c r="B1832" t="str">
        <f>"50.0706"</f>
        <v>50.0706</v>
      </c>
      <c r="C1832" t="s">
        <v>1255</v>
      </c>
      <c r="D1832" t="s">
        <v>1254</v>
      </c>
    </row>
    <row r="1833" spans="1:6" x14ac:dyDescent="0.3">
      <c r="A1833" t="str">
        <f>"50"</f>
        <v>50</v>
      </c>
      <c r="B1833" t="str">
        <f>"50.0708"</f>
        <v>50.0708</v>
      </c>
      <c r="C1833" t="s">
        <v>1252</v>
      </c>
      <c r="D1833" t="s">
        <v>1251</v>
      </c>
      <c r="F1833" t="s">
        <v>1240</v>
      </c>
    </row>
    <row r="1834" spans="1:6" x14ac:dyDescent="0.3">
      <c r="A1834" t="str">
        <f>"50"</f>
        <v>50</v>
      </c>
      <c r="B1834" t="str">
        <f>"50.0709"</f>
        <v>50.0709</v>
      </c>
      <c r="C1834" t="s">
        <v>1250</v>
      </c>
      <c r="D1834" t="s">
        <v>1249</v>
      </c>
    </row>
    <row r="1835" spans="1:6" x14ac:dyDescent="0.3">
      <c r="A1835" t="str">
        <f>"50"</f>
        <v>50</v>
      </c>
      <c r="B1835" t="str">
        <f>"50.0710"</f>
        <v>50.0710</v>
      </c>
      <c r="C1835" t="s">
        <v>1248</v>
      </c>
      <c r="D1835" t="s">
        <v>1247</v>
      </c>
    </row>
    <row r="1836" spans="1:6" x14ac:dyDescent="0.3">
      <c r="A1836" t="str">
        <f>"50"</f>
        <v>50</v>
      </c>
      <c r="B1836" t="str">
        <f>"50.0711"</f>
        <v>50.0711</v>
      </c>
      <c r="C1836" t="s">
        <v>1246</v>
      </c>
      <c r="D1836" t="s">
        <v>1245</v>
      </c>
      <c r="E1836" t="s">
        <v>1244</v>
      </c>
    </row>
    <row r="1837" spans="1:6" x14ac:dyDescent="0.3">
      <c r="A1837" t="str">
        <f>"50"</f>
        <v>50</v>
      </c>
      <c r="B1837" t="str">
        <f>"50.0712"</f>
        <v>50.0712</v>
      </c>
      <c r="C1837" t="s">
        <v>1243</v>
      </c>
      <c r="D1837" t="s">
        <v>1242</v>
      </c>
      <c r="E1837" t="s">
        <v>1241</v>
      </c>
    </row>
    <row r="1838" spans="1:6" x14ac:dyDescent="0.3">
      <c r="A1838" t="str">
        <f>"50"</f>
        <v>50</v>
      </c>
      <c r="B1838" t="str">
        <f>"50.0713"</f>
        <v>50.0713</v>
      </c>
      <c r="C1838" t="s">
        <v>5452</v>
      </c>
      <c r="D1838" t="s">
        <v>5451</v>
      </c>
    </row>
    <row r="1839" spans="1:6" x14ac:dyDescent="0.3">
      <c r="A1839" t="str">
        <f>"50"</f>
        <v>50</v>
      </c>
      <c r="B1839" t="str">
        <f>"50.0714"</f>
        <v>50.0714</v>
      </c>
      <c r="C1839" t="s">
        <v>5450</v>
      </c>
      <c r="D1839" t="s">
        <v>5449</v>
      </c>
    </row>
    <row r="1840" spans="1:6" x14ac:dyDescent="0.3">
      <c r="A1840" t="str">
        <f>"50"</f>
        <v>50</v>
      </c>
      <c r="B1840" t="str">
        <f>"50.0799"</f>
        <v>50.0799</v>
      </c>
      <c r="C1840" t="s">
        <v>1239</v>
      </c>
      <c r="D1840" t="s">
        <v>1238</v>
      </c>
      <c r="F1840" t="s">
        <v>1223</v>
      </c>
    </row>
    <row r="1841" spans="1:6" x14ac:dyDescent="0.3">
      <c r="A1841" t="str">
        <f>"50"</f>
        <v>50</v>
      </c>
      <c r="B1841" t="str">
        <f>"50.09"</f>
        <v>50.09</v>
      </c>
      <c r="C1841" t="s">
        <v>1237</v>
      </c>
      <c r="D1841" t="s">
        <v>1236</v>
      </c>
    </row>
    <row r="1842" spans="1:6" x14ac:dyDescent="0.3">
      <c r="A1842" t="str">
        <f>"50"</f>
        <v>50</v>
      </c>
      <c r="B1842" t="str">
        <f>"50.0901"</f>
        <v>50.0901</v>
      </c>
      <c r="C1842" t="s">
        <v>1235</v>
      </c>
      <c r="D1842" t="s">
        <v>1234</v>
      </c>
    </row>
    <row r="1843" spans="1:6" x14ac:dyDescent="0.3">
      <c r="A1843" t="str">
        <f>"50"</f>
        <v>50</v>
      </c>
      <c r="B1843" t="str">
        <f>"50.0902"</f>
        <v>50.0902</v>
      </c>
      <c r="C1843" t="s">
        <v>1233</v>
      </c>
      <c r="D1843" t="s">
        <v>1232</v>
      </c>
    </row>
    <row r="1844" spans="1:6" x14ac:dyDescent="0.3">
      <c r="A1844" t="str">
        <f>"50"</f>
        <v>50</v>
      </c>
      <c r="B1844" t="str">
        <f>"50.0903"</f>
        <v>50.0903</v>
      </c>
      <c r="C1844" t="s">
        <v>1231</v>
      </c>
      <c r="D1844" t="s">
        <v>1230</v>
      </c>
    </row>
    <row r="1845" spans="1:6" x14ac:dyDescent="0.3">
      <c r="A1845" t="str">
        <f>"50"</f>
        <v>50</v>
      </c>
      <c r="B1845" t="str">
        <f>"50.0904"</f>
        <v>50.0904</v>
      </c>
      <c r="C1845" t="s">
        <v>1229</v>
      </c>
      <c r="D1845" t="s">
        <v>1228</v>
      </c>
    </row>
    <row r="1846" spans="1:6" x14ac:dyDescent="0.3">
      <c r="A1846" t="str">
        <f>"50"</f>
        <v>50</v>
      </c>
      <c r="B1846" t="str">
        <f>"50.0905"</f>
        <v>50.0905</v>
      </c>
      <c r="C1846" t="s">
        <v>1227</v>
      </c>
      <c r="D1846" t="s">
        <v>1226</v>
      </c>
    </row>
    <row r="1847" spans="1:6" x14ac:dyDescent="0.3">
      <c r="A1847" t="str">
        <f>"50"</f>
        <v>50</v>
      </c>
      <c r="B1847" t="str">
        <f>"50.0906"</f>
        <v>50.0906</v>
      </c>
      <c r="C1847" t="s">
        <v>1225</v>
      </c>
      <c r="D1847" t="s">
        <v>1224</v>
      </c>
    </row>
    <row r="1848" spans="1:6" x14ac:dyDescent="0.3">
      <c r="A1848" t="str">
        <f>"50"</f>
        <v>50</v>
      </c>
      <c r="B1848" t="str">
        <f>"50.0907"</f>
        <v>50.0907</v>
      </c>
      <c r="C1848" t="s">
        <v>1222</v>
      </c>
      <c r="D1848" t="s">
        <v>1221</v>
      </c>
      <c r="F1848" t="s">
        <v>1216</v>
      </c>
    </row>
    <row r="1849" spans="1:6" x14ac:dyDescent="0.3">
      <c r="A1849" t="str">
        <f>"50"</f>
        <v>50</v>
      </c>
      <c r="B1849" t="str">
        <f>"50.0908"</f>
        <v>50.0908</v>
      </c>
      <c r="C1849" t="s">
        <v>1220</v>
      </c>
      <c r="D1849" t="s">
        <v>1219</v>
      </c>
    </row>
    <row r="1850" spans="1:6" x14ac:dyDescent="0.3">
      <c r="A1850" t="str">
        <f>"50"</f>
        <v>50</v>
      </c>
      <c r="B1850" t="str">
        <f>"50.0910"</f>
        <v>50.0910</v>
      </c>
      <c r="C1850" t="s">
        <v>1218</v>
      </c>
      <c r="D1850" t="s">
        <v>1217</v>
      </c>
    </row>
    <row r="1851" spans="1:6" x14ac:dyDescent="0.3">
      <c r="A1851" t="str">
        <f>"50"</f>
        <v>50</v>
      </c>
      <c r="B1851" t="str">
        <f>"50.0911"</f>
        <v>50.0911</v>
      </c>
      <c r="C1851" t="s">
        <v>1215</v>
      </c>
      <c r="D1851" t="s">
        <v>1214</v>
      </c>
      <c r="F1851" t="s">
        <v>1208</v>
      </c>
    </row>
    <row r="1852" spans="1:6" x14ac:dyDescent="0.3">
      <c r="A1852" t="str">
        <f>"50"</f>
        <v>50</v>
      </c>
      <c r="B1852" t="str">
        <f>"50.0912"</f>
        <v>50.0912</v>
      </c>
      <c r="C1852" t="s">
        <v>1213</v>
      </c>
      <c r="D1852" t="s">
        <v>1212</v>
      </c>
    </row>
    <row r="1853" spans="1:6" x14ac:dyDescent="0.3">
      <c r="A1853" t="str">
        <f>"50"</f>
        <v>50</v>
      </c>
      <c r="B1853" t="str">
        <f>"50.0913"</f>
        <v>50.0913</v>
      </c>
      <c r="C1853" t="s">
        <v>1211</v>
      </c>
      <c r="D1853" t="s">
        <v>1210</v>
      </c>
      <c r="E1853" t="s">
        <v>1209</v>
      </c>
    </row>
    <row r="1854" spans="1:6" x14ac:dyDescent="0.3">
      <c r="A1854" t="str">
        <f>"50"</f>
        <v>50</v>
      </c>
      <c r="B1854" t="str">
        <f>"50.0914"</f>
        <v>50.0914</v>
      </c>
      <c r="C1854" t="s">
        <v>1207</v>
      </c>
      <c r="D1854" t="s">
        <v>1206</v>
      </c>
      <c r="F1854" t="s">
        <v>1205</v>
      </c>
    </row>
    <row r="1855" spans="1:6" x14ac:dyDescent="0.3">
      <c r="A1855" t="str">
        <f>"50"</f>
        <v>50</v>
      </c>
      <c r="B1855" t="str">
        <f>"50.0915"</f>
        <v>50.0915</v>
      </c>
      <c r="C1855" t="s">
        <v>1204</v>
      </c>
      <c r="D1855" t="s">
        <v>1203</v>
      </c>
      <c r="F1855" t="s">
        <v>1202</v>
      </c>
    </row>
    <row r="1856" spans="1:6" x14ac:dyDescent="0.3">
      <c r="A1856" t="str">
        <f>"50"</f>
        <v>50</v>
      </c>
      <c r="B1856" t="str">
        <f>"50.0916"</f>
        <v>50.0916</v>
      </c>
      <c r="C1856" t="s">
        <v>1201</v>
      </c>
      <c r="D1856" t="s">
        <v>1200</v>
      </c>
      <c r="F1856" t="s">
        <v>1196</v>
      </c>
    </row>
    <row r="1857" spans="1:6" x14ac:dyDescent="0.3">
      <c r="A1857" t="str">
        <f>"50"</f>
        <v>50</v>
      </c>
      <c r="B1857" t="str">
        <f>"50.0917"</f>
        <v>50.0917</v>
      </c>
      <c r="C1857" t="s">
        <v>5448</v>
      </c>
      <c r="D1857" t="s">
        <v>5447</v>
      </c>
      <c r="E1857" t="s">
        <v>1209</v>
      </c>
    </row>
    <row r="1858" spans="1:6" x14ac:dyDescent="0.3">
      <c r="A1858" t="str">
        <f>"50"</f>
        <v>50</v>
      </c>
      <c r="B1858" t="str">
        <f>"50.0999"</f>
        <v>50.0999</v>
      </c>
      <c r="C1858" t="s">
        <v>1199</v>
      </c>
      <c r="D1858" t="s">
        <v>1198</v>
      </c>
    </row>
    <row r="1859" spans="1:6" x14ac:dyDescent="0.3">
      <c r="A1859" t="str">
        <f>"50"</f>
        <v>50</v>
      </c>
      <c r="B1859" t="str">
        <f>"50.10"</f>
        <v>50.10</v>
      </c>
      <c r="C1859" t="s">
        <v>5446</v>
      </c>
      <c r="D1859" t="s">
        <v>1197</v>
      </c>
    </row>
    <row r="1860" spans="1:6" x14ac:dyDescent="0.3">
      <c r="A1860" t="str">
        <f>"50"</f>
        <v>50</v>
      </c>
      <c r="B1860" t="str">
        <f>"50.1001"</f>
        <v>50.1001</v>
      </c>
      <c r="C1860" t="s">
        <v>5445</v>
      </c>
      <c r="D1860" t="s">
        <v>1195</v>
      </c>
      <c r="F1860" t="s">
        <v>1194</v>
      </c>
    </row>
    <row r="1861" spans="1:6" x14ac:dyDescent="0.3">
      <c r="A1861" t="str">
        <f>"50"</f>
        <v>50</v>
      </c>
      <c r="B1861" t="str">
        <f>"50.1002"</f>
        <v>50.1002</v>
      </c>
      <c r="C1861" t="s">
        <v>1193</v>
      </c>
      <c r="D1861" t="s">
        <v>1192</v>
      </c>
      <c r="E1861" t="s">
        <v>1191</v>
      </c>
      <c r="F1861" t="s">
        <v>1190</v>
      </c>
    </row>
    <row r="1862" spans="1:6" x14ac:dyDescent="0.3">
      <c r="A1862" t="str">
        <f>"50"</f>
        <v>50</v>
      </c>
      <c r="B1862" t="str">
        <f>"50.1003"</f>
        <v>50.1003</v>
      </c>
      <c r="C1862" t="s">
        <v>1189</v>
      </c>
      <c r="D1862" t="s">
        <v>1188</v>
      </c>
      <c r="F1862" t="s">
        <v>1175</v>
      </c>
    </row>
    <row r="1863" spans="1:6" x14ac:dyDescent="0.3">
      <c r="A1863" t="str">
        <f>"50"</f>
        <v>50</v>
      </c>
      <c r="B1863" t="str">
        <f>"50.1004"</f>
        <v>50.1004</v>
      </c>
      <c r="C1863" t="s">
        <v>1187</v>
      </c>
      <c r="D1863" t="s">
        <v>1186</v>
      </c>
    </row>
    <row r="1864" spans="1:6" x14ac:dyDescent="0.3">
      <c r="A1864" t="str">
        <f>"50"</f>
        <v>50</v>
      </c>
      <c r="B1864" t="str">
        <f>"50.1099"</f>
        <v>50.1099</v>
      </c>
      <c r="C1864" t="s">
        <v>1185</v>
      </c>
      <c r="D1864" t="s">
        <v>1184</v>
      </c>
    </row>
    <row r="1865" spans="1:6" x14ac:dyDescent="0.3">
      <c r="A1865" t="str">
        <f>"50"</f>
        <v>50</v>
      </c>
      <c r="B1865" t="str">
        <f>"50.11"</f>
        <v>50.11</v>
      </c>
      <c r="C1865" t="s">
        <v>5443</v>
      </c>
      <c r="D1865" t="s">
        <v>5444</v>
      </c>
    </row>
    <row r="1866" spans="1:6" x14ac:dyDescent="0.3">
      <c r="A1866" t="str">
        <f>"50"</f>
        <v>50</v>
      </c>
      <c r="B1866" t="str">
        <f>"50.1101"</f>
        <v>50.1101</v>
      </c>
      <c r="C1866" t="s">
        <v>5443</v>
      </c>
      <c r="D1866" t="s">
        <v>5442</v>
      </c>
      <c r="F1866" t="s">
        <v>5441</v>
      </c>
    </row>
    <row r="1867" spans="1:6" x14ac:dyDescent="0.3">
      <c r="A1867" t="str">
        <f>"50"</f>
        <v>50</v>
      </c>
      <c r="B1867" t="str">
        <f>"50.99"</f>
        <v>50.99</v>
      </c>
      <c r="C1867" t="s">
        <v>1182</v>
      </c>
      <c r="D1867" t="s">
        <v>1183</v>
      </c>
    </row>
    <row r="1868" spans="1:6" x14ac:dyDescent="0.3">
      <c r="A1868" t="str">
        <f>"50"</f>
        <v>50</v>
      </c>
      <c r="B1868" t="str">
        <f>"50.9999"</f>
        <v>50.9999</v>
      </c>
      <c r="C1868" t="s">
        <v>1182</v>
      </c>
      <c r="D1868" t="s">
        <v>1181</v>
      </c>
    </row>
    <row r="1869" spans="1:6" x14ac:dyDescent="0.3">
      <c r="A1869" t="str">
        <f>"51"</f>
        <v>51</v>
      </c>
      <c r="B1869" t="str">
        <f>"51"</f>
        <v>51</v>
      </c>
      <c r="C1869" t="s">
        <v>1180</v>
      </c>
      <c r="D1869" t="s">
        <v>1179</v>
      </c>
    </row>
    <row r="1870" spans="1:6" x14ac:dyDescent="0.3">
      <c r="A1870" t="str">
        <f>"51"</f>
        <v>51</v>
      </c>
      <c r="B1870" t="str">
        <f>"51.00"</f>
        <v>51.00</v>
      </c>
      <c r="C1870" t="s">
        <v>1177</v>
      </c>
      <c r="D1870" t="s">
        <v>1178</v>
      </c>
    </row>
    <row r="1871" spans="1:6" x14ac:dyDescent="0.3">
      <c r="A1871" t="str">
        <f>"51"</f>
        <v>51</v>
      </c>
      <c r="B1871" t="str">
        <f>"51.0000"</f>
        <v>51.0000</v>
      </c>
      <c r="C1871" t="s">
        <v>1177</v>
      </c>
      <c r="D1871" t="s">
        <v>1176</v>
      </c>
    </row>
    <row r="1872" spans="1:6" x14ac:dyDescent="0.3">
      <c r="A1872" t="str">
        <f>"51"</f>
        <v>51</v>
      </c>
      <c r="B1872" t="str">
        <f>"51.0001"</f>
        <v>51.0001</v>
      </c>
      <c r="C1872" t="s">
        <v>1174</v>
      </c>
      <c r="D1872" t="s">
        <v>1173</v>
      </c>
      <c r="E1872" t="s">
        <v>5440</v>
      </c>
      <c r="F1872" t="s">
        <v>5439</v>
      </c>
    </row>
    <row r="1873" spans="1:6" x14ac:dyDescent="0.3">
      <c r="A1873" t="str">
        <f>"51"</f>
        <v>51</v>
      </c>
      <c r="B1873" t="str">
        <f>"51.01"</f>
        <v>51.01</v>
      </c>
      <c r="C1873" t="s">
        <v>1171</v>
      </c>
      <c r="D1873" t="s">
        <v>1172</v>
      </c>
    </row>
    <row r="1874" spans="1:6" x14ac:dyDescent="0.3">
      <c r="A1874" t="str">
        <f>"51"</f>
        <v>51</v>
      </c>
      <c r="B1874" t="str">
        <f>"51.0101"</f>
        <v>51.0101</v>
      </c>
      <c r="C1874" t="s">
        <v>1171</v>
      </c>
      <c r="D1874" t="s">
        <v>1170</v>
      </c>
      <c r="F1874" t="s">
        <v>1167</v>
      </c>
    </row>
    <row r="1875" spans="1:6" x14ac:dyDescent="0.3">
      <c r="A1875" t="str">
        <f>"51"</f>
        <v>51</v>
      </c>
      <c r="B1875" t="str">
        <f>"51.02"</f>
        <v>51.02</v>
      </c>
      <c r="C1875" t="s">
        <v>1169</v>
      </c>
      <c r="D1875" t="s">
        <v>1168</v>
      </c>
    </row>
    <row r="1876" spans="1:6" x14ac:dyDescent="0.3">
      <c r="A1876" t="str">
        <f>"51"</f>
        <v>51</v>
      </c>
      <c r="B1876" t="str">
        <f>"51.0201"</f>
        <v>51.0201</v>
      </c>
      <c r="C1876" t="s">
        <v>1166</v>
      </c>
      <c r="D1876" t="s">
        <v>1165</v>
      </c>
      <c r="F1876" t="s">
        <v>5438</v>
      </c>
    </row>
    <row r="1877" spans="1:6" x14ac:dyDescent="0.3">
      <c r="A1877" t="str">
        <f>"51"</f>
        <v>51</v>
      </c>
      <c r="B1877" t="str">
        <f>"51.0202"</f>
        <v>51.0202</v>
      </c>
      <c r="C1877" t="s">
        <v>1164</v>
      </c>
      <c r="D1877" t="s">
        <v>1163</v>
      </c>
      <c r="F1877" t="s">
        <v>1162</v>
      </c>
    </row>
    <row r="1878" spans="1:6" x14ac:dyDescent="0.3">
      <c r="A1878" t="str">
        <f>"51"</f>
        <v>51</v>
      </c>
      <c r="B1878" t="str">
        <f>"51.0203"</f>
        <v>51.0203</v>
      </c>
      <c r="C1878" t="s">
        <v>1161</v>
      </c>
      <c r="D1878" t="s">
        <v>1160</v>
      </c>
      <c r="E1878" t="s">
        <v>1156</v>
      </c>
      <c r="F1878" t="s">
        <v>1159</v>
      </c>
    </row>
    <row r="1879" spans="1:6" x14ac:dyDescent="0.3">
      <c r="A1879" t="str">
        <f>"51"</f>
        <v>51</v>
      </c>
      <c r="B1879" t="str">
        <f>"51.0204"</f>
        <v>51.0204</v>
      </c>
      <c r="C1879" t="s">
        <v>1158</v>
      </c>
      <c r="D1879" t="s">
        <v>1157</v>
      </c>
      <c r="E1879" t="s">
        <v>1156</v>
      </c>
      <c r="F1879" t="s">
        <v>1155</v>
      </c>
    </row>
    <row r="1880" spans="1:6" x14ac:dyDescent="0.3">
      <c r="A1880" t="str">
        <f>"51"</f>
        <v>51</v>
      </c>
      <c r="B1880" t="str">
        <f>"51.0299"</f>
        <v>51.0299</v>
      </c>
      <c r="C1880" t="s">
        <v>1154</v>
      </c>
      <c r="D1880" t="s">
        <v>1153</v>
      </c>
      <c r="E1880" t="s">
        <v>5437</v>
      </c>
      <c r="F1880" t="s">
        <v>1151</v>
      </c>
    </row>
    <row r="1881" spans="1:6" x14ac:dyDescent="0.3">
      <c r="A1881" t="str">
        <f>"51"</f>
        <v>51</v>
      </c>
      <c r="B1881" t="str">
        <f>"51.04"</f>
        <v>51.04</v>
      </c>
      <c r="C1881" t="s">
        <v>1150</v>
      </c>
      <c r="D1881" t="s">
        <v>1152</v>
      </c>
    </row>
    <row r="1882" spans="1:6" x14ac:dyDescent="0.3">
      <c r="A1882" t="str">
        <f>"51"</f>
        <v>51</v>
      </c>
      <c r="B1882" t="str">
        <f>"51.0401"</f>
        <v>51.0401</v>
      </c>
      <c r="C1882" t="s">
        <v>1150</v>
      </c>
      <c r="D1882" t="s">
        <v>1149</v>
      </c>
      <c r="F1882" t="s">
        <v>1146</v>
      </c>
    </row>
    <row r="1883" spans="1:6" x14ac:dyDescent="0.3">
      <c r="A1883" t="str">
        <f>"51"</f>
        <v>51</v>
      </c>
      <c r="B1883" t="str">
        <f>"51.05"</f>
        <v>51.05</v>
      </c>
      <c r="C1883" t="s">
        <v>1148</v>
      </c>
      <c r="D1883" t="s">
        <v>1147</v>
      </c>
    </row>
    <row r="1884" spans="1:6" x14ac:dyDescent="0.3">
      <c r="A1884" t="str">
        <f>"51"</f>
        <v>51</v>
      </c>
      <c r="B1884" t="str">
        <f>"51.0501"</f>
        <v>51.0501</v>
      </c>
      <c r="C1884" t="s">
        <v>1145</v>
      </c>
      <c r="D1884" t="s">
        <v>1144</v>
      </c>
      <c r="F1884" t="s">
        <v>1143</v>
      </c>
    </row>
    <row r="1885" spans="1:6" x14ac:dyDescent="0.3">
      <c r="A1885" t="str">
        <f>"51"</f>
        <v>51</v>
      </c>
      <c r="B1885" t="str">
        <f>"51.0502"</f>
        <v>51.0502</v>
      </c>
      <c r="C1885" t="s">
        <v>1142</v>
      </c>
      <c r="D1885" t="s">
        <v>1141</v>
      </c>
      <c r="F1885" t="s">
        <v>1140</v>
      </c>
    </row>
    <row r="1886" spans="1:6" x14ac:dyDescent="0.3">
      <c r="A1886" t="str">
        <f>"51"</f>
        <v>51</v>
      </c>
      <c r="B1886" t="str">
        <f>"51.0503"</f>
        <v>51.0503</v>
      </c>
      <c r="C1886" t="s">
        <v>1139</v>
      </c>
      <c r="D1886" t="s">
        <v>1138</v>
      </c>
      <c r="F1886" t="s">
        <v>1137</v>
      </c>
    </row>
    <row r="1887" spans="1:6" x14ac:dyDescent="0.3">
      <c r="A1887" t="str">
        <f>"51"</f>
        <v>51</v>
      </c>
      <c r="B1887" t="str">
        <f>"51.0504"</f>
        <v>51.0504</v>
      </c>
      <c r="C1887" t="s">
        <v>1136</v>
      </c>
      <c r="D1887" t="s">
        <v>1135</v>
      </c>
      <c r="F1887" t="s">
        <v>1134</v>
      </c>
    </row>
    <row r="1888" spans="1:6" x14ac:dyDescent="0.3">
      <c r="A1888" t="str">
        <f>"51"</f>
        <v>51</v>
      </c>
      <c r="B1888" t="str">
        <f>"51.0505"</f>
        <v>51.0505</v>
      </c>
      <c r="C1888" t="s">
        <v>1133</v>
      </c>
      <c r="D1888" t="s">
        <v>1132</v>
      </c>
      <c r="F1888" t="s">
        <v>1131</v>
      </c>
    </row>
    <row r="1889" spans="1:6" x14ac:dyDescent="0.3">
      <c r="A1889" t="str">
        <f>"51"</f>
        <v>51</v>
      </c>
      <c r="B1889" t="str">
        <f>"51.0506"</f>
        <v>51.0506</v>
      </c>
      <c r="C1889" t="s">
        <v>1130</v>
      </c>
      <c r="D1889" t="s">
        <v>1129</v>
      </c>
      <c r="F1889" t="s">
        <v>1128</v>
      </c>
    </row>
    <row r="1890" spans="1:6" x14ac:dyDescent="0.3">
      <c r="A1890" t="str">
        <f>"51"</f>
        <v>51</v>
      </c>
      <c r="B1890" t="str">
        <f>"51.0507"</f>
        <v>51.0507</v>
      </c>
      <c r="C1890" t="s">
        <v>1127</v>
      </c>
      <c r="D1890" t="s">
        <v>1126</v>
      </c>
      <c r="F1890" t="s">
        <v>1125</v>
      </c>
    </row>
    <row r="1891" spans="1:6" x14ac:dyDescent="0.3">
      <c r="A1891" t="str">
        <f>"51"</f>
        <v>51</v>
      </c>
      <c r="B1891" t="str">
        <f>"51.0508"</f>
        <v>51.0508</v>
      </c>
      <c r="C1891" t="s">
        <v>1124</v>
      </c>
      <c r="D1891" t="s">
        <v>1123</v>
      </c>
      <c r="F1891" t="s">
        <v>1122</v>
      </c>
    </row>
    <row r="1892" spans="1:6" x14ac:dyDescent="0.3">
      <c r="A1892" t="str">
        <f>"51"</f>
        <v>51</v>
      </c>
      <c r="B1892" t="str">
        <f>"51.0509"</f>
        <v>51.0509</v>
      </c>
      <c r="C1892" t="s">
        <v>1121</v>
      </c>
      <c r="D1892" t="s">
        <v>5436</v>
      </c>
      <c r="F1892" t="s">
        <v>1120</v>
      </c>
    </row>
    <row r="1893" spans="1:6" x14ac:dyDescent="0.3">
      <c r="A1893" t="str">
        <f>"51"</f>
        <v>51</v>
      </c>
      <c r="B1893" t="str">
        <f>"51.0510"</f>
        <v>51.0510</v>
      </c>
      <c r="C1893" t="s">
        <v>1119</v>
      </c>
      <c r="D1893" t="s">
        <v>1118</v>
      </c>
      <c r="F1893" t="s">
        <v>1117</v>
      </c>
    </row>
    <row r="1894" spans="1:6" x14ac:dyDescent="0.3">
      <c r="A1894" t="str">
        <f>"51"</f>
        <v>51</v>
      </c>
      <c r="B1894" t="str">
        <f>"51.0511"</f>
        <v>51.0511</v>
      </c>
      <c r="C1894" t="s">
        <v>1116</v>
      </c>
      <c r="D1894" t="s">
        <v>1115</v>
      </c>
      <c r="F1894" t="s">
        <v>1078</v>
      </c>
    </row>
    <row r="1895" spans="1:6" x14ac:dyDescent="0.3">
      <c r="A1895" t="str">
        <f>"51"</f>
        <v>51</v>
      </c>
      <c r="B1895" t="str">
        <f>"51.0512"</f>
        <v>51.0512</v>
      </c>
      <c r="C1895" t="s">
        <v>5435</v>
      </c>
      <c r="D1895" t="s">
        <v>5434</v>
      </c>
    </row>
    <row r="1896" spans="1:6" x14ac:dyDescent="0.3">
      <c r="A1896" t="str">
        <f>"51"</f>
        <v>51</v>
      </c>
      <c r="B1896" t="str">
        <f>"51.0513"</f>
        <v>51.0513</v>
      </c>
      <c r="C1896" t="s">
        <v>5433</v>
      </c>
      <c r="D1896" t="s">
        <v>5432</v>
      </c>
    </row>
    <row r="1897" spans="1:6" x14ac:dyDescent="0.3">
      <c r="A1897" t="str">
        <f>"51"</f>
        <v>51</v>
      </c>
      <c r="B1897" t="str">
        <f>"51.0514"</f>
        <v>51.0514</v>
      </c>
      <c r="C1897" t="s">
        <v>5431</v>
      </c>
      <c r="D1897" t="s">
        <v>5430</v>
      </c>
    </row>
    <row r="1898" spans="1:6" x14ac:dyDescent="0.3">
      <c r="A1898" t="str">
        <f>"51"</f>
        <v>51</v>
      </c>
      <c r="B1898" t="str">
        <f>"51.0599"</f>
        <v>51.0599</v>
      </c>
      <c r="C1898" t="s">
        <v>1114</v>
      </c>
      <c r="D1898" t="s">
        <v>1113</v>
      </c>
    </row>
    <row r="1899" spans="1:6" x14ac:dyDescent="0.3">
      <c r="A1899" t="str">
        <f>"51"</f>
        <v>51</v>
      </c>
      <c r="B1899" t="str">
        <f>"51.06"</f>
        <v>51.06</v>
      </c>
      <c r="C1899" t="s">
        <v>1112</v>
      </c>
      <c r="D1899" t="s">
        <v>1111</v>
      </c>
    </row>
    <row r="1900" spans="1:6" x14ac:dyDescent="0.3">
      <c r="A1900" t="str">
        <f>"51"</f>
        <v>51</v>
      </c>
      <c r="B1900" t="str">
        <f>"51.0601"</f>
        <v>51.0601</v>
      </c>
      <c r="C1900" t="s">
        <v>1110</v>
      </c>
      <c r="D1900" t="s">
        <v>1109</v>
      </c>
    </row>
    <row r="1901" spans="1:6" x14ac:dyDescent="0.3">
      <c r="A1901" t="str">
        <f>"51"</f>
        <v>51</v>
      </c>
      <c r="B1901" t="str">
        <f>"51.0602"</f>
        <v>51.0602</v>
      </c>
      <c r="C1901" t="s">
        <v>1108</v>
      </c>
      <c r="D1901" t="s">
        <v>1107</v>
      </c>
    </row>
    <row r="1902" spans="1:6" x14ac:dyDescent="0.3">
      <c r="A1902" t="str">
        <f>"51"</f>
        <v>51</v>
      </c>
      <c r="B1902" t="str">
        <f>"51.0603"</f>
        <v>51.0603</v>
      </c>
      <c r="C1902" t="s">
        <v>1106</v>
      </c>
      <c r="D1902" t="s">
        <v>1105</v>
      </c>
    </row>
    <row r="1903" spans="1:6" x14ac:dyDescent="0.3">
      <c r="A1903" t="str">
        <f>"51"</f>
        <v>51</v>
      </c>
      <c r="B1903" t="str">
        <f>"51.0699"</f>
        <v>51.0699</v>
      </c>
      <c r="C1903" t="s">
        <v>1104</v>
      </c>
      <c r="D1903" t="s">
        <v>1103</v>
      </c>
    </row>
    <row r="1904" spans="1:6" x14ac:dyDescent="0.3">
      <c r="A1904" t="str">
        <f>"51"</f>
        <v>51</v>
      </c>
      <c r="B1904" t="str">
        <f>"51.07"</f>
        <v>51.07</v>
      </c>
      <c r="C1904" t="s">
        <v>1102</v>
      </c>
      <c r="D1904" t="s">
        <v>1101</v>
      </c>
    </row>
    <row r="1905" spans="1:6" x14ac:dyDescent="0.3">
      <c r="A1905" t="str">
        <f>"51"</f>
        <v>51</v>
      </c>
      <c r="B1905" t="str">
        <f>"51.0701"</f>
        <v>51.0701</v>
      </c>
      <c r="C1905" t="s">
        <v>1100</v>
      </c>
      <c r="D1905" t="s">
        <v>1099</v>
      </c>
    </row>
    <row r="1906" spans="1:6" x14ac:dyDescent="0.3">
      <c r="A1906" t="str">
        <f>"51"</f>
        <v>51</v>
      </c>
      <c r="B1906" t="str">
        <f>"51.0702"</f>
        <v>51.0702</v>
      </c>
      <c r="C1906" t="s">
        <v>1098</v>
      </c>
      <c r="D1906" t="s">
        <v>1097</v>
      </c>
    </row>
    <row r="1907" spans="1:6" x14ac:dyDescent="0.3">
      <c r="A1907" t="str">
        <f>"51"</f>
        <v>51</v>
      </c>
      <c r="B1907" t="str">
        <f>"51.0703"</f>
        <v>51.0703</v>
      </c>
      <c r="C1907" t="s">
        <v>1096</v>
      </c>
      <c r="D1907" t="s">
        <v>1095</v>
      </c>
    </row>
    <row r="1908" spans="1:6" x14ac:dyDescent="0.3">
      <c r="A1908" t="str">
        <f>"51"</f>
        <v>51</v>
      </c>
      <c r="B1908" t="str">
        <f>"51.0704"</f>
        <v>51.0704</v>
      </c>
      <c r="C1908" t="s">
        <v>1094</v>
      </c>
      <c r="D1908" t="s">
        <v>1093</v>
      </c>
    </row>
    <row r="1909" spans="1:6" x14ac:dyDescent="0.3">
      <c r="A1909" t="str">
        <f>"51"</f>
        <v>51</v>
      </c>
      <c r="B1909" t="str">
        <f>"51.0705"</f>
        <v>51.0705</v>
      </c>
      <c r="C1909" t="s">
        <v>1092</v>
      </c>
      <c r="D1909" t="s">
        <v>1091</v>
      </c>
    </row>
    <row r="1910" spans="1:6" x14ac:dyDescent="0.3">
      <c r="A1910" t="str">
        <f>"51"</f>
        <v>51</v>
      </c>
      <c r="B1910" t="str">
        <f>"51.0706"</f>
        <v>51.0706</v>
      </c>
      <c r="C1910" t="s">
        <v>1090</v>
      </c>
      <c r="D1910" t="s">
        <v>1089</v>
      </c>
    </row>
    <row r="1911" spans="1:6" x14ac:dyDescent="0.3">
      <c r="A1911" t="str">
        <f>"51"</f>
        <v>51</v>
      </c>
      <c r="B1911" t="str">
        <f>"51.0707"</f>
        <v>51.0707</v>
      </c>
      <c r="C1911" t="s">
        <v>1088</v>
      </c>
      <c r="D1911" t="s">
        <v>1087</v>
      </c>
    </row>
    <row r="1912" spans="1:6" x14ac:dyDescent="0.3">
      <c r="A1912" t="str">
        <f>"51"</f>
        <v>51</v>
      </c>
      <c r="B1912" t="str">
        <f>"51.0708"</f>
        <v>51.0708</v>
      </c>
      <c r="C1912" t="s">
        <v>1086</v>
      </c>
      <c r="D1912" t="s">
        <v>1085</v>
      </c>
      <c r="E1912" t="s">
        <v>5429</v>
      </c>
    </row>
    <row r="1913" spans="1:6" x14ac:dyDescent="0.3">
      <c r="A1913" t="str">
        <f>"51"</f>
        <v>51</v>
      </c>
      <c r="B1913" t="str">
        <f>"51.0709"</f>
        <v>51.0709</v>
      </c>
      <c r="C1913" t="s">
        <v>1084</v>
      </c>
      <c r="D1913" t="s">
        <v>1083</v>
      </c>
    </row>
    <row r="1914" spans="1:6" x14ac:dyDescent="0.3">
      <c r="A1914" t="str">
        <f>"51"</f>
        <v>51</v>
      </c>
      <c r="B1914" t="str">
        <f>"51.0710"</f>
        <v>51.0710</v>
      </c>
      <c r="C1914" t="s">
        <v>1082</v>
      </c>
      <c r="D1914" t="s">
        <v>1081</v>
      </c>
    </row>
    <row r="1915" spans="1:6" x14ac:dyDescent="0.3">
      <c r="A1915" t="str">
        <f>"51"</f>
        <v>51</v>
      </c>
      <c r="B1915" t="str">
        <f>"51.0711"</f>
        <v>51.0711</v>
      </c>
      <c r="C1915" t="s">
        <v>1080</v>
      </c>
      <c r="D1915" t="s">
        <v>1079</v>
      </c>
    </row>
    <row r="1916" spans="1:6" x14ac:dyDescent="0.3">
      <c r="A1916" t="str">
        <f>"51"</f>
        <v>51</v>
      </c>
      <c r="B1916" t="str">
        <f>"51.0712"</f>
        <v>51.0712</v>
      </c>
      <c r="C1916" t="s">
        <v>1077</v>
      </c>
      <c r="D1916" t="s">
        <v>1076</v>
      </c>
    </row>
    <row r="1917" spans="1:6" x14ac:dyDescent="0.3">
      <c r="A1917" t="str">
        <f>"51"</f>
        <v>51</v>
      </c>
      <c r="B1917" t="str">
        <f>"51.0713"</f>
        <v>51.0713</v>
      </c>
      <c r="C1917" t="s">
        <v>1075</v>
      </c>
      <c r="D1917" t="s">
        <v>1074</v>
      </c>
    </row>
    <row r="1918" spans="1:6" x14ac:dyDescent="0.3">
      <c r="A1918" t="str">
        <f>"51"</f>
        <v>51</v>
      </c>
      <c r="B1918" t="str">
        <f>"51.0714"</f>
        <v>51.0714</v>
      </c>
      <c r="C1918" t="s">
        <v>1073</v>
      </c>
      <c r="D1918" t="s">
        <v>1072</v>
      </c>
    </row>
    <row r="1919" spans="1:6" x14ac:dyDescent="0.3">
      <c r="A1919" t="str">
        <f>"51"</f>
        <v>51</v>
      </c>
      <c r="B1919" t="str">
        <f>"51.0715"</f>
        <v>51.0715</v>
      </c>
      <c r="C1919" t="s">
        <v>1071</v>
      </c>
      <c r="D1919" t="s">
        <v>1070</v>
      </c>
    </row>
    <row r="1920" spans="1:6" x14ac:dyDescent="0.3">
      <c r="A1920" t="str">
        <f>"51"</f>
        <v>51</v>
      </c>
      <c r="B1920" t="str">
        <f>"51.0716"</f>
        <v>51.0716</v>
      </c>
      <c r="C1920" t="s">
        <v>1068</v>
      </c>
      <c r="D1920" t="s">
        <v>1067</v>
      </c>
      <c r="F1920" t="s">
        <v>5428</v>
      </c>
    </row>
    <row r="1921" spans="1:6" x14ac:dyDescent="0.3">
      <c r="A1921" t="str">
        <f>"51"</f>
        <v>51</v>
      </c>
      <c r="B1921" t="str">
        <f>"51.0717"</f>
        <v>51.0717</v>
      </c>
      <c r="C1921" t="s">
        <v>1066</v>
      </c>
      <c r="D1921" t="s">
        <v>1065</v>
      </c>
    </row>
    <row r="1922" spans="1:6" x14ac:dyDescent="0.3">
      <c r="A1922" t="str">
        <f>"51"</f>
        <v>51</v>
      </c>
      <c r="B1922" t="str">
        <f>"51.0718"</f>
        <v>51.0718</v>
      </c>
      <c r="C1922" t="s">
        <v>1064</v>
      </c>
      <c r="D1922" t="s">
        <v>1063</v>
      </c>
      <c r="F1922" t="s">
        <v>1062</v>
      </c>
    </row>
    <row r="1923" spans="1:6" x14ac:dyDescent="0.3">
      <c r="A1923" t="str">
        <f>"51"</f>
        <v>51</v>
      </c>
      <c r="B1923" t="str">
        <f>"51.0719"</f>
        <v>51.0719</v>
      </c>
      <c r="C1923" t="s">
        <v>1061</v>
      </c>
      <c r="D1923" t="s">
        <v>1060</v>
      </c>
      <c r="E1923" t="s">
        <v>1059</v>
      </c>
      <c r="F1923" t="s">
        <v>1031</v>
      </c>
    </row>
    <row r="1924" spans="1:6" x14ac:dyDescent="0.3">
      <c r="A1924" t="str">
        <f>"51"</f>
        <v>51</v>
      </c>
      <c r="B1924" t="str">
        <f>"51.0720"</f>
        <v>51.0720</v>
      </c>
      <c r="C1924" t="s">
        <v>5427</v>
      </c>
      <c r="D1924" t="s">
        <v>5426</v>
      </c>
      <c r="E1924" t="s">
        <v>5425</v>
      </c>
    </row>
    <row r="1925" spans="1:6" x14ac:dyDescent="0.3">
      <c r="A1925" t="str">
        <f>"51"</f>
        <v>51</v>
      </c>
      <c r="B1925" t="str">
        <f>"51.0721"</f>
        <v>51.0721</v>
      </c>
      <c r="C1925" t="s">
        <v>5424</v>
      </c>
      <c r="D1925" t="s">
        <v>5423</v>
      </c>
      <c r="F1925" t="s">
        <v>5422</v>
      </c>
    </row>
    <row r="1926" spans="1:6" x14ac:dyDescent="0.3">
      <c r="A1926" t="str">
        <f>"51"</f>
        <v>51</v>
      </c>
      <c r="B1926" t="str">
        <f>"51.0722"</f>
        <v>51.0722</v>
      </c>
      <c r="C1926" t="s">
        <v>5421</v>
      </c>
      <c r="D1926" t="s">
        <v>5420</v>
      </c>
    </row>
    <row r="1927" spans="1:6" x14ac:dyDescent="0.3">
      <c r="A1927" t="str">
        <f>"51"</f>
        <v>51</v>
      </c>
      <c r="B1927" t="str">
        <f>"51.0723"</f>
        <v>51.0723</v>
      </c>
      <c r="C1927" t="s">
        <v>5419</v>
      </c>
      <c r="D1927" t="s">
        <v>5418</v>
      </c>
      <c r="F1927" t="s">
        <v>5417</v>
      </c>
    </row>
    <row r="1928" spans="1:6" x14ac:dyDescent="0.3">
      <c r="A1928" t="str">
        <f>"51"</f>
        <v>51</v>
      </c>
      <c r="B1928" t="str">
        <f>"51.0799"</f>
        <v>51.0799</v>
      </c>
      <c r="C1928" t="s">
        <v>1058</v>
      </c>
      <c r="D1928" t="s">
        <v>1057</v>
      </c>
    </row>
    <row r="1929" spans="1:6" x14ac:dyDescent="0.3">
      <c r="A1929" t="str">
        <f>"51"</f>
        <v>51</v>
      </c>
      <c r="B1929" t="str">
        <f>"51.08"</f>
        <v>51.08</v>
      </c>
      <c r="C1929" t="s">
        <v>1056</v>
      </c>
      <c r="D1929" t="s">
        <v>1055</v>
      </c>
    </row>
    <row r="1930" spans="1:6" x14ac:dyDescent="0.3">
      <c r="A1930" t="str">
        <f>"51"</f>
        <v>51</v>
      </c>
      <c r="B1930" t="str">
        <f>"51.0801"</f>
        <v>51.0801</v>
      </c>
      <c r="C1930" t="s">
        <v>1054</v>
      </c>
      <c r="D1930" t="s">
        <v>1053</v>
      </c>
    </row>
    <row r="1931" spans="1:6" x14ac:dyDescent="0.3">
      <c r="A1931" t="str">
        <f>"51"</f>
        <v>51</v>
      </c>
      <c r="B1931" t="str">
        <f>"51.0802"</f>
        <v>51.0802</v>
      </c>
      <c r="C1931" t="s">
        <v>1052</v>
      </c>
      <c r="D1931" t="s">
        <v>1051</v>
      </c>
      <c r="E1931" t="s">
        <v>1050</v>
      </c>
    </row>
    <row r="1932" spans="1:6" x14ac:dyDescent="0.3">
      <c r="A1932" t="str">
        <f>"51"</f>
        <v>51</v>
      </c>
      <c r="B1932" t="str">
        <f>"51.0803"</f>
        <v>51.0803</v>
      </c>
      <c r="C1932" t="s">
        <v>1049</v>
      </c>
      <c r="D1932" t="s">
        <v>1048</v>
      </c>
    </row>
    <row r="1933" spans="1:6" x14ac:dyDescent="0.3">
      <c r="A1933" t="str">
        <f>"51"</f>
        <v>51</v>
      </c>
      <c r="B1933" t="str">
        <f>"51.0805"</f>
        <v>51.0805</v>
      </c>
      <c r="C1933" t="s">
        <v>1047</v>
      </c>
      <c r="D1933" t="s">
        <v>1046</v>
      </c>
    </row>
    <row r="1934" spans="1:6" x14ac:dyDescent="0.3">
      <c r="A1934" t="str">
        <f>"51"</f>
        <v>51</v>
      </c>
      <c r="B1934" t="str">
        <f>"51.0806"</f>
        <v>51.0806</v>
      </c>
      <c r="C1934" t="s">
        <v>5416</v>
      </c>
      <c r="D1934" t="s">
        <v>5415</v>
      </c>
    </row>
    <row r="1935" spans="1:6" x14ac:dyDescent="0.3">
      <c r="A1935" t="str">
        <f>"51"</f>
        <v>51</v>
      </c>
      <c r="B1935" t="str">
        <f>"51.0808"</f>
        <v>51.0808</v>
      </c>
      <c r="C1935" t="s">
        <v>1045</v>
      </c>
      <c r="D1935" t="s">
        <v>5414</v>
      </c>
    </row>
    <row r="1936" spans="1:6" x14ac:dyDescent="0.3">
      <c r="A1936" t="str">
        <f>"51"</f>
        <v>51</v>
      </c>
      <c r="B1936" t="str">
        <f>"51.0809"</f>
        <v>51.0809</v>
      </c>
      <c r="C1936" t="s">
        <v>1043</v>
      </c>
      <c r="D1936" t="s">
        <v>1042</v>
      </c>
    </row>
    <row r="1937" spans="1:6" x14ac:dyDescent="0.3">
      <c r="A1937" t="str">
        <f>"51"</f>
        <v>51</v>
      </c>
      <c r="B1937" t="str">
        <f>"51.0810"</f>
        <v>51.0810</v>
      </c>
      <c r="C1937" t="s">
        <v>1041</v>
      </c>
      <c r="D1937" t="s">
        <v>1040</v>
      </c>
      <c r="E1937" t="s">
        <v>1039</v>
      </c>
    </row>
    <row r="1938" spans="1:6" x14ac:dyDescent="0.3">
      <c r="A1938" t="str">
        <f>"51"</f>
        <v>51</v>
      </c>
      <c r="B1938" t="str">
        <f>"51.0811"</f>
        <v>51.0811</v>
      </c>
      <c r="C1938" t="s">
        <v>1038</v>
      </c>
      <c r="D1938" t="s">
        <v>1037</v>
      </c>
    </row>
    <row r="1939" spans="1:6" x14ac:dyDescent="0.3">
      <c r="A1939" t="str">
        <f>"51"</f>
        <v>51</v>
      </c>
      <c r="B1939" t="str">
        <f>"51.0812"</f>
        <v>51.0812</v>
      </c>
      <c r="C1939" t="s">
        <v>1036</v>
      </c>
      <c r="D1939" t="s">
        <v>1035</v>
      </c>
    </row>
    <row r="1940" spans="1:6" x14ac:dyDescent="0.3">
      <c r="A1940" t="str">
        <f>"51"</f>
        <v>51</v>
      </c>
      <c r="B1940" t="str">
        <f>"51.0813"</f>
        <v>51.0813</v>
      </c>
      <c r="C1940" t="s">
        <v>5413</v>
      </c>
      <c r="D1940" t="s">
        <v>1034</v>
      </c>
    </row>
    <row r="1941" spans="1:6" x14ac:dyDescent="0.3">
      <c r="A1941" t="str">
        <f>"51"</f>
        <v>51</v>
      </c>
      <c r="B1941" t="str">
        <f>"51.0814"</f>
        <v>51.0814</v>
      </c>
      <c r="C1941" t="s">
        <v>1033</v>
      </c>
      <c r="D1941" t="s">
        <v>1032</v>
      </c>
    </row>
    <row r="1942" spans="1:6" x14ac:dyDescent="0.3">
      <c r="A1942" t="str">
        <f>"51"</f>
        <v>51</v>
      </c>
      <c r="B1942" t="str">
        <f>"51.0815"</f>
        <v>51.0815</v>
      </c>
      <c r="C1942" t="s">
        <v>1030</v>
      </c>
      <c r="D1942" t="s">
        <v>1029</v>
      </c>
      <c r="F1942" t="s">
        <v>1003</v>
      </c>
    </row>
    <row r="1943" spans="1:6" x14ac:dyDescent="0.3">
      <c r="A1943" t="str">
        <f>"51"</f>
        <v>51</v>
      </c>
      <c r="B1943" t="str">
        <f>"51.0816"</f>
        <v>51.0816</v>
      </c>
      <c r="C1943" t="s">
        <v>1028</v>
      </c>
      <c r="D1943" t="s">
        <v>1027</v>
      </c>
      <c r="E1943" t="s">
        <v>1026</v>
      </c>
    </row>
    <row r="1944" spans="1:6" x14ac:dyDescent="0.3">
      <c r="A1944" t="str">
        <f>"51"</f>
        <v>51</v>
      </c>
      <c r="B1944" t="str">
        <f>"51.0817"</f>
        <v>51.0817</v>
      </c>
      <c r="C1944" t="s">
        <v>5243</v>
      </c>
      <c r="D1944" t="s">
        <v>5242</v>
      </c>
    </row>
    <row r="1945" spans="1:6" x14ac:dyDescent="0.3">
      <c r="A1945" t="str">
        <f>"51"</f>
        <v>51</v>
      </c>
      <c r="B1945" t="str">
        <f>"51.0899"</f>
        <v>51.0899</v>
      </c>
      <c r="C1945" t="s">
        <v>1025</v>
      </c>
      <c r="D1945" t="s">
        <v>1024</v>
      </c>
    </row>
    <row r="1946" spans="1:6" x14ac:dyDescent="0.3">
      <c r="A1946" t="str">
        <f>"51"</f>
        <v>51</v>
      </c>
      <c r="B1946" t="str">
        <f>"51.09"</f>
        <v>51.09</v>
      </c>
      <c r="C1946" t="s">
        <v>1023</v>
      </c>
      <c r="D1946" t="s">
        <v>1022</v>
      </c>
    </row>
    <row r="1947" spans="1:6" x14ac:dyDescent="0.3">
      <c r="A1947" t="str">
        <f>"51"</f>
        <v>51</v>
      </c>
      <c r="B1947" t="str">
        <f>"51.0901"</f>
        <v>51.0901</v>
      </c>
      <c r="C1947" t="s">
        <v>1021</v>
      </c>
      <c r="D1947" t="s">
        <v>5412</v>
      </c>
    </row>
    <row r="1948" spans="1:6" x14ac:dyDescent="0.3">
      <c r="A1948" t="str">
        <f>"51"</f>
        <v>51</v>
      </c>
      <c r="B1948" t="str">
        <f>"51.0902"</f>
        <v>51.0902</v>
      </c>
      <c r="C1948" t="s">
        <v>1020</v>
      </c>
      <c r="D1948" t="s">
        <v>1019</v>
      </c>
    </row>
    <row r="1949" spans="1:6" x14ac:dyDescent="0.3">
      <c r="A1949" t="str">
        <f>"51"</f>
        <v>51</v>
      </c>
      <c r="B1949" t="str">
        <f>"51.0903"</f>
        <v>51.0903</v>
      </c>
      <c r="C1949" t="s">
        <v>1018</v>
      </c>
      <c r="D1949" t="s">
        <v>5411</v>
      </c>
    </row>
    <row r="1950" spans="1:6" x14ac:dyDescent="0.3">
      <c r="A1950" t="str">
        <f>"51"</f>
        <v>51</v>
      </c>
      <c r="B1950" t="str">
        <f>"51.0904"</f>
        <v>51.0904</v>
      </c>
      <c r="C1950" t="s">
        <v>1017</v>
      </c>
      <c r="D1950" t="s">
        <v>1016</v>
      </c>
      <c r="E1950" t="s">
        <v>1015</v>
      </c>
    </row>
    <row r="1951" spans="1:6" x14ac:dyDescent="0.3">
      <c r="A1951" t="str">
        <f>"51"</f>
        <v>51</v>
      </c>
      <c r="B1951" t="str">
        <f>"51.0905"</f>
        <v>51.0905</v>
      </c>
      <c r="C1951" t="s">
        <v>1014</v>
      </c>
      <c r="D1951" t="s">
        <v>1013</v>
      </c>
    </row>
    <row r="1952" spans="1:6" x14ac:dyDescent="0.3">
      <c r="A1952" t="str">
        <f>"51"</f>
        <v>51</v>
      </c>
      <c r="B1952" t="str">
        <f>"51.0906"</f>
        <v>51.0906</v>
      </c>
      <c r="C1952" t="s">
        <v>1012</v>
      </c>
      <c r="D1952" t="s">
        <v>1011</v>
      </c>
    </row>
    <row r="1953" spans="1:6" x14ac:dyDescent="0.3">
      <c r="A1953" t="str">
        <f>"51"</f>
        <v>51</v>
      </c>
      <c r="B1953" t="str">
        <f>"51.0907"</f>
        <v>51.0907</v>
      </c>
      <c r="C1953" t="s">
        <v>1010</v>
      </c>
      <c r="D1953" t="s">
        <v>1009</v>
      </c>
    </row>
    <row r="1954" spans="1:6" x14ac:dyDescent="0.3">
      <c r="A1954" t="str">
        <f>"51"</f>
        <v>51</v>
      </c>
      <c r="B1954" t="str">
        <f>"51.0908"</f>
        <v>51.0908</v>
      </c>
      <c r="C1954" t="s">
        <v>1008</v>
      </c>
      <c r="D1954" t="s">
        <v>1007</v>
      </c>
    </row>
    <row r="1955" spans="1:6" x14ac:dyDescent="0.3">
      <c r="A1955" t="str">
        <f>"51"</f>
        <v>51</v>
      </c>
      <c r="B1955" t="str">
        <f>"51.0909"</f>
        <v>51.0909</v>
      </c>
      <c r="C1955" t="s">
        <v>1006</v>
      </c>
      <c r="D1955" t="s">
        <v>1005</v>
      </c>
      <c r="E1955" t="s">
        <v>1004</v>
      </c>
    </row>
    <row r="1956" spans="1:6" x14ac:dyDescent="0.3">
      <c r="A1956" t="str">
        <f>"51"</f>
        <v>51</v>
      </c>
      <c r="B1956" t="str">
        <f>"51.0910"</f>
        <v>51.0910</v>
      </c>
      <c r="C1956" t="s">
        <v>1002</v>
      </c>
      <c r="D1956" t="s">
        <v>1001</v>
      </c>
      <c r="F1956" t="s">
        <v>988</v>
      </c>
    </row>
    <row r="1957" spans="1:6" x14ac:dyDescent="0.3">
      <c r="A1957" t="str">
        <f>"51"</f>
        <v>51</v>
      </c>
      <c r="B1957" t="str">
        <f>"51.0911"</f>
        <v>51.0911</v>
      </c>
      <c r="C1957" t="s">
        <v>1000</v>
      </c>
      <c r="D1957" t="s">
        <v>999</v>
      </c>
    </row>
    <row r="1958" spans="1:6" x14ac:dyDescent="0.3">
      <c r="A1958" t="str">
        <f>"51"</f>
        <v>51</v>
      </c>
      <c r="B1958" t="str">
        <f>"51.0912"</f>
        <v>51.0912</v>
      </c>
      <c r="C1958" t="s">
        <v>5410</v>
      </c>
      <c r="D1958" t="s">
        <v>998</v>
      </c>
    </row>
    <row r="1959" spans="1:6" x14ac:dyDescent="0.3">
      <c r="A1959" t="str">
        <f>"51"</f>
        <v>51</v>
      </c>
      <c r="B1959" t="str">
        <f>"51.0913"</f>
        <v>51.0913</v>
      </c>
      <c r="C1959" t="s">
        <v>997</v>
      </c>
      <c r="D1959" t="s">
        <v>996</v>
      </c>
      <c r="E1959" t="s">
        <v>5409</v>
      </c>
    </row>
    <row r="1960" spans="1:6" x14ac:dyDescent="0.3">
      <c r="A1960" t="str">
        <f>"51"</f>
        <v>51</v>
      </c>
      <c r="B1960" t="str">
        <f>"51.0914"</f>
        <v>51.0914</v>
      </c>
      <c r="C1960" t="s">
        <v>995</v>
      </c>
      <c r="D1960" t="s">
        <v>994</v>
      </c>
      <c r="E1960" t="s">
        <v>993</v>
      </c>
    </row>
    <row r="1961" spans="1:6" x14ac:dyDescent="0.3">
      <c r="A1961" t="str">
        <f>"51"</f>
        <v>51</v>
      </c>
      <c r="B1961" t="str">
        <f>"51.0915"</f>
        <v>51.0915</v>
      </c>
      <c r="C1961" t="s">
        <v>992</v>
      </c>
      <c r="D1961" t="s">
        <v>991</v>
      </c>
    </row>
    <row r="1962" spans="1:6" x14ac:dyDescent="0.3">
      <c r="A1962" t="str">
        <f>"51"</f>
        <v>51</v>
      </c>
      <c r="B1962" t="str">
        <f>"51.0916"</f>
        <v>51.0916</v>
      </c>
      <c r="C1962" t="s">
        <v>990</v>
      </c>
      <c r="D1962" t="s">
        <v>989</v>
      </c>
    </row>
    <row r="1963" spans="1:6" x14ac:dyDescent="0.3">
      <c r="A1963" t="str">
        <f>"51"</f>
        <v>51</v>
      </c>
      <c r="B1963" t="str">
        <f>"51.0917"</f>
        <v>51.0917</v>
      </c>
      <c r="C1963" t="s">
        <v>987</v>
      </c>
      <c r="D1963" t="s">
        <v>986</v>
      </c>
      <c r="F1963" t="s">
        <v>985</v>
      </c>
    </row>
    <row r="1964" spans="1:6" x14ac:dyDescent="0.3">
      <c r="A1964" t="str">
        <f>"51"</f>
        <v>51</v>
      </c>
      <c r="B1964" t="str">
        <f>"51.0918"</f>
        <v>51.0918</v>
      </c>
      <c r="C1964" t="s">
        <v>984</v>
      </c>
      <c r="D1964" t="s">
        <v>983</v>
      </c>
      <c r="F1964" t="s">
        <v>982</v>
      </c>
    </row>
    <row r="1965" spans="1:6" x14ac:dyDescent="0.3">
      <c r="A1965" t="str">
        <f>"51"</f>
        <v>51</v>
      </c>
      <c r="B1965" t="str">
        <f>"51.0919"</f>
        <v>51.0919</v>
      </c>
      <c r="C1965" t="s">
        <v>5408</v>
      </c>
      <c r="D1965" t="s">
        <v>981</v>
      </c>
      <c r="F1965" t="s">
        <v>947</v>
      </c>
    </row>
    <row r="1966" spans="1:6" x14ac:dyDescent="0.3">
      <c r="A1966" t="str">
        <f>"51"</f>
        <v>51</v>
      </c>
      <c r="B1966" t="str">
        <f>"51.0920"</f>
        <v>51.0920</v>
      </c>
      <c r="C1966" t="s">
        <v>980</v>
      </c>
      <c r="D1966" t="s">
        <v>979</v>
      </c>
    </row>
    <row r="1967" spans="1:6" x14ac:dyDescent="0.3">
      <c r="A1967" t="str">
        <f>"51"</f>
        <v>51</v>
      </c>
      <c r="B1967" t="str">
        <f>"51.0921"</f>
        <v>51.0921</v>
      </c>
      <c r="C1967" t="s">
        <v>5407</v>
      </c>
      <c r="D1967" t="s">
        <v>5406</v>
      </c>
    </row>
    <row r="1968" spans="1:6" x14ac:dyDescent="0.3">
      <c r="A1968" t="str">
        <f>"51"</f>
        <v>51</v>
      </c>
      <c r="B1968" t="str">
        <f>"51.0922"</f>
        <v>51.0922</v>
      </c>
      <c r="C1968" t="s">
        <v>5405</v>
      </c>
      <c r="D1968" t="s">
        <v>5404</v>
      </c>
    </row>
    <row r="1969" spans="1:5" x14ac:dyDescent="0.3">
      <c r="A1969" t="str">
        <f>"51"</f>
        <v>51</v>
      </c>
      <c r="B1969" t="str">
        <f>"51.0923"</f>
        <v>51.0923</v>
      </c>
      <c r="C1969" t="s">
        <v>5403</v>
      </c>
      <c r="D1969" t="s">
        <v>5402</v>
      </c>
    </row>
    <row r="1970" spans="1:5" x14ac:dyDescent="0.3">
      <c r="A1970" t="str">
        <f>"51"</f>
        <v>51</v>
      </c>
      <c r="B1970" t="str">
        <f>"51.0924"</f>
        <v>51.0924</v>
      </c>
      <c r="C1970" t="s">
        <v>5243</v>
      </c>
      <c r="D1970" t="s">
        <v>5242</v>
      </c>
    </row>
    <row r="1971" spans="1:5" x14ac:dyDescent="0.3">
      <c r="A1971" t="str">
        <f>"51"</f>
        <v>51</v>
      </c>
      <c r="B1971" t="str">
        <f>"51.0999"</f>
        <v>51.0999</v>
      </c>
      <c r="C1971" t="s">
        <v>978</v>
      </c>
      <c r="D1971" t="s">
        <v>977</v>
      </c>
    </row>
    <row r="1972" spans="1:5" x14ac:dyDescent="0.3">
      <c r="A1972" t="str">
        <f>"51"</f>
        <v>51</v>
      </c>
      <c r="B1972" t="str">
        <f>"51.10"</f>
        <v>51.10</v>
      </c>
      <c r="C1972" t="s">
        <v>976</v>
      </c>
      <c r="D1972" t="s">
        <v>975</v>
      </c>
    </row>
    <row r="1973" spans="1:5" x14ac:dyDescent="0.3">
      <c r="A1973" t="str">
        <f>"51"</f>
        <v>51</v>
      </c>
      <c r="B1973" t="str">
        <f>"51.1001"</f>
        <v>51.1001</v>
      </c>
      <c r="C1973" t="s">
        <v>974</v>
      </c>
      <c r="D1973" t="s">
        <v>973</v>
      </c>
    </row>
    <row r="1974" spans="1:5" x14ac:dyDescent="0.3">
      <c r="A1974" t="str">
        <f>"51"</f>
        <v>51</v>
      </c>
      <c r="B1974" t="str">
        <f>"51.1002"</f>
        <v>51.1002</v>
      </c>
      <c r="C1974" t="s">
        <v>972</v>
      </c>
      <c r="D1974" t="s">
        <v>971</v>
      </c>
    </row>
    <row r="1975" spans="1:5" x14ac:dyDescent="0.3">
      <c r="A1975" t="str">
        <f>"51"</f>
        <v>51</v>
      </c>
      <c r="B1975" t="str">
        <f>"51.1003"</f>
        <v>51.1003</v>
      </c>
      <c r="C1975" t="s">
        <v>970</v>
      </c>
      <c r="D1975" t="s">
        <v>969</v>
      </c>
    </row>
    <row r="1976" spans="1:5" x14ac:dyDescent="0.3">
      <c r="A1976" t="str">
        <f>"51"</f>
        <v>51</v>
      </c>
      <c r="B1976" t="str">
        <f>"51.1004"</f>
        <v>51.1004</v>
      </c>
      <c r="C1976" t="s">
        <v>968</v>
      </c>
      <c r="D1976" t="s">
        <v>967</v>
      </c>
      <c r="E1976" t="s">
        <v>5401</v>
      </c>
    </row>
    <row r="1977" spans="1:5" x14ac:dyDescent="0.3">
      <c r="A1977" t="str">
        <f>"51"</f>
        <v>51</v>
      </c>
      <c r="B1977" t="str">
        <f>"51.1005"</f>
        <v>51.1005</v>
      </c>
      <c r="C1977" t="s">
        <v>966</v>
      </c>
      <c r="D1977" t="s">
        <v>965</v>
      </c>
      <c r="E1977" t="s">
        <v>964</v>
      </c>
    </row>
    <row r="1978" spans="1:5" x14ac:dyDescent="0.3">
      <c r="A1978" t="str">
        <f>"51"</f>
        <v>51</v>
      </c>
      <c r="B1978" t="str">
        <f>"51.1006"</f>
        <v>51.1006</v>
      </c>
      <c r="C1978" t="s">
        <v>963</v>
      </c>
      <c r="D1978" t="s">
        <v>962</v>
      </c>
    </row>
    <row r="1979" spans="1:5" x14ac:dyDescent="0.3">
      <c r="A1979" t="str">
        <f>"51"</f>
        <v>51</v>
      </c>
      <c r="B1979" t="str">
        <f>"51.1007"</f>
        <v>51.1007</v>
      </c>
      <c r="C1979" t="s">
        <v>961</v>
      </c>
      <c r="D1979" t="s">
        <v>960</v>
      </c>
    </row>
    <row r="1980" spans="1:5" x14ac:dyDescent="0.3">
      <c r="A1980" t="str">
        <f>"51"</f>
        <v>51</v>
      </c>
      <c r="B1980" t="str">
        <f>"51.1008"</f>
        <v>51.1008</v>
      </c>
      <c r="C1980" t="s">
        <v>959</v>
      </c>
      <c r="D1980" t="s">
        <v>958</v>
      </c>
    </row>
    <row r="1981" spans="1:5" x14ac:dyDescent="0.3">
      <c r="A1981" t="str">
        <f>"51"</f>
        <v>51</v>
      </c>
      <c r="B1981" t="str">
        <f>"51.1009"</f>
        <v>51.1009</v>
      </c>
      <c r="C1981" t="s">
        <v>957</v>
      </c>
      <c r="D1981" t="s">
        <v>956</v>
      </c>
    </row>
    <row r="1982" spans="1:5" x14ac:dyDescent="0.3">
      <c r="A1982" t="str">
        <f>"51"</f>
        <v>51</v>
      </c>
      <c r="B1982" t="str">
        <f>"51.1010"</f>
        <v>51.1010</v>
      </c>
      <c r="C1982" t="s">
        <v>955</v>
      </c>
      <c r="D1982" t="s">
        <v>954</v>
      </c>
      <c r="E1982" t="s">
        <v>953</v>
      </c>
    </row>
    <row r="1983" spans="1:5" x14ac:dyDescent="0.3">
      <c r="A1983" t="str">
        <f>"51"</f>
        <v>51</v>
      </c>
      <c r="B1983" t="str">
        <f>"51.1011"</f>
        <v>51.1011</v>
      </c>
      <c r="C1983" t="s">
        <v>952</v>
      </c>
      <c r="D1983" t="s">
        <v>951</v>
      </c>
    </row>
    <row r="1984" spans="1:5" x14ac:dyDescent="0.3">
      <c r="A1984" t="str">
        <f>"51"</f>
        <v>51</v>
      </c>
      <c r="B1984" t="str">
        <f>"51.1012"</f>
        <v>51.1012</v>
      </c>
      <c r="C1984" t="s">
        <v>950</v>
      </c>
      <c r="D1984" t="s">
        <v>949</v>
      </c>
      <c r="E1984" t="s">
        <v>948</v>
      </c>
    </row>
    <row r="1985" spans="1:6" x14ac:dyDescent="0.3">
      <c r="A1985" t="str">
        <f>"51"</f>
        <v>51</v>
      </c>
      <c r="B1985" t="str">
        <f>"51.1099"</f>
        <v>51.1099</v>
      </c>
      <c r="C1985" t="s">
        <v>946</v>
      </c>
      <c r="D1985" t="s">
        <v>945</v>
      </c>
      <c r="F1985" t="s">
        <v>922</v>
      </c>
    </row>
    <row r="1986" spans="1:6" x14ac:dyDescent="0.3">
      <c r="A1986" t="str">
        <f>"51"</f>
        <v>51</v>
      </c>
      <c r="B1986" t="str">
        <f>"51.11"</f>
        <v>51.11</v>
      </c>
      <c r="C1986" t="s">
        <v>944</v>
      </c>
      <c r="D1986" t="s">
        <v>943</v>
      </c>
    </row>
    <row r="1987" spans="1:6" x14ac:dyDescent="0.3">
      <c r="A1987" t="str">
        <f>"51"</f>
        <v>51</v>
      </c>
      <c r="B1987" t="str">
        <f>"51.1101"</f>
        <v>51.1101</v>
      </c>
      <c r="C1987" t="s">
        <v>942</v>
      </c>
      <c r="D1987" t="s">
        <v>941</v>
      </c>
    </row>
    <row r="1988" spans="1:6" x14ac:dyDescent="0.3">
      <c r="A1988" t="str">
        <f>"51"</f>
        <v>51</v>
      </c>
      <c r="B1988" t="str">
        <f>"51.1102"</f>
        <v>51.1102</v>
      </c>
      <c r="C1988" t="s">
        <v>940</v>
      </c>
      <c r="D1988" t="s">
        <v>939</v>
      </c>
    </row>
    <row r="1989" spans="1:6" x14ac:dyDescent="0.3">
      <c r="A1989" t="str">
        <f>"51"</f>
        <v>51</v>
      </c>
      <c r="B1989" t="str">
        <f>"51.1103"</f>
        <v>51.1103</v>
      </c>
      <c r="C1989" t="s">
        <v>938</v>
      </c>
      <c r="D1989" t="s">
        <v>937</v>
      </c>
    </row>
    <row r="1990" spans="1:6" x14ac:dyDescent="0.3">
      <c r="A1990" t="str">
        <f>"51"</f>
        <v>51</v>
      </c>
      <c r="B1990" t="str">
        <f>"51.1104"</f>
        <v>51.1104</v>
      </c>
      <c r="C1990" t="s">
        <v>936</v>
      </c>
      <c r="D1990" t="s">
        <v>5400</v>
      </c>
    </row>
    <row r="1991" spans="1:6" x14ac:dyDescent="0.3">
      <c r="A1991" t="str">
        <f>"51"</f>
        <v>51</v>
      </c>
      <c r="B1991" t="str">
        <f>"51.1105"</f>
        <v>51.1105</v>
      </c>
      <c r="C1991" t="s">
        <v>934</v>
      </c>
      <c r="D1991" t="s">
        <v>933</v>
      </c>
    </row>
    <row r="1992" spans="1:6" x14ac:dyDescent="0.3">
      <c r="A1992" t="str">
        <f>"51"</f>
        <v>51</v>
      </c>
      <c r="B1992" t="str">
        <f>"51.1106"</f>
        <v>51.1106</v>
      </c>
      <c r="C1992" t="s">
        <v>932</v>
      </c>
      <c r="D1992" t="s">
        <v>931</v>
      </c>
    </row>
    <row r="1993" spans="1:6" x14ac:dyDescent="0.3">
      <c r="A1993" t="str">
        <f>"51"</f>
        <v>51</v>
      </c>
      <c r="B1993" t="str">
        <f>"51.1107"</f>
        <v>51.1107</v>
      </c>
      <c r="C1993" t="s">
        <v>930</v>
      </c>
      <c r="D1993" t="s">
        <v>929</v>
      </c>
    </row>
    <row r="1994" spans="1:6" x14ac:dyDescent="0.3">
      <c r="A1994" t="str">
        <f>"51"</f>
        <v>51</v>
      </c>
      <c r="B1994" t="str">
        <f>"51.1108"</f>
        <v>51.1108</v>
      </c>
      <c r="C1994" t="s">
        <v>928</v>
      </c>
      <c r="D1994" t="s">
        <v>927</v>
      </c>
    </row>
    <row r="1995" spans="1:6" x14ac:dyDescent="0.3">
      <c r="A1995" t="str">
        <f>"51"</f>
        <v>51</v>
      </c>
      <c r="B1995" t="str">
        <f>"51.1109"</f>
        <v>51.1109</v>
      </c>
      <c r="C1995" t="s">
        <v>926</v>
      </c>
      <c r="D1995" t="s">
        <v>925</v>
      </c>
    </row>
    <row r="1996" spans="1:6" x14ac:dyDescent="0.3">
      <c r="A1996" t="str">
        <f>"51"</f>
        <v>51</v>
      </c>
      <c r="B1996" t="str">
        <f>"51.1110"</f>
        <v>51.1110</v>
      </c>
      <c r="C1996" t="s">
        <v>5399</v>
      </c>
      <c r="D1996" t="s">
        <v>5398</v>
      </c>
    </row>
    <row r="1997" spans="1:6" x14ac:dyDescent="0.3">
      <c r="A1997" t="str">
        <f>"51"</f>
        <v>51</v>
      </c>
      <c r="B1997" t="str">
        <f>"51.1111"</f>
        <v>51.1111</v>
      </c>
      <c r="C1997" t="s">
        <v>5397</v>
      </c>
      <c r="D1997" t="s">
        <v>5396</v>
      </c>
    </row>
    <row r="1998" spans="1:6" x14ac:dyDescent="0.3">
      <c r="A1998" t="str">
        <f>"51"</f>
        <v>51</v>
      </c>
      <c r="B1998" t="str">
        <f>"51.1199"</f>
        <v>51.1199</v>
      </c>
      <c r="C1998" t="s">
        <v>924</v>
      </c>
      <c r="D1998" t="s">
        <v>923</v>
      </c>
      <c r="E1998" t="s">
        <v>5395</v>
      </c>
    </row>
    <row r="1999" spans="1:6" x14ac:dyDescent="0.3">
      <c r="A1999" t="str">
        <f>"51"</f>
        <v>51</v>
      </c>
      <c r="B1999" t="str">
        <f>"51.12"</f>
        <v>51.12</v>
      </c>
      <c r="C1999" t="s">
        <v>921</v>
      </c>
      <c r="D1999" t="s">
        <v>5394</v>
      </c>
    </row>
    <row r="2000" spans="1:6" x14ac:dyDescent="0.3">
      <c r="A2000" t="str">
        <f>"51"</f>
        <v>51</v>
      </c>
      <c r="B2000" t="str">
        <f>"51.1201"</f>
        <v>51.1201</v>
      </c>
      <c r="C2000" t="s">
        <v>921</v>
      </c>
      <c r="D2000" t="s">
        <v>5393</v>
      </c>
      <c r="F2000" t="s">
        <v>5392</v>
      </c>
    </row>
    <row r="2001" spans="1:6" x14ac:dyDescent="0.3">
      <c r="A2001" t="str">
        <f>"51"</f>
        <v>51</v>
      </c>
      <c r="B2001" t="str">
        <f>"51.1202"</f>
        <v>51.1202</v>
      </c>
      <c r="C2001" t="s">
        <v>873</v>
      </c>
      <c r="D2001" t="s">
        <v>872</v>
      </c>
      <c r="F2001" t="s">
        <v>5391</v>
      </c>
    </row>
    <row r="2002" spans="1:6" x14ac:dyDescent="0.3">
      <c r="A2002" t="str">
        <f>"51"</f>
        <v>51</v>
      </c>
      <c r="B2002" t="str">
        <f>"51.1203"</f>
        <v>51.1203</v>
      </c>
      <c r="C2002" t="s">
        <v>834</v>
      </c>
      <c r="D2002" t="s">
        <v>833</v>
      </c>
      <c r="F2002" t="s">
        <v>830</v>
      </c>
    </row>
    <row r="2003" spans="1:6" x14ac:dyDescent="0.3">
      <c r="A2003" t="str">
        <f>"51"</f>
        <v>51</v>
      </c>
      <c r="B2003" t="str">
        <f>"51.1299"</f>
        <v>51.1299</v>
      </c>
      <c r="C2003" t="s">
        <v>5390</v>
      </c>
      <c r="D2003" t="s">
        <v>5389</v>
      </c>
    </row>
    <row r="2004" spans="1:6" x14ac:dyDescent="0.3">
      <c r="A2004" t="str">
        <f>"51"</f>
        <v>51</v>
      </c>
      <c r="B2004" t="str">
        <f>"51.14"</f>
        <v>51.14</v>
      </c>
      <c r="C2004" t="s">
        <v>920</v>
      </c>
      <c r="D2004" t="s">
        <v>5388</v>
      </c>
    </row>
    <row r="2005" spans="1:6" x14ac:dyDescent="0.3">
      <c r="A2005" t="str">
        <f>"51"</f>
        <v>51</v>
      </c>
      <c r="B2005" t="str">
        <f>"51.1401"</f>
        <v>51.1401</v>
      </c>
      <c r="C2005" t="s">
        <v>5387</v>
      </c>
      <c r="D2005" t="s">
        <v>919</v>
      </c>
      <c r="F2005" t="s">
        <v>909</v>
      </c>
    </row>
    <row r="2006" spans="1:6" x14ac:dyDescent="0.3">
      <c r="A2006" t="str">
        <f>"51"</f>
        <v>51</v>
      </c>
      <c r="B2006" t="str">
        <f>"51.1402"</f>
        <v>51.1402</v>
      </c>
      <c r="C2006" t="s">
        <v>5386</v>
      </c>
      <c r="D2006" t="s">
        <v>5385</v>
      </c>
    </row>
    <row r="2007" spans="1:6" x14ac:dyDescent="0.3">
      <c r="A2007" t="str">
        <f>"51"</f>
        <v>51</v>
      </c>
      <c r="B2007" t="str">
        <f>"51.1403"</f>
        <v>51.1403</v>
      </c>
      <c r="C2007" t="s">
        <v>5384</v>
      </c>
      <c r="D2007" t="s">
        <v>5383</v>
      </c>
      <c r="E2007" t="s">
        <v>5382</v>
      </c>
    </row>
    <row r="2008" spans="1:6" x14ac:dyDescent="0.3">
      <c r="A2008" t="str">
        <f>"51"</f>
        <v>51</v>
      </c>
      <c r="B2008" t="str">
        <f>"51.1404"</f>
        <v>51.1404</v>
      </c>
      <c r="C2008" t="s">
        <v>5381</v>
      </c>
      <c r="D2008" t="s">
        <v>5380</v>
      </c>
    </row>
    <row r="2009" spans="1:6" x14ac:dyDescent="0.3">
      <c r="A2009" t="str">
        <f>"51"</f>
        <v>51</v>
      </c>
      <c r="B2009" t="str">
        <f>"51.1405"</f>
        <v>51.1405</v>
      </c>
      <c r="C2009" t="s">
        <v>5379</v>
      </c>
      <c r="D2009" t="s">
        <v>5378</v>
      </c>
      <c r="F2009" t="s">
        <v>5377</v>
      </c>
    </row>
    <row r="2010" spans="1:6" x14ac:dyDescent="0.3">
      <c r="A2010" t="str">
        <f>"51"</f>
        <v>51</v>
      </c>
      <c r="B2010" t="str">
        <f>"51.1499"</f>
        <v>51.1499</v>
      </c>
      <c r="C2010" t="s">
        <v>5376</v>
      </c>
      <c r="D2010" t="s">
        <v>5375</v>
      </c>
    </row>
    <row r="2011" spans="1:6" x14ac:dyDescent="0.3">
      <c r="A2011" t="str">
        <f>"51"</f>
        <v>51</v>
      </c>
      <c r="B2011" t="str">
        <f>"51.15"</f>
        <v>51.15</v>
      </c>
      <c r="C2011" t="s">
        <v>918</v>
      </c>
      <c r="D2011" t="s">
        <v>917</v>
      </c>
    </row>
    <row r="2012" spans="1:6" x14ac:dyDescent="0.3">
      <c r="A2012" t="str">
        <f>"51"</f>
        <v>51</v>
      </c>
      <c r="B2012" t="str">
        <f>"51.1501"</f>
        <v>51.1501</v>
      </c>
      <c r="C2012" t="s">
        <v>916</v>
      </c>
      <c r="D2012" t="s">
        <v>915</v>
      </c>
    </row>
    <row r="2013" spans="1:6" x14ac:dyDescent="0.3">
      <c r="A2013" t="str">
        <f>"51"</f>
        <v>51</v>
      </c>
      <c r="B2013" t="str">
        <f>"51.1502"</f>
        <v>51.1502</v>
      </c>
      <c r="C2013" t="s">
        <v>914</v>
      </c>
      <c r="D2013" t="s">
        <v>913</v>
      </c>
    </row>
    <row r="2014" spans="1:6" x14ac:dyDescent="0.3">
      <c r="A2014" t="str">
        <f>"51"</f>
        <v>51</v>
      </c>
      <c r="B2014" t="str">
        <f>"51.1503"</f>
        <v>51.1503</v>
      </c>
      <c r="C2014" t="s">
        <v>912</v>
      </c>
      <c r="D2014" t="s">
        <v>911</v>
      </c>
      <c r="E2014" t="s">
        <v>910</v>
      </c>
    </row>
    <row r="2015" spans="1:6" x14ac:dyDescent="0.3">
      <c r="A2015" t="str">
        <f>"51"</f>
        <v>51</v>
      </c>
      <c r="B2015" t="str">
        <f>"51.1504"</f>
        <v>51.1504</v>
      </c>
      <c r="C2015" t="s">
        <v>908</v>
      </c>
      <c r="D2015" t="s">
        <v>907</v>
      </c>
      <c r="F2015" t="s">
        <v>889</v>
      </c>
    </row>
    <row r="2016" spans="1:6" x14ac:dyDescent="0.3">
      <c r="A2016" t="str">
        <f>"51"</f>
        <v>51</v>
      </c>
      <c r="B2016" t="str">
        <f>"51.1505"</f>
        <v>51.1505</v>
      </c>
      <c r="C2016" t="s">
        <v>906</v>
      </c>
      <c r="D2016" t="s">
        <v>905</v>
      </c>
      <c r="E2016" t="s">
        <v>904</v>
      </c>
    </row>
    <row r="2017" spans="1:6" x14ac:dyDescent="0.3">
      <c r="A2017" t="str">
        <f>"51"</f>
        <v>51</v>
      </c>
      <c r="B2017" t="str">
        <f>"51.1506"</f>
        <v>51.1506</v>
      </c>
      <c r="C2017" t="s">
        <v>903</v>
      </c>
      <c r="D2017" t="s">
        <v>902</v>
      </c>
      <c r="E2017" t="s">
        <v>901</v>
      </c>
    </row>
    <row r="2018" spans="1:6" x14ac:dyDescent="0.3">
      <c r="A2018" t="str">
        <f>"51"</f>
        <v>51</v>
      </c>
      <c r="B2018" t="str">
        <f>"51.1507"</f>
        <v>51.1507</v>
      </c>
      <c r="C2018" t="s">
        <v>900</v>
      </c>
      <c r="D2018" t="s">
        <v>899</v>
      </c>
    </row>
    <row r="2019" spans="1:6" x14ac:dyDescent="0.3">
      <c r="A2019" t="str">
        <f>"51"</f>
        <v>51</v>
      </c>
      <c r="B2019" t="str">
        <f>"51.1508"</f>
        <v>51.1508</v>
      </c>
      <c r="C2019" t="s">
        <v>898</v>
      </c>
      <c r="D2019" t="s">
        <v>897</v>
      </c>
      <c r="E2019" t="s">
        <v>896</v>
      </c>
    </row>
    <row r="2020" spans="1:6" x14ac:dyDescent="0.3">
      <c r="A2020" t="str">
        <f>"51"</f>
        <v>51</v>
      </c>
      <c r="B2020" t="str">
        <f>"51.1509"</f>
        <v>51.1509</v>
      </c>
      <c r="C2020" t="s">
        <v>895</v>
      </c>
      <c r="D2020" t="s">
        <v>894</v>
      </c>
      <c r="E2020" t="s">
        <v>893</v>
      </c>
    </row>
    <row r="2021" spans="1:6" x14ac:dyDescent="0.3">
      <c r="A2021" t="str">
        <f>"51"</f>
        <v>51</v>
      </c>
      <c r="B2021" t="str">
        <f>"51.1510"</f>
        <v>51.1510</v>
      </c>
      <c r="C2021" t="s">
        <v>5374</v>
      </c>
      <c r="D2021" t="s">
        <v>5373</v>
      </c>
    </row>
    <row r="2022" spans="1:6" x14ac:dyDescent="0.3">
      <c r="A2022" t="str">
        <f>"51"</f>
        <v>51</v>
      </c>
      <c r="B2022" t="str">
        <f>"51.1511"</f>
        <v>51.1511</v>
      </c>
      <c r="C2022" t="s">
        <v>5372</v>
      </c>
      <c r="D2022" t="s">
        <v>5371</v>
      </c>
    </row>
    <row r="2023" spans="1:6" x14ac:dyDescent="0.3">
      <c r="A2023" t="str">
        <f>"51"</f>
        <v>51</v>
      </c>
      <c r="B2023" t="str">
        <f>"51.1512"</f>
        <v>51.1512</v>
      </c>
      <c r="C2023" t="s">
        <v>5370</v>
      </c>
      <c r="D2023" t="s">
        <v>5369</v>
      </c>
    </row>
    <row r="2024" spans="1:6" x14ac:dyDescent="0.3">
      <c r="A2024" t="str">
        <f>"51"</f>
        <v>51</v>
      </c>
      <c r="B2024" t="str">
        <f>"51.1513"</f>
        <v>51.1513</v>
      </c>
      <c r="C2024" t="s">
        <v>5368</v>
      </c>
      <c r="D2024" t="s">
        <v>5367</v>
      </c>
    </row>
    <row r="2025" spans="1:6" x14ac:dyDescent="0.3">
      <c r="A2025" t="str">
        <f>"51"</f>
        <v>51</v>
      </c>
      <c r="B2025" t="str">
        <f>"51.1580"</f>
        <v>51.1580</v>
      </c>
      <c r="C2025" t="s">
        <v>5243</v>
      </c>
      <c r="D2025" t="s">
        <v>5242</v>
      </c>
    </row>
    <row r="2026" spans="1:6" x14ac:dyDescent="0.3">
      <c r="A2026" t="str">
        <f>"51"</f>
        <v>51</v>
      </c>
      <c r="B2026" t="str">
        <f>"51.1599"</f>
        <v>51.1599</v>
      </c>
      <c r="C2026" t="s">
        <v>892</v>
      </c>
      <c r="D2026" t="s">
        <v>891</v>
      </c>
    </row>
    <row r="2027" spans="1:6" x14ac:dyDescent="0.3">
      <c r="A2027" t="str">
        <f>"51"</f>
        <v>51</v>
      </c>
      <c r="B2027" t="str">
        <f>"51.17"</f>
        <v>51.17</v>
      </c>
      <c r="C2027" t="s">
        <v>888</v>
      </c>
      <c r="D2027" t="s">
        <v>890</v>
      </c>
    </row>
    <row r="2028" spans="1:6" x14ac:dyDescent="0.3">
      <c r="A2028" t="str">
        <f>"51"</f>
        <v>51</v>
      </c>
      <c r="B2028" t="str">
        <f>"51.1701"</f>
        <v>51.1701</v>
      </c>
      <c r="C2028" t="s">
        <v>888</v>
      </c>
      <c r="D2028" t="s">
        <v>887</v>
      </c>
      <c r="F2028" t="s">
        <v>874</v>
      </c>
    </row>
    <row r="2029" spans="1:6" x14ac:dyDescent="0.3">
      <c r="A2029" t="str">
        <f>"51"</f>
        <v>51</v>
      </c>
      <c r="B2029" t="str">
        <f>"51.18"</f>
        <v>51.18</v>
      </c>
      <c r="C2029" t="s">
        <v>886</v>
      </c>
      <c r="D2029" t="s">
        <v>885</v>
      </c>
    </row>
    <row r="2030" spans="1:6" x14ac:dyDescent="0.3">
      <c r="A2030" t="str">
        <f>"51"</f>
        <v>51</v>
      </c>
      <c r="B2030" t="str">
        <f>"51.1801"</f>
        <v>51.1801</v>
      </c>
      <c r="C2030" t="s">
        <v>884</v>
      </c>
      <c r="D2030" t="s">
        <v>883</v>
      </c>
    </row>
    <row r="2031" spans="1:6" x14ac:dyDescent="0.3">
      <c r="A2031" t="str">
        <f>"51"</f>
        <v>51</v>
      </c>
      <c r="B2031" t="str">
        <f>"51.1802"</f>
        <v>51.1802</v>
      </c>
      <c r="C2031" t="s">
        <v>882</v>
      </c>
      <c r="D2031" t="s">
        <v>881</v>
      </c>
    </row>
    <row r="2032" spans="1:6" x14ac:dyDescent="0.3">
      <c r="A2032" t="str">
        <f>"51"</f>
        <v>51</v>
      </c>
      <c r="B2032" t="str">
        <f>"51.1803"</f>
        <v>51.1803</v>
      </c>
      <c r="C2032" t="s">
        <v>880</v>
      </c>
      <c r="D2032" t="s">
        <v>879</v>
      </c>
    </row>
    <row r="2033" spans="1:6" x14ac:dyDescent="0.3">
      <c r="A2033" t="str">
        <f>"51"</f>
        <v>51</v>
      </c>
      <c r="B2033" t="str">
        <f>"51.1804"</f>
        <v>51.1804</v>
      </c>
      <c r="C2033" t="s">
        <v>878</v>
      </c>
      <c r="D2033" t="s">
        <v>877</v>
      </c>
    </row>
    <row r="2034" spans="1:6" x14ac:dyDescent="0.3">
      <c r="A2034" t="str">
        <f>"51"</f>
        <v>51</v>
      </c>
      <c r="B2034" t="str">
        <f>"51.1899"</f>
        <v>51.1899</v>
      </c>
      <c r="C2034" t="s">
        <v>876</v>
      </c>
      <c r="D2034" t="s">
        <v>875</v>
      </c>
    </row>
    <row r="2035" spans="1:6" x14ac:dyDescent="0.3">
      <c r="A2035" t="str">
        <f>"51"</f>
        <v>51</v>
      </c>
      <c r="B2035" t="str">
        <f>"51.19"</f>
        <v>51.19</v>
      </c>
      <c r="C2035" t="s">
        <v>873</v>
      </c>
      <c r="D2035" t="s">
        <v>5366</v>
      </c>
    </row>
    <row r="2036" spans="1:6" x14ac:dyDescent="0.3">
      <c r="A2036" t="str">
        <f>"51"</f>
        <v>51</v>
      </c>
      <c r="B2036" t="str">
        <f>"51.1901"</f>
        <v>51.1901</v>
      </c>
      <c r="C2036" t="s">
        <v>873</v>
      </c>
      <c r="D2036" t="s">
        <v>5365</v>
      </c>
    </row>
    <row r="2037" spans="1:6" x14ac:dyDescent="0.3">
      <c r="A2037" t="str">
        <f>"51"</f>
        <v>51</v>
      </c>
      <c r="B2037" t="str">
        <f>"51.20"</f>
        <v>51.20</v>
      </c>
      <c r="C2037" t="s">
        <v>871</v>
      </c>
      <c r="D2037" t="s">
        <v>870</v>
      </c>
    </row>
    <row r="2038" spans="1:6" x14ac:dyDescent="0.3">
      <c r="A2038" t="str">
        <f>"51"</f>
        <v>51</v>
      </c>
      <c r="B2038" t="str">
        <f>"51.2001"</f>
        <v>51.2001</v>
      </c>
      <c r="C2038" t="s">
        <v>869</v>
      </c>
      <c r="D2038" t="s">
        <v>868</v>
      </c>
      <c r="F2038" t="s">
        <v>867</v>
      </c>
    </row>
    <row r="2039" spans="1:6" x14ac:dyDescent="0.3">
      <c r="A2039" t="str">
        <f>"51"</f>
        <v>51</v>
      </c>
      <c r="B2039" t="str">
        <f>"51.2002"</f>
        <v>51.2002</v>
      </c>
      <c r="C2039" t="s">
        <v>866</v>
      </c>
      <c r="D2039" t="s">
        <v>865</v>
      </c>
      <c r="F2039" t="s">
        <v>864</v>
      </c>
    </row>
    <row r="2040" spans="1:6" x14ac:dyDescent="0.3">
      <c r="A2040" t="str">
        <f>"51"</f>
        <v>51</v>
      </c>
      <c r="B2040" t="str">
        <f>"51.2003"</f>
        <v>51.2003</v>
      </c>
      <c r="C2040" t="s">
        <v>863</v>
      </c>
      <c r="D2040" t="s">
        <v>862</v>
      </c>
      <c r="E2040" t="s">
        <v>841</v>
      </c>
      <c r="F2040" t="s">
        <v>861</v>
      </c>
    </row>
    <row r="2041" spans="1:6" x14ac:dyDescent="0.3">
      <c r="A2041" t="str">
        <f>"51"</f>
        <v>51</v>
      </c>
      <c r="B2041" t="str">
        <f>"51.2004"</f>
        <v>51.2004</v>
      </c>
      <c r="C2041" t="s">
        <v>860</v>
      </c>
      <c r="D2041" t="s">
        <v>859</v>
      </c>
      <c r="F2041" t="s">
        <v>858</v>
      </c>
    </row>
    <row r="2042" spans="1:6" x14ac:dyDescent="0.3">
      <c r="A2042" t="str">
        <f>"51"</f>
        <v>51</v>
      </c>
      <c r="B2042" t="str">
        <f>"51.2005"</f>
        <v>51.2005</v>
      </c>
      <c r="C2042" t="s">
        <v>857</v>
      </c>
      <c r="D2042" t="s">
        <v>856</v>
      </c>
      <c r="F2042" t="s">
        <v>855</v>
      </c>
    </row>
    <row r="2043" spans="1:6" x14ac:dyDescent="0.3">
      <c r="A2043" t="str">
        <f>"51"</f>
        <v>51</v>
      </c>
      <c r="B2043" t="str">
        <f>"51.2006"</f>
        <v>51.2006</v>
      </c>
      <c r="C2043" t="s">
        <v>854</v>
      </c>
      <c r="D2043" t="s">
        <v>853</v>
      </c>
      <c r="F2043" t="s">
        <v>852</v>
      </c>
    </row>
    <row r="2044" spans="1:6" x14ac:dyDescent="0.3">
      <c r="A2044" t="str">
        <f>"51"</f>
        <v>51</v>
      </c>
      <c r="B2044" t="str">
        <f>"51.2007"</f>
        <v>51.2007</v>
      </c>
      <c r="C2044" t="s">
        <v>851</v>
      </c>
      <c r="D2044" t="s">
        <v>850</v>
      </c>
      <c r="F2044" t="s">
        <v>849</v>
      </c>
    </row>
    <row r="2045" spans="1:6" x14ac:dyDescent="0.3">
      <c r="A2045" t="str">
        <f>"51"</f>
        <v>51</v>
      </c>
      <c r="B2045" t="str">
        <f>"51.2008"</f>
        <v>51.2008</v>
      </c>
      <c r="C2045" t="s">
        <v>848</v>
      </c>
      <c r="D2045" t="s">
        <v>847</v>
      </c>
      <c r="F2045" t="s">
        <v>846</v>
      </c>
    </row>
    <row r="2046" spans="1:6" x14ac:dyDescent="0.3">
      <c r="A2046" t="str">
        <f>"51"</f>
        <v>51</v>
      </c>
      <c r="B2046" t="str">
        <f>"51.2009"</f>
        <v>51.2009</v>
      </c>
      <c r="C2046" t="s">
        <v>845</v>
      </c>
      <c r="D2046" t="s">
        <v>844</v>
      </c>
      <c r="F2046" t="s">
        <v>840</v>
      </c>
    </row>
    <row r="2047" spans="1:6" x14ac:dyDescent="0.3">
      <c r="A2047" t="str">
        <f>"51"</f>
        <v>51</v>
      </c>
      <c r="B2047" t="str">
        <f>"51.2010"</f>
        <v>51.2010</v>
      </c>
      <c r="C2047" t="s">
        <v>843</v>
      </c>
      <c r="D2047" t="s">
        <v>842</v>
      </c>
      <c r="E2047" t="s">
        <v>841</v>
      </c>
    </row>
    <row r="2048" spans="1:6" x14ac:dyDescent="0.3">
      <c r="A2048" t="str">
        <f>"51"</f>
        <v>51</v>
      </c>
      <c r="B2048" t="str">
        <f>"51.2011"</f>
        <v>51.2011</v>
      </c>
      <c r="C2048" t="s">
        <v>839</v>
      </c>
      <c r="D2048" t="s">
        <v>838</v>
      </c>
      <c r="F2048" t="s">
        <v>835</v>
      </c>
    </row>
    <row r="2049" spans="1:6" x14ac:dyDescent="0.3">
      <c r="A2049" t="str">
        <f>"51"</f>
        <v>51</v>
      </c>
      <c r="B2049" t="str">
        <f>"51.2099"</f>
        <v>51.2099</v>
      </c>
      <c r="C2049" t="s">
        <v>837</v>
      </c>
      <c r="D2049" t="s">
        <v>836</v>
      </c>
    </row>
    <row r="2050" spans="1:6" x14ac:dyDescent="0.3">
      <c r="A2050" t="str">
        <f>"51"</f>
        <v>51</v>
      </c>
      <c r="B2050" t="str">
        <f>"51.21"</f>
        <v>51.21</v>
      </c>
      <c r="C2050" t="s">
        <v>834</v>
      </c>
      <c r="D2050" t="s">
        <v>5364</v>
      </c>
    </row>
    <row r="2051" spans="1:6" x14ac:dyDescent="0.3">
      <c r="A2051" t="str">
        <f>"51"</f>
        <v>51</v>
      </c>
      <c r="B2051" t="str">
        <f>"51.2101"</f>
        <v>51.2101</v>
      </c>
      <c r="C2051" t="s">
        <v>834</v>
      </c>
      <c r="D2051" t="s">
        <v>5363</v>
      </c>
    </row>
    <row r="2052" spans="1:6" x14ac:dyDescent="0.3">
      <c r="A2052" t="str">
        <f>"51"</f>
        <v>51</v>
      </c>
      <c r="B2052" t="str">
        <f>"51.22"</f>
        <v>51.22</v>
      </c>
      <c r="C2052" t="s">
        <v>832</v>
      </c>
      <c r="D2052" t="s">
        <v>831</v>
      </c>
    </row>
    <row r="2053" spans="1:6" x14ac:dyDescent="0.3">
      <c r="A2053" t="str">
        <f>"51"</f>
        <v>51</v>
      </c>
      <c r="B2053" t="str">
        <f>"51.2201"</f>
        <v>51.2201</v>
      </c>
      <c r="C2053" t="s">
        <v>829</v>
      </c>
      <c r="D2053" t="s">
        <v>828</v>
      </c>
      <c r="E2053" t="s">
        <v>827</v>
      </c>
      <c r="F2053" t="s">
        <v>824</v>
      </c>
    </row>
    <row r="2054" spans="1:6" x14ac:dyDescent="0.3">
      <c r="A2054" t="str">
        <f>"51"</f>
        <v>51</v>
      </c>
      <c r="B2054" t="str">
        <f>"51.2202"</f>
        <v>51.2202</v>
      </c>
      <c r="C2054" t="s">
        <v>826</v>
      </c>
      <c r="D2054" t="s">
        <v>825</v>
      </c>
    </row>
    <row r="2055" spans="1:6" x14ac:dyDescent="0.3">
      <c r="A2055" t="str">
        <f>"51"</f>
        <v>51</v>
      </c>
      <c r="B2055" t="str">
        <f>"51.2205"</f>
        <v>51.2205</v>
      </c>
      <c r="C2055" t="s">
        <v>823</v>
      </c>
      <c r="D2055" t="s">
        <v>822</v>
      </c>
      <c r="E2055" t="s">
        <v>821</v>
      </c>
      <c r="F2055" t="s">
        <v>820</v>
      </c>
    </row>
    <row r="2056" spans="1:6" x14ac:dyDescent="0.3">
      <c r="A2056" t="str">
        <f>"51"</f>
        <v>51</v>
      </c>
      <c r="B2056" t="str">
        <f>"51.2206"</f>
        <v>51.2206</v>
      </c>
      <c r="C2056" t="s">
        <v>819</v>
      </c>
      <c r="D2056" t="s">
        <v>818</v>
      </c>
      <c r="F2056" t="s">
        <v>811</v>
      </c>
    </row>
    <row r="2057" spans="1:6" x14ac:dyDescent="0.3">
      <c r="A2057" t="str">
        <f>"51"</f>
        <v>51</v>
      </c>
      <c r="B2057" t="str">
        <f>"51.2207"</f>
        <v>51.2207</v>
      </c>
      <c r="C2057" t="s">
        <v>817</v>
      </c>
      <c r="D2057" t="s">
        <v>816</v>
      </c>
    </row>
    <row r="2058" spans="1:6" x14ac:dyDescent="0.3">
      <c r="A2058" t="str">
        <f>"51"</f>
        <v>51</v>
      </c>
      <c r="B2058" t="str">
        <f>"51.2208"</f>
        <v>51.2208</v>
      </c>
      <c r="C2058" t="s">
        <v>815</v>
      </c>
      <c r="D2058" t="s">
        <v>814</v>
      </c>
    </row>
    <row r="2059" spans="1:6" x14ac:dyDescent="0.3">
      <c r="A2059" t="str">
        <f>"51"</f>
        <v>51</v>
      </c>
      <c r="B2059" t="str">
        <f>"51.2209"</f>
        <v>51.2209</v>
      </c>
      <c r="C2059" t="s">
        <v>813</v>
      </c>
      <c r="D2059" t="s">
        <v>812</v>
      </c>
    </row>
    <row r="2060" spans="1:6" x14ac:dyDescent="0.3">
      <c r="A2060" t="str">
        <f>"51"</f>
        <v>51</v>
      </c>
      <c r="B2060" t="str">
        <f>"51.2210"</f>
        <v>51.2210</v>
      </c>
      <c r="C2060" t="s">
        <v>810</v>
      </c>
      <c r="D2060" t="s">
        <v>809</v>
      </c>
      <c r="E2060" t="s">
        <v>5362</v>
      </c>
      <c r="F2060" t="s">
        <v>806</v>
      </c>
    </row>
    <row r="2061" spans="1:6" x14ac:dyDescent="0.3">
      <c r="A2061" t="str">
        <f>"51"</f>
        <v>51</v>
      </c>
      <c r="B2061" t="str">
        <f>"51.2211"</f>
        <v>51.2211</v>
      </c>
      <c r="C2061" t="s">
        <v>808</v>
      </c>
      <c r="D2061" t="s">
        <v>807</v>
      </c>
    </row>
    <row r="2062" spans="1:6" x14ac:dyDescent="0.3">
      <c r="A2062" t="str">
        <f>"51"</f>
        <v>51</v>
      </c>
      <c r="B2062" t="str">
        <f>"51.2212"</f>
        <v>51.2212</v>
      </c>
      <c r="C2062" t="s">
        <v>805</v>
      </c>
      <c r="D2062" t="s">
        <v>804</v>
      </c>
      <c r="F2062" t="s">
        <v>786</v>
      </c>
    </row>
    <row r="2063" spans="1:6" x14ac:dyDescent="0.3">
      <c r="A2063" t="str">
        <f>"51"</f>
        <v>51</v>
      </c>
      <c r="B2063" t="str">
        <f>"51.2213"</f>
        <v>51.2213</v>
      </c>
      <c r="C2063" t="s">
        <v>5361</v>
      </c>
      <c r="D2063" t="s">
        <v>5360</v>
      </c>
    </row>
    <row r="2064" spans="1:6" x14ac:dyDescent="0.3">
      <c r="A2064" t="str">
        <f>"51"</f>
        <v>51</v>
      </c>
      <c r="B2064" t="str">
        <f>"51.2214"</f>
        <v>51.2214</v>
      </c>
      <c r="C2064" t="s">
        <v>5359</v>
      </c>
      <c r="D2064" t="s">
        <v>5358</v>
      </c>
    </row>
    <row r="2065" spans="1:6" x14ac:dyDescent="0.3">
      <c r="A2065" t="str">
        <f>"51"</f>
        <v>51</v>
      </c>
      <c r="B2065" t="str">
        <f>"51.2280"</f>
        <v>51.2280</v>
      </c>
      <c r="C2065" t="s">
        <v>5243</v>
      </c>
      <c r="D2065" t="s">
        <v>5242</v>
      </c>
    </row>
    <row r="2066" spans="1:6" x14ac:dyDescent="0.3">
      <c r="A2066" t="str">
        <f>"51"</f>
        <v>51</v>
      </c>
      <c r="B2066" t="str">
        <f>"51.2299"</f>
        <v>51.2299</v>
      </c>
      <c r="C2066" t="s">
        <v>803</v>
      </c>
      <c r="D2066" t="s">
        <v>802</v>
      </c>
      <c r="E2066" t="s">
        <v>801</v>
      </c>
    </row>
    <row r="2067" spans="1:6" x14ac:dyDescent="0.3">
      <c r="A2067" t="str">
        <f>"51"</f>
        <v>51</v>
      </c>
      <c r="B2067" t="str">
        <f>"51.23"</f>
        <v>51.23</v>
      </c>
      <c r="C2067" t="s">
        <v>800</v>
      </c>
      <c r="D2067" t="s">
        <v>5357</v>
      </c>
    </row>
    <row r="2068" spans="1:6" x14ac:dyDescent="0.3">
      <c r="A2068" t="str">
        <f>"51"</f>
        <v>51</v>
      </c>
      <c r="B2068" t="str">
        <f>"51.2300"</f>
        <v>51.2300</v>
      </c>
      <c r="C2068" t="s">
        <v>5356</v>
      </c>
      <c r="D2068" t="s">
        <v>5355</v>
      </c>
    </row>
    <row r="2069" spans="1:6" x14ac:dyDescent="0.3">
      <c r="A2069" t="str">
        <f>"51"</f>
        <v>51</v>
      </c>
      <c r="B2069" t="str">
        <f>"51.2301"</f>
        <v>51.2301</v>
      </c>
      <c r="C2069" t="s">
        <v>799</v>
      </c>
      <c r="D2069" t="s">
        <v>798</v>
      </c>
    </row>
    <row r="2070" spans="1:6" x14ac:dyDescent="0.3">
      <c r="A2070" t="str">
        <f>"51"</f>
        <v>51</v>
      </c>
      <c r="B2070" t="str">
        <f>"51.2302"</f>
        <v>51.2302</v>
      </c>
      <c r="C2070" t="s">
        <v>797</v>
      </c>
      <c r="D2070" t="s">
        <v>796</v>
      </c>
      <c r="E2070" t="s">
        <v>795</v>
      </c>
    </row>
    <row r="2071" spans="1:6" x14ac:dyDescent="0.3">
      <c r="A2071" t="str">
        <f>"51"</f>
        <v>51</v>
      </c>
      <c r="B2071" t="str">
        <f>"51.2305"</f>
        <v>51.2305</v>
      </c>
      <c r="C2071" t="s">
        <v>794</v>
      </c>
      <c r="D2071" t="s">
        <v>5354</v>
      </c>
    </row>
    <row r="2072" spans="1:6" x14ac:dyDescent="0.3">
      <c r="A2072" t="str">
        <f>"51"</f>
        <v>51</v>
      </c>
      <c r="B2072" t="str">
        <f>"51.2306"</f>
        <v>51.2306</v>
      </c>
      <c r="C2072" t="s">
        <v>793</v>
      </c>
      <c r="D2072" t="s">
        <v>792</v>
      </c>
    </row>
    <row r="2073" spans="1:6" x14ac:dyDescent="0.3">
      <c r="A2073" t="str">
        <f>"51"</f>
        <v>51</v>
      </c>
      <c r="B2073" t="str">
        <f>"51.2307"</f>
        <v>51.2307</v>
      </c>
      <c r="C2073" t="s">
        <v>791</v>
      </c>
      <c r="D2073" t="s">
        <v>790</v>
      </c>
    </row>
    <row r="2074" spans="1:6" x14ac:dyDescent="0.3">
      <c r="A2074" t="str">
        <f>"51"</f>
        <v>51</v>
      </c>
      <c r="B2074" t="str">
        <f>"51.2308"</f>
        <v>51.2308</v>
      </c>
      <c r="C2074" t="s">
        <v>789</v>
      </c>
      <c r="D2074" t="s">
        <v>5353</v>
      </c>
      <c r="F2074" t="s">
        <v>5352</v>
      </c>
    </row>
    <row r="2075" spans="1:6" x14ac:dyDescent="0.3">
      <c r="A2075" t="str">
        <f>"51"</f>
        <v>51</v>
      </c>
      <c r="B2075" t="str">
        <f>"51.2309"</f>
        <v>51.2309</v>
      </c>
      <c r="C2075" t="s">
        <v>788</v>
      </c>
      <c r="D2075" t="s">
        <v>787</v>
      </c>
    </row>
    <row r="2076" spans="1:6" x14ac:dyDescent="0.3">
      <c r="A2076" t="str">
        <f>"51"</f>
        <v>51</v>
      </c>
      <c r="B2076" t="str">
        <f>"51.2310"</f>
        <v>51.2310</v>
      </c>
      <c r="C2076" t="s">
        <v>785</v>
      </c>
      <c r="D2076" t="s">
        <v>784</v>
      </c>
      <c r="F2076" t="s">
        <v>779</v>
      </c>
    </row>
    <row r="2077" spans="1:6" x14ac:dyDescent="0.3">
      <c r="A2077" t="str">
        <f>"51"</f>
        <v>51</v>
      </c>
      <c r="B2077" t="str">
        <f>"51.2311"</f>
        <v>51.2311</v>
      </c>
      <c r="C2077" t="s">
        <v>783</v>
      </c>
      <c r="D2077" t="s">
        <v>782</v>
      </c>
      <c r="E2077" t="s">
        <v>5351</v>
      </c>
    </row>
    <row r="2078" spans="1:6" x14ac:dyDescent="0.3">
      <c r="A2078" t="str">
        <f>"51"</f>
        <v>51</v>
      </c>
      <c r="B2078" t="str">
        <f>"51.2312"</f>
        <v>51.2312</v>
      </c>
      <c r="C2078" t="s">
        <v>781</v>
      </c>
      <c r="D2078" t="s">
        <v>780</v>
      </c>
    </row>
    <row r="2079" spans="1:6" x14ac:dyDescent="0.3">
      <c r="A2079" t="str">
        <f>"51"</f>
        <v>51</v>
      </c>
      <c r="B2079" t="str">
        <f>"51.2313"</f>
        <v>51.2313</v>
      </c>
      <c r="C2079" t="s">
        <v>778</v>
      </c>
      <c r="D2079" t="s">
        <v>777</v>
      </c>
      <c r="F2079" t="s">
        <v>772</v>
      </c>
    </row>
    <row r="2080" spans="1:6" x14ac:dyDescent="0.3">
      <c r="A2080" t="str">
        <f>"51"</f>
        <v>51</v>
      </c>
      <c r="B2080" t="str">
        <f>"51.2314"</f>
        <v>51.2314</v>
      </c>
      <c r="C2080" t="s">
        <v>776</v>
      </c>
      <c r="D2080" t="s">
        <v>775</v>
      </c>
    </row>
    <row r="2081" spans="1:5" x14ac:dyDescent="0.3">
      <c r="A2081" t="str">
        <f>"51"</f>
        <v>51</v>
      </c>
      <c r="B2081" t="str">
        <f>"51.2315"</f>
        <v>51.2315</v>
      </c>
      <c r="C2081" t="s">
        <v>5350</v>
      </c>
      <c r="D2081" t="s">
        <v>5349</v>
      </c>
      <c r="E2081" t="s">
        <v>5348</v>
      </c>
    </row>
    <row r="2082" spans="1:5" x14ac:dyDescent="0.3">
      <c r="A2082" t="str">
        <f>"51"</f>
        <v>51</v>
      </c>
      <c r="B2082" t="str">
        <f>"51.2316"</f>
        <v>51.2316</v>
      </c>
      <c r="C2082" t="s">
        <v>5347</v>
      </c>
      <c r="D2082" t="s">
        <v>5346</v>
      </c>
    </row>
    <row r="2083" spans="1:5" x14ac:dyDescent="0.3">
      <c r="A2083" t="str">
        <f>"51"</f>
        <v>51</v>
      </c>
      <c r="B2083" t="str">
        <f>"51.2317"</f>
        <v>51.2317</v>
      </c>
      <c r="C2083" t="s">
        <v>5345</v>
      </c>
      <c r="D2083" t="s">
        <v>5344</v>
      </c>
    </row>
    <row r="2084" spans="1:5" x14ac:dyDescent="0.3">
      <c r="A2084" t="str">
        <f>"51"</f>
        <v>51</v>
      </c>
      <c r="B2084" t="str">
        <f>"51.2399"</f>
        <v>51.2399</v>
      </c>
      <c r="C2084" t="s">
        <v>774</v>
      </c>
      <c r="D2084" t="s">
        <v>773</v>
      </c>
    </row>
    <row r="2085" spans="1:5" x14ac:dyDescent="0.3">
      <c r="A2085" t="str">
        <f>"51"</f>
        <v>51</v>
      </c>
      <c r="B2085" t="str">
        <f>"51.24"</f>
        <v>51.24</v>
      </c>
      <c r="C2085" t="s">
        <v>771</v>
      </c>
      <c r="D2085" t="s">
        <v>5343</v>
      </c>
    </row>
    <row r="2086" spans="1:5" x14ac:dyDescent="0.3">
      <c r="A2086" t="str">
        <f>"51"</f>
        <v>51</v>
      </c>
      <c r="B2086" t="str">
        <f>"51.2401"</f>
        <v>51.2401</v>
      </c>
      <c r="C2086" t="s">
        <v>771</v>
      </c>
      <c r="D2086" t="s">
        <v>5342</v>
      </c>
    </row>
    <row r="2087" spans="1:5" x14ac:dyDescent="0.3">
      <c r="A2087" t="str">
        <f>"51"</f>
        <v>51</v>
      </c>
      <c r="B2087" t="str">
        <f>"51.25"</f>
        <v>51.25</v>
      </c>
      <c r="C2087" t="s">
        <v>769</v>
      </c>
      <c r="D2087" t="s">
        <v>5341</v>
      </c>
    </row>
    <row r="2088" spans="1:5" x14ac:dyDescent="0.3">
      <c r="A2088" t="str">
        <f>"51"</f>
        <v>51</v>
      </c>
      <c r="B2088" t="str">
        <f>"51.2501"</f>
        <v>51.2501</v>
      </c>
      <c r="C2088" t="s">
        <v>767</v>
      </c>
      <c r="D2088" t="s">
        <v>5340</v>
      </c>
    </row>
    <row r="2089" spans="1:5" x14ac:dyDescent="0.3">
      <c r="A2089" t="str">
        <f>"51"</f>
        <v>51</v>
      </c>
      <c r="B2089" t="str">
        <f>"51.2502"</f>
        <v>51.2502</v>
      </c>
      <c r="C2089" t="s">
        <v>764</v>
      </c>
      <c r="D2089" t="s">
        <v>5339</v>
      </c>
    </row>
    <row r="2090" spans="1:5" x14ac:dyDescent="0.3">
      <c r="A2090" t="str">
        <f>"51"</f>
        <v>51</v>
      </c>
      <c r="B2090" t="str">
        <f>"51.2503"</f>
        <v>51.2503</v>
      </c>
      <c r="C2090" t="s">
        <v>761</v>
      </c>
      <c r="D2090" t="s">
        <v>5338</v>
      </c>
    </row>
    <row r="2091" spans="1:5" x14ac:dyDescent="0.3">
      <c r="A2091" t="str">
        <f>"51"</f>
        <v>51</v>
      </c>
      <c r="B2091" t="str">
        <f>"51.2504"</f>
        <v>51.2504</v>
      </c>
      <c r="C2091" t="s">
        <v>758</v>
      </c>
      <c r="D2091" t="s">
        <v>5337</v>
      </c>
    </row>
    <row r="2092" spans="1:5" x14ac:dyDescent="0.3">
      <c r="A2092" t="str">
        <f>"51"</f>
        <v>51</v>
      </c>
      <c r="B2092" t="str">
        <f>"51.2505"</f>
        <v>51.2505</v>
      </c>
      <c r="C2092" t="s">
        <v>755</v>
      </c>
      <c r="D2092" t="s">
        <v>5336</v>
      </c>
    </row>
    <row r="2093" spans="1:5" x14ac:dyDescent="0.3">
      <c r="A2093" t="str">
        <f>"51"</f>
        <v>51</v>
      </c>
      <c r="B2093" t="str">
        <f>"51.2506"</f>
        <v>51.2506</v>
      </c>
      <c r="C2093" t="s">
        <v>752</v>
      </c>
      <c r="D2093" t="s">
        <v>5335</v>
      </c>
    </row>
    <row r="2094" spans="1:5" x14ac:dyDescent="0.3">
      <c r="A2094" t="str">
        <f>"51"</f>
        <v>51</v>
      </c>
      <c r="B2094" t="str">
        <f>"51.2507"</f>
        <v>51.2507</v>
      </c>
      <c r="C2094" t="s">
        <v>750</v>
      </c>
      <c r="D2094" t="s">
        <v>5334</v>
      </c>
    </row>
    <row r="2095" spans="1:5" x14ac:dyDescent="0.3">
      <c r="A2095" t="str">
        <f>"51"</f>
        <v>51</v>
      </c>
      <c r="B2095" t="str">
        <f>"51.2508"</f>
        <v>51.2508</v>
      </c>
      <c r="C2095" t="s">
        <v>747</v>
      </c>
      <c r="D2095" t="s">
        <v>5333</v>
      </c>
    </row>
    <row r="2096" spans="1:5" x14ac:dyDescent="0.3">
      <c r="A2096" t="str">
        <f>"51"</f>
        <v>51</v>
      </c>
      <c r="B2096" t="str">
        <f>"51.2509"</f>
        <v>51.2509</v>
      </c>
      <c r="C2096" t="s">
        <v>744</v>
      </c>
      <c r="D2096" t="s">
        <v>5332</v>
      </c>
    </row>
    <row r="2097" spans="1:6" x14ac:dyDescent="0.3">
      <c r="A2097" t="str">
        <f>"51"</f>
        <v>51</v>
      </c>
      <c r="B2097" t="str">
        <f>"51.2510"</f>
        <v>51.2510</v>
      </c>
      <c r="C2097" t="s">
        <v>741</v>
      </c>
      <c r="D2097" t="s">
        <v>5331</v>
      </c>
    </row>
    <row r="2098" spans="1:6" x14ac:dyDescent="0.3">
      <c r="A2098" t="str">
        <f>"51"</f>
        <v>51</v>
      </c>
      <c r="B2098" t="str">
        <f>"51.2511"</f>
        <v>51.2511</v>
      </c>
      <c r="C2098" t="s">
        <v>738</v>
      </c>
      <c r="D2098" t="s">
        <v>5330</v>
      </c>
    </row>
    <row r="2099" spans="1:6" x14ac:dyDescent="0.3">
      <c r="A2099" t="str">
        <f>"51"</f>
        <v>51</v>
      </c>
      <c r="B2099" t="str">
        <f>"51.2599"</f>
        <v>51.2599</v>
      </c>
      <c r="C2099" t="s">
        <v>735</v>
      </c>
      <c r="D2099" t="s">
        <v>5329</v>
      </c>
    </row>
    <row r="2100" spans="1:6" x14ac:dyDescent="0.3">
      <c r="A2100" t="str">
        <f>"51"</f>
        <v>51</v>
      </c>
      <c r="B2100" t="str">
        <f>"51.26"</f>
        <v>51.26</v>
      </c>
      <c r="C2100" t="s">
        <v>733</v>
      </c>
      <c r="D2100" t="s">
        <v>732</v>
      </c>
    </row>
    <row r="2101" spans="1:6" x14ac:dyDescent="0.3">
      <c r="A2101" t="str">
        <f>"51"</f>
        <v>51</v>
      </c>
      <c r="B2101" t="str">
        <f>"51.2601"</f>
        <v>51.2601</v>
      </c>
      <c r="C2101" t="s">
        <v>731</v>
      </c>
      <c r="D2101" t="s">
        <v>730</v>
      </c>
    </row>
    <row r="2102" spans="1:6" x14ac:dyDescent="0.3">
      <c r="A2102" t="str">
        <f>"51"</f>
        <v>51</v>
      </c>
      <c r="B2102" t="str">
        <f>"51.2602"</f>
        <v>51.2602</v>
      </c>
      <c r="C2102" t="s">
        <v>729</v>
      </c>
      <c r="D2102" t="s">
        <v>728</v>
      </c>
    </row>
    <row r="2103" spans="1:6" x14ac:dyDescent="0.3">
      <c r="A2103" t="str">
        <f>"51"</f>
        <v>51</v>
      </c>
      <c r="B2103" t="str">
        <f>"51.2603"</f>
        <v>51.2603</v>
      </c>
      <c r="C2103" t="s">
        <v>727</v>
      </c>
      <c r="D2103" t="s">
        <v>726</v>
      </c>
    </row>
    <row r="2104" spans="1:6" x14ac:dyDescent="0.3">
      <c r="A2104" t="str">
        <f>"51"</f>
        <v>51</v>
      </c>
      <c r="B2104" t="str">
        <f>"51.2604"</f>
        <v>51.2604</v>
      </c>
      <c r="C2104" t="s">
        <v>725</v>
      </c>
      <c r="D2104" t="s">
        <v>5328</v>
      </c>
    </row>
    <row r="2105" spans="1:6" x14ac:dyDescent="0.3">
      <c r="A2105" t="str">
        <f>"51"</f>
        <v>51</v>
      </c>
      <c r="B2105" t="str">
        <f>"51.2605"</f>
        <v>51.2605</v>
      </c>
      <c r="C2105" t="s">
        <v>5327</v>
      </c>
      <c r="D2105" t="s">
        <v>5326</v>
      </c>
    </row>
    <row r="2106" spans="1:6" x14ac:dyDescent="0.3">
      <c r="A2106" t="str">
        <f>"51"</f>
        <v>51</v>
      </c>
      <c r="B2106" t="str">
        <f>"51.2699"</f>
        <v>51.2699</v>
      </c>
      <c r="C2106" t="s">
        <v>724</v>
      </c>
      <c r="D2106" t="s">
        <v>723</v>
      </c>
    </row>
    <row r="2107" spans="1:6" x14ac:dyDescent="0.3">
      <c r="A2107" t="str">
        <f>"51"</f>
        <v>51</v>
      </c>
      <c r="B2107" t="str">
        <f>"51.27"</f>
        <v>51.27</v>
      </c>
      <c r="C2107" t="s">
        <v>722</v>
      </c>
      <c r="D2107" t="s">
        <v>721</v>
      </c>
    </row>
    <row r="2108" spans="1:6" x14ac:dyDescent="0.3">
      <c r="A2108" t="str">
        <f>"51"</f>
        <v>51</v>
      </c>
      <c r="B2108" t="str">
        <f>"51.2703"</f>
        <v>51.2703</v>
      </c>
      <c r="C2108" t="s">
        <v>720</v>
      </c>
      <c r="D2108" t="s">
        <v>719</v>
      </c>
    </row>
    <row r="2109" spans="1:6" x14ac:dyDescent="0.3">
      <c r="A2109" t="str">
        <f>"51"</f>
        <v>51</v>
      </c>
      <c r="B2109" t="str">
        <f>"51.2706"</f>
        <v>51.2706</v>
      </c>
      <c r="C2109" t="s">
        <v>717</v>
      </c>
      <c r="D2109" t="s">
        <v>716</v>
      </c>
      <c r="E2109" t="s">
        <v>715</v>
      </c>
      <c r="F2109" t="s">
        <v>5325</v>
      </c>
    </row>
    <row r="2110" spans="1:6" x14ac:dyDescent="0.3">
      <c r="A2110" t="str">
        <f>"51"</f>
        <v>51</v>
      </c>
      <c r="B2110" t="str">
        <f>"51.2799"</f>
        <v>51.2799</v>
      </c>
      <c r="C2110" t="s">
        <v>714</v>
      </c>
      <c r="D2110" t="s">
        <v>713</v>
      </c>
    </row>
    <row r="2111" spans="1:6" x14ac:dyDescent="0.3">
      <c r="A2111" t="str">
        <f>"51"</f>
        <v>51</v>
      </c>
      <c r="B2111" t="str">
        <f>"51.31"</f>
        <v>51.31</v>
      </c>
      <c r="C2111" t="s">
        <v>712</v>
      </c>
      <c r="D2111" t="s">
        <v>711</v>
      </c>
    </row>
    <row r="2112" spans="1:6" x14ac:dyDescent="0.3">
      <c r="A2112" t="str">
        <f>"51"</f>
        <v>51</v>
      </c>
      <c r="B2112" t="str">
        <f>"51.3101"</f>
        <v>51.3101</v>
      </c>
      <c r="C2112" t="s">
        <v>710</v>
      </c>
      <c r="D2112" t="s">
        <v>709</v>
      </c>
      <c r="F2112" t="s">
        <v>705</v>
      </c>
    </row>
    <row r="2113" spans="1:6" x14ac:dyDescent="0.3">
      <c r="A2113" t="str">
        <f>"51"</f>
        <v>51</v>
      </c>
      <c r="B2113" t="str">
        <f>"51.3102"</f>
        <v>51.3102</v>
      </c>
      <c r="C2113" t="s">
        <v>708</v>
      </c>
      <c r="D2113" t="s">
        <v>707</v>
      </c>
      <c r="E2113" t="s">
        <v>706</v>
      </c>
    </row>
    <row r="2114" spans="1:6" x14ac:dyDescent="0.3">
      <c r="A2114" t="str">
        <f>"51"</f>
        <v>51</v>
      </c>
      <c r="B2114" t="str">
        <f>"51.3103"</f>
        <v>51.3103</v>
      </c>
      <c r="C2114" t="s">
        <v>704</v>
      </c>
      <c r="D2114" t="s">
        <v>703</v>
      </c>
      <c r="F2114" t="s">
        <v>692</v>
      </c>
    </row>
    <row r="2115" spans="1:6" x14ac:dyDescent="0.3">
      <c r="A2115" t="str">
        <f>"51"</f>
        <v>51</v>
      </c>
      <c r="B2115" t="str">
        <f>"51.3104"</f>
        <v>51.3104</v>
      </c>
      <c r="C2115" t="s">
        <v>702</v>
      </c>
      <c r="D2115" t="s">
        <v>701</v>
      </c>
    </row>
    <row r="2116" spans="1:6" x14ac:dyDescent="0.3">
      <c r="A2116" t="str">
        <f>"51"</f>
        <v>51</v>
      </c>
      <c r="B2116" t="str">
        <f>"51.3199"</f>
        <v>51.3199</v>
      </c>
      <c r="C2116" t="s">
        <v>700</v>
      </c>
      <c r="D2116" t="s">
        <v>699</v>
      </c>
    </row>
    <row r="2117" spans="1:6" x14ac:dyDescent="0.3">
      <c r="A2117" t="str">
        <f>"51"</f>
        <v>51</v>
      </c>
      <c r="B2117" t="str">
        <f>"51.32"</f>
        <v>51.32</v>
      </c>
      <c r="C2117" t="s">
        <v>5324</v>
      </c>
      <c r="D2117" t="s">
        <v>5323</v>
      </c>
    </row>
    <row r="2118" spans="1:6" x14ac:dyDescent="0.3">
      <c r="A2118" t="str">
        <f>"51"</f>
        <v>51</v>
      </c>
      <c r="B2118" t="str">
        <f>"51.3201"</f>
        <v>51.3201</v>
      </c>
      <c r="C2118" t="s">
        <v>698</v>
      </c>
      <c r="D2118" t="s">
        <v>5322</v>
      </c>
      <c r="E2118" t="s">
        <v>697</v>
      </c>
    </row>
    <row r="2119" spans="1:6" x14ac:dyDescent="0.3">
      <c r="A2119" t="str">
        <f>"51"</f>
        <v>51</v>
      </c>
      <c r="B2119" t="str">
        <f>"51.3202"</f>
        <v>51.3202</v>
      </c>
      <c r="C2119" t="s">
        <v>5321</v>
      </c>
      <c r="D2119" t="s">
        <v>5320</v>
      </c>
      <c r="E2119" t="s">
        <v>5319</v>
      </c>
      <c r="F2119" t="s">
        <v>5318</v>
      </c>
    </row>
    <row r="2120" spans="1:6" x14ac:dyDescent="0.3">
      <c r="A2120" t="str">
        <f>"51"</f>
        <v>51</v>
      </c>
      <c r="B2120" t="str">
        <f>"51.3203"</f>
        <v>51.3203</v>
      </c>
      <c r="C2120" t="s">
        <v>595</v>
      </c>
      <c r="D2120" t="s">
        <v>594</v>
      </c>
    </row>
    <row r="2121" spans="1:6" x14ac:dyDescent="0.3">
      <c r="A2121" t="str">
        <f>"51"</f>
        <v>51</v>
      </c>
      <c r="B2121" t="str">
        <f>"51.3204"</f>
        <v>51.3204</v>
      </c>
      <c r="C2121" t="s">
        <v>5317</v>
      </c>
      <c r="D2121" t="s">
        <v>5316</v>
      </c>
      <c r="F2121" t="s">
        <v>5315</v>
      </c>
    </row>
    <row r="2122" spans="1:6" x14ac:dyDescent="0.3">
      <c r="A2122" t="str">
        <f>"51"</f>
        <v>51</v>
      </c>
      <c r="B2122" t="str">
        <f>"51.3205"</f>
        <v>51.3205</v>
      </c>
      <c r="C2122" t="s">
        <v>5314</v>
      </c>
      <c r="D2122" t="s">
        <v>5313</v>
      </c>
      <c r="E2122" t="s">
        <v>5312</v>
      </c>
    </row>
    <row r="2123" spans="1:6" x14ac:dyDescent="0.3">
      <c r="A2123" t="str">
        <f>"51"</f>
        <v>51</v>
      </c>
      <c r="B2123" t="str">
        <f>"51.3206"</f>
        <v>51.3206</v>
      </c>
      <c r="C2123" t="s">
        <v>5311</v>
      </c>
      <c r="D2123" t="s">
        <v>5310</v>
      </c>
      <c r="F2123" t="s">
        <v>5309</v>
      </c>
    </row>
    <row r="2124" spans="1:6" x14ac:dyDescent="0.3">
      <c r="A2124" t="str">
        <f>"51"</f>
        <v>51</v>
      </c>
      <c r="B2124" t="str">
        <f>"51.3299"</f>
        <v>51.3299</v>
      </c>
      <c r="C2124" t="s">
        <v>5308</v>
      </c>
      <c r="D2124" t="s">
        <v>5307</v>
      </c>
      <c r="E2124" t="s">
        <v>5306</v>
      </c>
    </row>
    <row r="2125" spans="1:6" x14ac:dyDescent="0.3">
      <c r="A2125" t="str">
        <f>"51"</f>
        <v>51</v>
      </c>
      <c r="B2125" t="str">
        <f>"51.33"</f>
        <v>51.33</v>
      </c>
      <c r="C2125" t="s">
        <v>696</v>
      </c>
      <c r="D2125" t="s">
        <v>695</v>
      </c>
    </row>
    <row r="2126" spans="1:6" x14ac:dyDescent="0.3">
      <c r="A2126" t="str">
        <f>"51"</f>
        <v>51</v>
      </c>
      <c r="B2126" t="str">
        <f>"51.3300"</f>
        <v>51.3300</v>
      </c>
      <c r="C2126" t="s">
        <v>694</v>
      </c>
      <c r="D2126" t="s">
        <v>693</v>
      </c>
    </row>
    <row r="2127" spans="1:6" x14ac:dyDescent="0.3">
      <c r="A2127" t="str">
        <f>"51"</f>
        <v>51</v>
      </c>
      <c r="B2127" t="str">
        <f>"51.3301"</f>
        <v>51.3301</v>
      </c>
      <c r="C2127" t="s">
        <v>691</v>
      </c>
      <c r="D2127" t="s">
        <v>690</v>
      </c>
      <c r="F2127" t="s">
        <v>687</v>
      </c>
    </row>
    <row r="2128" spans="1:6" x14ac:dyDescent="0.3">
      <c r="A2128" t="str">
        <f>"51"</f>
        <v>51</v>
      </c>
      <c r="B2128" t="str">
        <f>"51.3302"</f>
        <v>51.3302</v>
      </c>
      <c r="C2128" t="s">
        <v>689</v>
      </c>
      <c r="D2128" t="s">
        <v>688</v>
      </c>
    </row>
    <row r="2129" spans="1:6" x14ac:dyDescent="0.3">
      <c r="A2129" t="str">
        <f>"51"</f>
        <v>51</v>
      </c>
      <c r="B2129" t="str">
        <f>"51.3303"</f>
        <v>51.3303</v>
      </c>
      <c r="C2129" t="s">
        <v>686</v>
      </c>
      <c r="D2129" t="s">
        <v>685</v>
      </c>
      <c r="F2129" t="s">
        <v>676</v>
      </c>
    </row>
    <row r="2130" spans="1:6" x14ac:dyDescent="0.3">
      <c r="A2130" t="str">
        <f>"51"</f>
        <v>51</v>
      </c>
      <c r="B2130" t="str">
        <f>"51.3304"</f>
        <v>51.3304</v>
      </c>
      <c r="C2130" t="s">
        <v>684</v>
      </c>
      <c r="D2130" t="s">
        <v>683</v>
      </c>
    </row>
    <row r="2131" spans="1:6" x14ac:dyDescent="0.3">
      <c r="A2131" t="str">
        <f>"51"</f>
        <v>51</v>
      </c>
      <c r="B2131" t="str">
        <f>"51.3305"</f>
        <v>51.3305</v>
      </c>
      <c r="C2131" t="s">
        <v>682</v>
      </c>
      <c r="D2131" t="s">
        <v>681</v>
      </c>
    </row>
    <row r="2132" spans="1:6" x14ac:dyDescent="0.3">
      <c r="A2132" t="str">
        <f>"51"</f>
        <v>51</v>
      </c>
      <c r="B2132" t="str">
        <f>"51.3306"</f>
        <v>51.3306</v>
      </c>
      <c r="C2132" t="s">
        <v>5305</v>
      </c>
      <c r="D2132" t="s">
        <v>5304</v>
      </c>
    </row>
    <row r="2133" spans="1:6" x14ac:dyDescent="0.3">
      <c r="A2133" t="str">
        <f>"51"</f>
        <v>51</v>
      </c>
      <c r="B2133" t="str">
        <f>"51.3399"</f>
        <v>51.3399</v>
      </c>
      <c r="C2133" t="s">
        <v>680</v>
      </c>
      <c r="D2133" t="s">
        <v>679</v>
      </c>
    </row>
    <row r="2134" spans="1:6" x14ac:dyDescent="0.3">
      <c r="A2134" t="str">
        <f>"51"</f>
        <v>51</v>
      </c>
      <c r="B2134" t="str">
        <f>"51.34"</f>
        <v>51.34</v>
      </c>
      <c r="C2134" t="s">
        <v>678</v>
      </c>
      <c r="D2134" t="s">
        <v>677</v>
      </c>
    </row>
    <row r="2135" spans="1:6" x14ac:dyDescent="0.3">
      <c r="A2135" t="str">
        <f>"51"</f>
        <v>51</v>
      </c>
      <c r="B2135" t="str">
        <f>"51.3401"</f>
        <v>51.3401</v>
      </c>
      <c r="C2135" t="s">
        <v>675</v>
      </c>
      <c r="D2135" t="s">
        <v>674</v>
      </c>
      <c r="F2135" t="s">
        <v>636</v>
      </c>
    </row>
    <row r="2136" spans="1:6" x14ac:dyDescent="0.3">
      <c r="A2136" t="str">
        <f>"51"</f>
        <v>51</v>
      </c>
      <c r="B2136" t="str">
        <f>"51.3499"</f>
        <v>51.3499</v>
      </c>
      <c r="C2136" t="s">
        <v>673</v>
      </c>
      <c r="D2136" t="s">
        <v>672</v>
      </c>
    </row>
    <row r="2137" spans="1:6" x14ac:dyDescent="0.3">
      <c r="A2137" t="str">
        <f>"51"</f>
        <v>51</v>
      </c>
      <c r="B2137" t="str">
        <f>"51.35"</f>
        <v>51.35</v>
      </c>
      <c r="C2137" t="s">
        <v>671</v>
      </c>
      <c r="D2137" t="s">
        <v>670</v>
      </c>
    </row>
    <row r="2138" spans="1:6" x14ac:dyDescent="0.3">
      <c r="A2138" t="str">
        <f>"51"</f>
        <v>51</v>
      </c>
      <c r="B2138" t="str">
        <f>"51.3501"</f>
        <v>51.3501</v>
      </c>
      <c r="C2138" t="s">
        <v>669</v>
      </c>
      <c r="D2138" t="s">
        <v>668</v>
      </c>
    </row>
    <row r="2139" spans="1:6" x14ac:dyDescent="0.3">
      <c r="A2139" t="str">
        <f>"51"</f>
        <v>51</v>
      </c>
      <c r="B2139" t="str">
        <f>"51.3502"</f>
        <v>51.3502</v>
      </c>
      <c r="C2139" t="s">
        <v>667</v>
      </c>
      <c r="D2139" t="s">
        <v>666</v>
      </c>
    </row>
    <row r="2140" spans="1:6" x14ac:dyDescent="0.3">
      <c r="A2140" t="str">
        <f>"51"</f>
        <v>51</v>
      </c>
      <c r="B2140" t="str">
        <f>"51.3503"</f>
        <v>51.3503</v>
      </c>
      <c r="C2140" t="s">
        <v>665</v>
      </c>
      <c r="D2140" t="s">
        <v>664</v>
      </c>
    </row>
    <row r="2141" spans="1:6" x14ac:dyDescent="0.3">
      <c r="A2141" t="str">
        <f>"51"</f>
        <v>51</v>
      </c>
      <c r="B2141" t="str">
        <f>"51.3599"</f>
        <v>51.3599</v>
      </c>
      <c r="C2141" t="s">
        <v>663</v>
      </c>
      <c r="D2141" t="s">
        <v>662</v>
      </c>
    </row>
    <row r="2142" spans="1:6" x14ac:dyDescent="0.3">
      <c r="A2142" t="str">
        <f>"51"</f>
        <v>51</v>
      </c>
      <c r="B2142" t="str">
        <f>"51.36"</f>
        <v>51.36</v>
      </c>
      <c r="C2142" t="s">
        <v>661</v>
      </c>
      <c r="D2142" t="s">
        <v>660</v>
      </c>
    </row>
    <row r="2143" spans="1:6" x14ac:dyDescent="0.3">
      <c r="A2143" t="str">
        <f>"51"</f>
        <v>51</v>
      </c>
      <c r="B2143" t="str">
        <f>"51.3601"</f>
        <v>51.3601</v>
      </c>
      <c r="C2143" t="s">
        <v>659</v>
      </c>
      <c r="D2143" t="s">
        <v>658</v>
      </c>
      <c r="E2143" t="s">
        <v>657</v>
      </c>
    </row>
    <row r="2144" spans="1:6" x14ac:dyDescent="0.3">
      <c r="A2144" t="str">
        <f>"51"</f>
        <v>51</v>
      </c>
      <c r="B2144" t="str">
        <f>"51.3602"</f>
        <v>51.3602</v>
      </c>
      <c r="C2144" t="s">
        <v>656</v>
      </c>
      <c r="D2144" t="s">
        <v>655</v>
      </c>
    </row>
    <row r="2145" spans="1:6" x14ac:dyDescent="0.3">
      <c r="A2145" t="str">
        <f>"51"</f>
        <v>51</v>
      </c>
      <c r="B2145" t="str">
        <f>"51.3603"</f>
        <v>51.3603</v>
      </c>
      <c r="C2145" t="s">
        <v>654</v>
      </c>
      <c r="D2145" t="s">
        <v>653</v>
      </c>
    </row>
    <row r="2146" spans="1:6" x14ac:dyDescent="0.3">
      <c r="A2146" t="str">
        <f>"51"</f>
        <v>51</v>
      </c>
      <c r="B2146" t="str">
        <f>"51.3699"</f>
        <v>51.3699</v>
      </c>
      <c r="C2146" t="s">
        <v>652</v>
      </c>
      <c r="D2146" t="s">
        <v>651</v>
      </c>
    </row>
    <row r="2147" spans="1:6" x14ac:dyDescent="0.3">
      <c r="A2147" t="str">
        <f>"51"</f>
        <v>51</v>
      </c>
      <c r="B2147" t="str">
        <f>"51.37"</f>
        <v>51.37</v>
      </c>
      <c r="C2147" t="s">
        <v>650</v>
      </c>
      <c r="D2147" t="s">
        <v>649</v>
      </c>
    </row>
    <row r="2148" spans="1:6" x14ac:dyDescent="0.3">
      <c r="A2148" t="str">
        <f>"51"</f>
        <v>51</v>
      </c>
      <c r="B2148" t="str">
        <f>"51.3701"</f>
        <v>51.3701</v>
      </c>
      <c r="C2148" t="s">
        <v>648</v>
      </c>
      <c r="D2148" t="s">
        <v>647</v>
      </c>
    </row>
    <row r="2149" spans="1:6" x14ac:dyDescent="0.3">
      <c r="A2149" t="str">
        <f>"51"</f>
        <v>51</v>
      </c>
      <c r="B2149" t="str">
        <f>"51.3702"</f>
        <v>51.3702</v>
      </c>
      <c r="C2149" t="s">
        <v>646</v>
      </c>
      <c r="D2149" t="s">
        <v>645</v>
      </c>
    </row>
    <row r="2150" spans="1:6" x14ac:dyDescent="0.3">
      <c r="A2150" t="str">
        <f>"51"</f>
        <v>51</v>
      </c>
      <c r="B2150" t="str">
        <f>"51.3703"</f>
        <v>51.3703</v>
      </c>
      <c r="C2150" t="s">
        <v>644</v>
      </c>
      <c r="D2150" t="s">
        <v>643</v>
      </c>
    </row>
    <row r="2151" spans="1:6" x14ac:dyDescent="0.3">
      <c r="A2151" t="str">
        <f>"51"</f>
        <v>51</v>
      </c>
      <c r="B2151" t="str">
        <f>"51.3704"</f>
        <v>51.3704</v>
      </c>
      <c r="C2151" t="s">
        <v>642</v>
      </c>
      <c r="D2151" t="s">
        <v>641</v>
      </c>
    </row>
    <row r="2152" spans="1:6" x14ac:dyDescent="0.3">
      <c r="A2152" t="str">
        <f>"51"</f>
        <v>51</v>
      </c>
      <c r="B2152" t="str">
        <f>"51.3799"</f>
        <v>51.3799</v>
      </c>
      <c r="C2152" t="s">
        <v>640</v>
      </c>
      <c r="D2152" t="s">
        <v>639</v>
      </c>
    </row>
    <row r="2153" spans="1:6" x14ac:dyDescent="0.3">
      <c r="A2153" t="str">
        <f>"51"</f>
        <v>51</v>
      </c>
      <c r="B2153" t="str">
        <f>"51.38"</f>
        <v>51.38</v>
      </c>
      <c r="C2153" t="s">
        <v>638</v>
      </c>
      <c r="D2153" t="s">
        <v>637</v>
      </c>
    </row>
    <row r="2154" spans="1:6" x14ac:dyDescent="0.3">
      <c r="A2154" t="str">
        <f>"51"</f>
        <v>51</v>
      </c>
      <c r="B2154" t="str">
        <f>"51.3801"</f>
        <v>51.3801</v>
      </c>
      <c r="C2154" t="s">
        <v>635</v>
      </c>
      <c r="D2154" t="s">
        <v>634</v>
      </c>
      <c r="F2154" t="s">
        <v>633</v>
      </c>
    </row>
    <row r="2155" spans="1:6" x14ac:dyDescent="0.3">
      <c r="A2155" t="str">
        <f>"51"</f>
        <v>51</v>
      </c>
      <c r="B2155" t="str">
        <f>"51.3802"</f>
        <v>51.3802</v>
      </c>
      <c r="C2155" t="s">
        <v>632</v>
      </c>
      <c r="D2155" t="s">
        <v>5303</v>
      </c>
      <c r="F2155" t="s">
        <v>631</v>
      </c>
    </row>
    <row r="2156" spans="1:6" x14ac:dyDescent="0.3">
      <c r="A2156" t="str">
        <f>"51"</f>
        <v>51</v>
      </c>
      <c r="B2156" t="str">
        <f>"51.3803"</f>
        <v>51.3803</v>
      </c>
      <c r="C2156" t="s">
        <v>630</v>
      </c>
      <c r="D2156" t="s">
        <v>629</v>
      </c>
      <c r="F2156" t="s">
        <v>626</v>
      </c>
    </row>
    <row r="2157" spans="1:6" x14ac:dyDescent="0.3">
      <c r="A2157" t="str">
        <f>"51"</f>
        <v>51</v>
      </c>
      <c r="B2157" t="str">
        <f>"51.3804"</f>
        <v>51.3804</v>
      </c>
      <c r="C2157" t="s">
        <v>628</v>
      </c>
      <c r="D2157" t="s">
        <v>627</v>
      </c>
    </row>
    <row r="2158" spans="1:6" x14ac:dyDescent="0.3">
      <c r="A2158" t="str">
        <f>"51"</f>
        <v>51</v>
      </c>
      <c r="B2158" t="str">
        <f>"51.3805"</f>
        <v>51.3805</v>
      </c>
      <c r="C2158" t="s">
        <v>625</v>
      </c>
      <c r="D2158" t="s">
        <v>624</v>
      </c>
      <c r="F2158" t="s">
        <v>623</v>
      </c>
    </row>
    <row r="2159" spans="1:6" x14ac:dyDescent="0.3">
      <c r="A2159" t="str">
        <f>"51"</f>
        <v>51</v>
      </c>
      <c r="B2159" t="str">
        <f>"51.3806"</f>
        <v>51.3806</v>
      </c>
      <c r="C2159" t="s">
        <v>622</v>
      </c>
      <c r="D2159" t="s">
        <v>621</v>
      </c>
      <c r="F2159" t="s">
        <v>618</v>
      </c>
    </row>
    <row r="2160" spans="1:6" x14ac:dyDescent="0.3">
      <c r="A2160" t="str">
        <f>"51"</f>
        <v>51</v>
      </c>
      <c r="B2160" t="str">
        <f>"51.3807"</f>
        <v>51.3807</v>
      </c>
      <c r="C2160" t="s">
        <v>620</v>
      </c>
      <c r="D2160" t="s">
        <v>619</v>
      </c>
    </row>
    <row r="2161" spans="1:6" x14ac:dyDescent="0.3">
      <c r="A2161" t="str">
        <f>"51"</f>
        <v>51</v>
      </c>
      <c r="B2161" t="str">
        <f>"51.3808"</f>
        <v>51.3808</v>
      </c>
      <c r="C2161" t="s">
        <v>617</v>
      </c>
      <c r="D2161" t="s">
        <v>616</v>
      </c>
      <c r="F2161" t="s">
        <v>615</v>
      </c>
    </row>
    <row r="2162" spans="1:6" x14ac:dyDescent="0.3">
      <c r="A2162" t="str">
        <f>"51"</f>
        <v>51</v>
      </c>
      <c r="B2162" t="str">
        <f>"51.3809"</f>
        <v>51.3809</v>
      </c>
      <c r="C2162" t="s">
        <v>614</v>
      </c>
      <c r="D2162" t="s">
        <v>613</v>
      </c>
      <c r="F2162" t="s">
        <v>612</v>
      </c>
    </row>
    <row r="2163" spans="1:6" x14ac:dyDescent="0.3">
      <c r="A2163" t="str">
        <f>"51"</f>
        <v>51</v>
      </c>
      <c r="B2163" t="str">
        <f>"51.3810"</f>
        <v>51.3810</v>
      </c>
      <c r="C2163" t="s">
        <v>611</v>
      </c>
      <c r="D2163" t="s">
        <v>610</v>
      </c>
      <c r="F2163" t="s">
        <v>603</v>
      </c>
    </row>
    <row r="2164" spans="1:6" x14ac:dyDescent="0.3">
      <c r="A2164" t="str">
        <f>"51"</f>
        <v>51</v>
      </c>
      <c r="B2164" t="str">
        <f>"51.3811"</f>
        <v>51.3811</v>
      </c>
      <c r="C2164" t="s">
        <v>609</v>
      </c>
      <c r="D2164" t="s">
        <v>608</v>
      </c>
    </row>
    <row r="2165" spans="1:6" x14ac:dyDescent="0.3">
      <c r="A2165" t="str">
        <f>"51"</f>
        <v>51</v>
      </c>
      <c r="B2165" t="str">
        <f>"51.3812"</f>
        <v>51.3812</v>
      </c>
      <c r="C2165" t="s">
        <v>607</v>
      </c>
      <c r="D2165" t="s">
        <v>606</v>
      </c>
    </row>
    <row r="2166" spans="1:6" x14ac:dyDescent="0.3">
      <c r="A2166" t="str">
        <f>"51"</f>
        <v>51</v>
      </c>
      <c r="B2166" t="str">
        <f>"51.3813"</f>
        <v>51.3813</v>
      </c>
      <c r="C2166" t="s">
        <v>605</v>
      </c>
      <c r="D2166" t="s">
        <v>604</v>
      </c>
    </row>
    <row r="2167" spans="1:6" x14ac:dyDescent="0.3">
      <c r="A2167" t="str">
        <f>"51"</f>
        <v>51</v>
      </c>
      <c r="B2167" t="str">
        <f>"51.3814"</f>
        <v>51.3814</v>
      </c>
      <c r="C2167" t="s">
        <v>602</v>
      </c>
      <c r="D2167" t="s">
        <v>601</v>
      </c>
      <c r="F2167" t="s">
        <v>598</v>
      </c>
    </row>
    <row r="2168" spans="1:6" x14ac:dyDescent="0.3">
      <c r="A2168" t="str">
        <f>"51"</f>
        <v>51</v>
      </c>
      <c r="B2168" t="str">
        <f>"51.3815"</f>
        <v>51.3815</v>
      </c>
      <c r="C2168" t="s">
        <v>600</v>
      </c>
      <c r="D2168" t="s">
        <v>599</v>
      </c>
    </row>
    <row r="2169" spans="1:6" x14ac:dyDescent="0.3">
      <c r="A2169" t="str">
        <f>"51"</f>
        <v>51</v>
      </c>
      <c r="B2169" t="str">
        <f>"51.3816"</f>
        <v>51.3816</v>
      </c>
      <c r="C2169" t="s">
        <v>597</v>
      </c>
      <c r="D2169" t="s">
        <v>596</v>
      </c>
      <c r="F2169" t="s">
        <v>593</v>
      </c>
    </row>
    <row r="2170" spans="1:6" x14ac:dyDescent="0.3">
      <c r="A2170" t="str">
        <f>"51"</f>
        <v>51</v>
      </c>
      <c r="B2170" t="str">
        <f>"51.3817"</f>
        <v>51.3817</v>
      </c>
      <c r="C2170" t="s">
        <v>595</v>
      </c>
      <c r="D2170" t="s">
        <v>5302</v>
      </c>
    </row>
    <row r="2171" spans="1:6" x14ac:dyDescent="0.3">
      <c r="A2171" t="str">
        <f>"51"</f>
        <v>51</v>
      </c>
      <c r="B2171" t="str">
        <f>"51.3818"</f>
        <v>51.3818</v>
      </c>
      <c r="C2171" t="s">
        <v>592</v>
      </c>
      <c r="D2171" t="s">
        <v>591</v>
      </c>
      <c r="F2171" t="s">
        <v>586</v>
      </c>
    </row>
    <row r="2172" spans="1:6" x14ac:dyDescent="0.3">
      <c r="A2172" t="str">
        <f>"51"</f>
        <v>51</v>
      </c>
      <c r="B2172" t="str">
        <f>"51.3819"</f>
        <v>51.3819</v>
      </c>
      <c r="C2172" t="s">
        <v>590</v>
      </c>
      <c r="D2172" t="s">
        <v>589</v>
      </c>
    </row>
    <row r="2173" spans="1:6" x14ac:dyDescent="0.3">
      <c r="A2173" t="str">
        <f>"51"</f>
        <v>51</v>
      </c>
      <c r="B2173" t="str">
        <f>"51.3820"</f>
        <v>51.3820</v>
      </c>
      <c r="C2173" t="s">
        <v>588</v>
      </c>
      <c r="D2173" t="s">
        <v>587</v>
      </c>
    </row>
    <row r="2174" spans="1:6" x14ac:dyDescent="0.3">
      <c r="A2174" t="str">
        <f>"51"</f>
        <v>51</v>
      </c>
      <c r="B2174" t="str">
        <f>"51.3821"</f>
        <v>51.3821</v>
      </c>
      <c r="C2174" t="s">
        <v>585</v>
      </c>
      <c r="D2174" t="s">
        <v>584</v>
      </c>
      <c r="F2174" t="s">
        <v>583</v>
      </c>
    </row>
    <row r="2175" spans="1:6" x14ac:dyDescent="0.3">
      <c r="A2175" t="str">
        <f>"51"</f>
        <v>51</v>
      </c>
      <c r="B2175" t="str">
        <f>"51.3822"</f>
        <v>51.3822</v>
      </c>
      <c r="C2175" t="s">
        <v>582</v>
      </c>
      <c r="D2175" t="s">
        <v>581</v>
      </c>
      <c r="F2175" t="s">
        <v>580</v>
      </c>
    </row>
    <row r="2176" spans="1:6" x14ac:dyDescent="0.3">
      <c r="A2176" t="str">
        <f>"51"</f>
        <v>51</v>
      </c>
      <c r="B2176" t="str">
        <f>"51.3823"</f>
        <v>51.3823</v>
      </c>
      <c r="C2176" t="s">
        <v>5243</v>
      </c>
      <c r="D2176" t="s">
        <v>5242</v>
      </c>
    </row>
    <row r="2177" spans="1:6" x14ac:dyDescent="0.3">
      <c r="A2177" t="str">
        <f>"51"</f>
        <v>51</v>
      </c>
      <c r="B2177" t="str">
        <f>"51.3824"</f>
        <v>51.3824</v>
      </c>
      <c r="C2177" t="s">
        <v>5301</v>
      </c>
      <c r="D2177" t="s">
        <v>5300</v>
      </c>
    </row>
    <row r="2178" spans="1:6" x14ac:dyDescent="0.3">
      <c r="A2178" t="str">
        <f>"51"</f>
        <v>51</v>
      </c>
      <c r="B2178" t="str">
        <f>"51.3899"</f>
        <v>51.3899</v>
      </c>
      <c r="C2178" t="s">
        <v>579</v>
      </c>
      <c r="D2178" t="s">
        <v>578</v>
      </c>
      <c r="F2178" t="s">
        <v>575</v>
      </c>
    </row>
    <row r="2179" spans="1:6" x14ac:dyDescent="0.3">
      <c r="A2179" t="str">
        <f>"51"</f>
        <v>51</v>
      </c>
      <c r="B2179" t="str">
        <f>"51.39"</f>
        <v>51.39</v>
      </c>
      <c r="C2179" t="s">
        <v>577</v>
      </c>
      <c r="D2179" t="s">
        <v>576</v>
      </c>
    </row>
    <row r="2180" spans="1:6" x14ac:dyDescent="0.3">
      <c r="A2180" t="str">
        <f>"51"</f>
        <v>51</v>
      </c>
      <c r="B2180" t="str">
        <f>"51.3901"</f>
        <v>51.3901</v>
      </c>
      <c r="C2180" t="s">
        <v>574</v>
      </c>
      <c r="D2180" t="s">
        <v>573</v>
      </c>
      <c r="F2180" t="s">
        <v>559</v>
      </c>
    </row>
    <row r="2181" spans="1:6" x14ac:dyDescent="0.3">
      <c r="A2181" t="str">
        <f>"51"</f>
        <v>51</v>
      </c>
      <c r="B2181" t="str">
        <f>"51.3902"</f>
        <v>51.3902</v>
      </c>
      <c r="C2181" t="s">
        <v>572</v>
      </c>
      <c r="D2181" t="s">
        <v>571</v>
      </c>
    </row>
    <row r="2182" spans="1:6" x14ac:dyDescent="0.3">
      <c r="A2182" t="str">
        <f>"51"</f>
        <v>51</v>
      </c>
      <c r="B2182" t="str">
        <f>"51.3999"</f>
        <v>51.3999</v>
      </c>
      <c r="C2182" t="s">
        <v>570</v>
      </c>
      <c r="D2182" t="s">
        <v>569</v>
      </c>
    </row>
    <row r="2183" spans="1:6" x14ac:dyDescent="0.3">
      <c r="A2183" t="str">
        <f>"51"</f>
        <v>51</v>
      </c>
      <c r="B2183" t="str">
        <f>"51.99"</f>
        <v>51.99</v>
      </c>
      <c r="C2183" t="s">
        <v>568</v>
      </c>
      <c r="D2183" t="s">
        <v>5299</v>
      </c>
    </row>
    <row r="2184" spans="1:6" x14ac:dyDescent="0.3">
      <c r="A2184" t="str">
        <f>"51"</f>
        <v>51</v>
      </c>
      <c r="B2184" t="str">
        <f>"51.9980"</f>
        <v>51.9980</v>
      </c>
      <c r="C2184" t="s">
        <v>5243</v>
      </c>
      <c r="D2184" t="s">
        <v>5242</v>
      </c>
    </row>
    <row r="2185" spans="1:6" x14ac:dyDescent="0.3">
      <c r="A2185" t="str">
        <f>"51"</f>
        <v>51</v>
      </c>
      <c r="B2185" t="str">
        <f>"51.9999"</f>
        <v>51.9999</v>
      </c>
      <c r="C2185" t="s">
        <v>568</v>
      </c>
      <c r="D2185" t="s">
        <v>567</v>
      </c>
    </row>
    <row r="2186" spans="1:6" x14ac:dyDescent="0.3">
      <c r="A2186" t="str">
        <f>"52"</f>
        <v>52</v>
      </c>
      <c r="B2186" t="str">
        <f>"52"</f>
        <v>52</v>
      </c>
      <c r="C2186" t="s">
        <v>566</v>
      </c>
      <c r="D2186" t="s">
        <v>565</v>
      </c>
    </row>
    <row r="2187" spans="1:6" x14ac:dyDescent="0.3">
      <c r="A2187" t="str">
        <f>"52"</f>
        <v>52</v>
      </c>
      <c r="B2187" t="str">
        <f>"52.01"</f>
        <v>52.01</v>
      </c>
      <c r="C2187" t="s">
        <v>563</v>
      </c>
      <c r="D2187" t="s">
        <v>564</v>
      </c>
    </row>
    <row r="2188" spans="1:6" x14ac:dyDescent="0.3">
      <c r="A2188" t="str">
        <f>"52"</f>
        <v>52</v>
      </c>
      <c r="B2188" t="str">
        <f>"52.0101"</f>
        <v>52.0101</v>
      </c>
      <c r="C2188" t="s">
        <v>563</v>
      </c>
      <c r="D2188" t="s">
        <v>562</v>
      </c>
    </row>
    <row r="2189" spans="1:6" x14ac:dyDescent="0.3">
      <c r="A2189" t="str">
        <f>"52"</f>
        <v>52</v>
      </c>
      <c r="B2189" t="str">
        <f>"52.02"</f>
        <v>52.02</v>
      </c>
      <c r="C2189" t="s">
        <v>561</v>
      </c>
      <c r="D2189" t="s">
        <v>560</v>
      </c>
    </row>
    <row r="2190" spans="1:6" x14ac:dyDescent="0.3">
      <c r="A2190" t="str">
        <f>"52"</f>
        <v>52</v>
      </c>
      <c r="B2190" t="str">
        <f>"52.0201"</f>
        <v>52.0201</v>
      </c>
      <c r="C2190" t="s">
        <v>558</v>
      </c>
      <c r="D2190" t="s">
        <v>557</v>
      </c>
      <c r="F2190" t="s">
        <v>556</v>
      </c>
    </row>
    <row r="2191" spans="1:6" x14ac:dyDescent="0.3">
      <c r="A2191" t="str">
        <f>"52"</f>
        <v>52</v>
      </c>
      <c r="B2191" t="str">
        <f>"52.0202"</f>
        <v>52.0202</v>
      </c>
      <c r="C2191" t="s">
        <v>555</v>
      </c>
      <c r="D2191" t="s">
        <v>554</v>
      </c>
      <c r="F2191" t="s">
        <v>553</v>
      </c>
    </row>
    <row r="2192" spans="1:6" x14ac:dyDescent="0.3">
      <c r="A2192" t="str">
        <f>"52"</f>
        <v>52</v>
      </c>
      <c r="B2192" t="str">
        <f>"52.0203"</f>
        <v>52.0203</v>
      </c>
      <c r="C2192" t="s">
        <v>552</v>
      </c>
      <c r="D2192" t="s">
        <v>551</v>
      </c>
      <c r="F2192" t="s">
        <v>547</v>
      </c>
    </row>
    <row r="2193" spans="1:6" x14ac:dyDescent="0.3">
      <c r="A2193" t="str">
        <f>"52"</f>
        <v>52</v>
      </c>
      <c r="B2193" t="str">
        <f>"52.0204"</f>
        <v>52.0204</v>
      </c>
      <c r="C2193" t="s">
        <v>550</v>
      </c>
      <c r="D2193" t="s">
        <v>549</v>
      </c>
      <c r="E2193" t="s">
        <v>548</v>
      </c>
    </row>
    <row r="2194" spans="1:6" x14ac:dyDescent="0.3">
      <c r="A2194" t="str">
        <f>"52"</f>
        <v>52</v>
      </c>
      <c r="B2194" t="str">
        <f>"52.0205"</f>
        <v>52.0205</v>
      </c>
      <c r="C2194" t="s">
        <v>546</v>
      </c>
      <c r="D2194" t="s">
        <v>545</v>
      </c>
      <c r="F2194" t="s">
        <v>538</v>
      </c>
    </row>
    <row r="2195" spans="1:6" x14ac:dyDescent="0.3">
      <c r="A2195" t="str">
        <f>"52"</f>
        <v>52</v>
      </c>
      <c r="B2195" t="str">
        <f>"52.0206"</f>
        <v>52.0206</v>
      </c>
      <c r="C2195" t="s">
        <v>544</v>
      </c>
      <c r="D2195" t="s">
        <v>543</v>
      </c>
      <c r="E2195" t="s">
        <v>5298</v>
      </c>
    </row>
    <row r="2196" spans="1:6" x14ac:dyDescent="0.3">
      <c r="A2196" t="str">
        <f>"52"</f>
        <v>52</v>
      </c>
      <c r="B2196" t="str">
        <f>"52.0207"</f>
        <v>52.0207</v>
      </c>
      <c r="C2196" t="s">
        <v>542</v>
      </c>
      <c r="D2196" t="s">
        <v>541</v>
      </c>
    </row>
    <row r="2197" spans="1:6" x14ac:dyDescent="0.3">
      <c r="A2197" t="str">
        <f>"52"</f>
        <v>52</v>
      </c>
      <c r="B2197" t="str">
        <f>"52.0208"</f>
        <v>52.0208</v>
      </c>
      <c r="C2197" t="s">
        <v>540</v>
      </c>
      <c r="D2197" t="s">
        <v>539</v>
      </c>
    </row>
    <row r="2198" spans="1:6" x14ac:dyDescent="0.3">
      <c r="A2198" t="str">
        <f>"52"</f>
        <v>52</v>
      </c>
      <c r="B2198" t="str">
        <f>"52.0209"</f>
        <v>52.0209</v>
      </c>
      <c r="C2198" t="s">
        <v>537</v>
      </c>
      <c r="D2198" t="s">
        <v>5297</v>
      </c>
      <c r="E2198" t="s">
        <v>5296</v>
      </c>
      <c r="F2198" t="s">
        <v>5295</v>
      </c>
    </row>
    <row r="2199" spans="1:6" x14ac:dyDescent="0.3">
      <c r="A2199" t="str">
        <f>"52"</f>
        <v>52</v>
      </c>
      <c r="B2199" t="str">
        <f>"52.0210"</f>
        <v>52.0210</v>
      </c>
      <c r="C2199" t="s">
        <v>536</v>
      </c>
      <c r="D2199" t="s">
        <v>535</v>
      </c>
    </row>
    <row r="2200" spans="1:6" x14ac:dyDescent="0.3">
      <c r="A2200" t="str">
        <f>"52"</f>
        <v>52</v>
      </c>
      <c r="B2200" t="str">
        <f>"52.0211"</f>
        <v>52.0211</v>
      </c>
      <c r="C2200" t="s">
        <v>534</v>
      </c>
      <c r="D2200" t="s">
        <v>533</v>
      </c>
      <c r="E2200" t="s">
        <v>532</v>
      </c>
    </row>
    <row r="2201" spans="1:6" x14ac:dyDescent="0.3">
      <c r="A2201" t="str">
        <f>"52"</f>
        <v>52</v>
      </c>
      <c r="B2201" t="str">
        <f>"52.0212"</f>
        <v>52.0212</v>
      </c>
      <c r="C2201" t="s">
        <v>531</v>
      </c>
      <c r="D2201" t="s">
        <v>530</v>
      </c>
    </row>
    <row r="2202" spans="1:6" x14ac:dyDescent="0.3">
      <c r="A2202" t="str">
        <f>"52"</f>
        <v>52</v>
      </c>
      <c r="B2202" t="str">
        <f>"52.0213"</f>
        <v>52.0213</v>
      </c>
      <c r="C2202" t="s">
        <v>529</v>
      </c>
      <c r="D2202" t="s">
        <v>528</v>
      </c>
      <c r="F2202" t="s">
        <v>5294</v>
      </c>
    </row>
    <row r="2203" spans="1:6" x14ac:dyDescent="0.3">
      <c r="A2203" t="str">
        <f>"52"</f>
        <v>52</v>
      </c>
      <c r="B2203" t="str">
        <f>"52.0214"</f>
        <v>52.0214</v>
      </c>
      <c r="C2203" t="s">
        <v>5293</v>
      </c>
      <c r="D2203" t="s">
        <v>5292</v>
      </c>
      <c r="E2203" t="s">
        <v>5291</v>
      </c>
    </row>
    <row r="2204" spans="1:6" x14ac:dyDescent="0.3">
      <c r="A2204" t="str">
        <f>"52"</f>
        <v>52</v>
      </c>
      <c r="B2204" t="str">
        <f>"52.0215"</f>
        <v>52.0215</v>
      </c>
      <c r="C2204" t="s">
        <v>5290</v>
      </c>
      <c r="D2204" t="s">
        <v>5289</v>
      </c>
    </row>
    <row r="2205" spans="1:6" x14ac:dyDescent="0.3">
      <c r="A2205" t="str">
        <f>"52"</f>
        <v>52</v>
      </c>
      <c r="B2205" t="str">
        <f>"52.0216"</f>
        <v>52.0216</v>
      </c>
      <c r="C2205" t="s">
        <v>5288</v>
      </c>
      <c r="D2205" t="s">
        <v>5287</v>
      </c>
    </row>
    <row r="2206" spans="1:6" x14ac:dyDescent="0.3">
      <c r="A2206" t="str">
        <f>"52"</f>
        <v>52</v>
      </c>
      <c r="B2206" t="str">
        <f>"52.0299"</f>
        <v>52.0299</v>
      </c>
      <c r="C2206" t="s">
        <v>527</v>
      </c>
      <c r="D2206" t="s">
        <v>526</v>
      </c>
      <c r="E2206" t="s">
        <v>525</v>
      </c>
    </row>
    <row r="2207" spans="1:6" x14ac:dyDescent="0.3">
      <c r="A2207" t="str">
        <f>"52"</f>
        <v>52</v>
      </c>
      <c r="B2207" t="str">
        <f>"52.03"</f>
        <v>52.03</v>
      </c>
      <c r="C2207" t="s">
        <v>524</v>
      </c>
      <c r="D2207" t="s">
        <v>523</v>
      </c>
    </row>
    <row r="2208" spans="1:6" x14ac:dyDescent="0.3">
      <c r="A2208" t="str">
        <f>"52"</f>
        <v>52</v>
      </c>
      <c r="B2208" t="str">
        <f>"52.0301"</f>
        <v>52.0301</v>
      </c>
      <c r="C2208" t="s">
        <v>522</v>
      </c>
      <c r="D2208" t="s">
        <v>521</v>
      </c>
    </row>
    <row r="2209" spans="1:6" x14ac:dyDescent="0.3">
      <c r="A2209" t="str">
        <f>"52"</f>
        <v>52</v>
      </c>
      <c r="B2209" t="str">
        <f>"52.0302"</f>
        <v>52.0302</v>
      </c>
      <c r="C2209" t="s">
        <v>520</v>
      </c>
      <c r="D2209" t="s">
        <v>519</v>
      </c>
    </row>
    <row r="2210" spans="1:6" x14ac:dyDescent="0.3">
      <c r="A2210" t="str">
        <f>"52"</f>
        <v>52</v>
      </c>
      <c r="B2210" t="str">
        <f>"52.0303"</f>
        <v>52.0303</v>
      </c>
      <c r="C2210" t="s">
        <v>518</v>
      </c>
      <c r="D2210" t="s">
        <v>517</v>
      </c>
    </row>
    <row r="2211" spans="1:6" x14ac:dyDescent="0.3">
      <c r="A2211" t="str">
        <f>"52"</f>
        <v>52</v>
      </c>
      <c r="B2211" t="str">
        <f>"52.0304"</f>
        <v>52.0304</v>
      </c>
      <c r="C2211" t="s">
        <v>516</v>
      </c>
      <c r="D2211" t="s">
        <v>515</v>
      </c>
      <c r="E2211" t="s">
        <v>514</v>
      </c>
    </row>
    <row r="2212" spans="1:6" x14ac:dyDescent="0.3">
      <c r="A2212" t="str">
        <f>"52"</f>
        <v>52</v>
      </c>
      <c r="B2212" t="str">
        <f>"52.0305"</f>
        <v>52.0305</v>
      </c>
      <c r="C2212" t="s">
        <v>513</v>
      </c>
      <c r="D2212" t="s">
        <v>512</v>
      </c>
      <c r="E2212" t="s">
        <v>511</v>
      </c>
    </row>
    <row r="2213" spans="1:6" x14ac:dyDescent="0.3">
      <c r="A2213" t="str">
        <f>"52"</f>
        <v>52</v>
      </c>
      <c r="B2213" t="str">
        <f>"52.0399"</f>
        <v>52.0399</v>
      </c>
      <c r="C2213" t="s">
        <v>510</v>
      </c>
      <c r="D2213" t="s">
        <v>509</v>
      </c>
      <c r="F2213" t="s">
        <v>457</v>
      </c>
    </row>
    <row r="2214" spans="1:6" x14ac:dyDescent="0.3">
      <c r="A2214" t="str">
        <f>"52"</f>
        <v>52</v>
      </c>
      <c r="B2214" t="str">
        <f>"52.04"</f>
        <v>52.04</v>
      </c>
      <c r="C2214" t="s">
        <v>508</v>
      </c>
      <c r="D2214" t="s">
        <v>507</v>
      </c>
    </row>
    <row r="2215" spans="1:6" x14ac:dyDescent="0.3">
      <c r="A2215" t="str">
        <f>"52"</f>
        <v>52</v>
      </c>
      <c r="B2215" t="str">
        <f>"52.0401"</f>
        <v>52.0401</v>
      </c>
      <c r="C2215" t="s">
        <v>506</v>
      </c>
      <c r="D2215" t="s">
        <v>505</v>
      </c>
      <c r="E2215" t="s">
        <v>504</v>
      </c>
    </row>
    <row r="2216" spans="1:6" x14ac:dyDescent="0.3">
      <c r="A2216" t="str">
        <f>"52"</f>
        <v>52</v>
      </c>
      <c r="B2216" t="str">
        <f>"52.0402"</f>
        <v>52.0402</v>
      </c>
      <c r="C2216" t="s">
        <v>503</v>
      </c>
      <c r="D2216" t="s">
        <v>502</v>
      </c>
      <c r="E2216" t="s">
        <v>501</v>
      </c>
    </row>
    <row r="2217" spans="1:6" x14ac:dyDescent="0.3">
      <c r="A2217" t="str">
        <f>"52"</f>
        <v>52</v>
      </c>
      <c r="B2217" t="str">
        <f>"52.0406"</f>
        <v>52.0406</v>
      </c>
      <c r="C2217" t="s">
        <v>500</v>
      </c>
      <c r="D2217" t="s">
        <v>499</v>
      </c>
      <c r="E2217" t="s">
        <v>5286</v>
      </c>
    </row>
    <row r="2218" spans="1:6" x14ac:dyDescent="0.3">
      <c r="A2218" t="str">
        <f>"52"</f>
        <v>52</v>
      </c>
      <c r="B2218" t="str">
        <f>"52.0407"</f>
        <v>52.0407</v>
      </c>
      <c r="C2218" t="s">
        <v>498</v>
      </c>
      <c r="D2218" t="s">
        <v>497</v>
      </c>
    </row>
    <row r="2219" spans="1:6" x14ac:dyDescent="0.3">
      <c r="A2219" t="str">
        <f>"52"</f>
        <v>52</v>
      </c>
      <c r="B2219" t="str">
        <f>"52.0408"</f>
        <v>52.0408</v>
      </c>
      <c r="C2219" t="s">
        <v>496</v>
      </c>
      <c r="D2219" t="s">
        <v>495</v>
      </c>
    </row>
    <row r="2220" spans="1:6" x14ac:dyDescent="0.3">
      <c r="A2220" t="str">
        <f>"52"</f>
        <v>52</v>
      </c>
      <c r="B2220" t="str">
        <f>"52.0409"</f>
        <v>52.0409</v>
      </c>
      <c r="C2220" t="s">
        <v>494</v>
      </c>
      <c r="D2220" t="s">
        <v>493</v>
      </c>
    </row>
    <row r="2221" spans="1:6" x14ac:dyDescent="0.3">
      <c r="A2221" t="str">
        <f>"52"</f>
        <v>52</v>
      </c>
      <c r="B2221" t="str">
        <f>"52.0410"</f>
        <v>52.0410</v>
      </c>
      <c r="C2221" t="s">
        <v>492</v>
      </c>
      <c r="D2221" t="s">
        <v>491</v>
      </c>
    </row>
    <row r="2222" spans="1:6" x14ac:dyDescent="0.3">
      <c r="A2222" t="str">
        <f>"52"</f>
        <v>52</v>
      </c>
      <c r="B2222" t="str">
        <f>"52.0411"</f>
        <v>52.0411</v>
      </c>
      <c r="C2222" t="s">
        <v>490</v>
      </c>
      <c r="D2222" t="s">
        <v>489</v>
      </c>
    </row>
    <row r="2223" spans="1:6" x14ac:dyDescent="0.3">
      <c r="A2223" t="str">
        <f>"52"</f>
        <v>52</v>
      </c>
      <c r="B2223" t="str">
        <f>"52.0499"</f>
        <v>52.0499</v>
      </c>
      <c r="C2223" t="s">
        <v>488</v>
      </c>
      <c r="D2223" t="s">
        <v>487</v>
      </c>
    </row>
    <row r="2224" spans="1:6" x14ac:dyDescent="0.3">
      <c r="A2224" t="str">
        <f>"52"</f>
        <v>52</v>
      </c>
      <c r="B2224" t="str">
        <f>"52.05"</f>
        <v>52.05</v>
      </c>
      <c r="C2224" t="s">
        <v>486</v>
      </c>
      <c r="D2224" t="s">
        <v>5285</v>
      </c>
    </row>
    <row r="2225" spans="1:5" x14ac:dyDescent="0.3">
      <c r="A2225" t="str">
        <f>"52"</f>
        <v>52</v>
      </c>
      <c r="B2225" t="str">
        <f>"52.0501"</f>
        <v>52.0501</v>
      </c>
      <c r="C2225" t="s">
        <v>5284</v>
      </c>
      <c r="D2225" t="s">
        <v>5283</v>
      </c>
    </row>
    <row r="2226" spans="1:5" x14ac:dyDescent="0.3">
      <c r="A2226" t="str">
        <f>"52"</f>
        <v>52</v>
      </c>
      <c r="B2226" t="str">
        <f>"52.0502"</f>
        <v>52.0502</v>
      </c>
      <c r="C2226" t="s">
        <v>5282</v>
      </c>
      <c r="D2226" t="s">
        <v>5281</v>
      </c>
    </row>
    <row r="2227" spans="1:5" x14ac:dyDescent="0.3">
      <c r="A2227" t="str">
        <f>"52"</f>
        <v>52</v>
      </c>
      <c r="B2227" t="str">
        <f>"52.0599"</f>
        <v>52.0599</v>
      </c>
      <c r="C2227" t="s">
        <v>5280</v>
      </c>
      <c r="D2227" t="s">
        <v>5279</v>
      </c>
    </row>
    <row r="2228" spans="1:5" x14ac:dyDescent="0.3">
      <c r="A2228" t="str">
        <f>"52"</f>
        <v>52</v>
      </c>
      <c r="B2228" t="str">
        <f>"52.06"</f>
        <v>52.06</v>
      </c>
      <c r="C2228" t="s">
        <v>484</v>
      </c>
      <c r="D2228" t="s">
        <v>485</v>
      </c>
    </row>
    <row r="2229" spans="1:5" x14ac:dyDescent="0.3">
      <c r="A2229" t="str">
        <f>"52"</f>
        <v>52</v>
      </c>
      <c r="B2229" t="str">
        <f>"52.0601"</f>
        <v>52.0601</v>
      </c>
      <c r="C2229" t="s">
        <v>484</v>
      </c>
      <c r="D2229" t="s">
        <v>483</v>
      </c>
    </row>
    <row r="2230" spans="1:5" x14ac:dyDescent="0.3">
      <c r="A2230" t="str">
        <f>"52"</f>
        <v>52</v>
      </c>
      <c r="B2230" t="str">
        <f>"52.07"</f>
        <v>52.07</v>
      </c>
      <c r="C2230" t="s">
        <v>482</v>
      </c>
      <c r="D2230" t="s">
        <v>481</v>
      </c>
    </row>
    <row r="2231" spans="1:5" x14ac:dyDescent="0.3">
      <c r="A2231" t="str">
        <f>"52"</f>
        <v>52</v>
      </c>
      <c r="B2231" t="str">
        <f>"52.0701"</f>
        <v>52.0701</v>
      </c>
      <c r="C2231" t="s">
        <v>480</v>
      </c>
      <c r="D2231" t="s">
        <v>479</v>
      </c>
    </row>
    <row r="2232" spans="1:5" x14ac:dyDescent="0.3">
      <c r="A2232" t="str">
        <f>"52"</f>
        <v>52</v>
      </c>
      <c r="B2232" t="str">
        <f>"52.0702"</f>
        <v>52.0702</v>
      </c>
      <c r="C2232" t="s">
        <v>478</v>
      </c>
      <c r="D2232" t="s">
        <v>477</v>
      </c>
    </row>
    <row r="2233" spans="1:5" x14ac:dyDescent="0.3">
      <c r="A2233" t="str">
        <f>"52"</f>
        <v>52</v>
      </c>
      <c r="B2233" t="str">
        <f>"52.0703"</f>
        <v>52.0703</v>
      </c>
      <c r="C2233" t="s">
        <v>476</v>
      </c>
      <c r="D2233" t="s">
        <v>475</v>
      </c>
    </row>
    <row r="2234" spans="1:5" x14ac:dyDescent="0.3">
      <c r="A2234" t="str">
        <f>"52"</f>
        <v>52</v>
      </c>
      <c r="B2234" t="str">
        <f>"52.0704"</f>
        <v>52.0704</v>
      </c>
      <c r="C2234" t="s">
        <v>5278</v>
      </c>
      <c r="D2234" t="s">
        <v>5277</v>
      </c>
      <c r="E2234" t="s">
        <v>5276</v>
      </c>
    </row>
    <row r="2235" spans="1:5" x14ac:dyDescent="0.3">
      <c r="A2235" t="str">
        <f>"52"</f>
        <v>52</v>
      </c>
      <c r="B2235" t="str">
        <f>"52.0799"</f>
        <v>52.0799</v>
      </c>
      <c r="C2235" t="s">
        <v>474</v>
      </c>
      <c r="D2235" t="s">
        <v>473</v>
      </c>
    </row>
    <row r="2236" spans="1:5" x14ac:dyDescent="0.3">
      <c r="A2236" t="str">
        <f>"52"</f>
        <v>52</v>
      </c>
      <c r="B2236" t="str">
        <f>"52.08"</f>
        <v>52.08</v>
      </c>
      <c r="C2236" t="s">
        <v>472</v>
      </c>
      <c r="D2236" t="s">
        <v>471</v>
      </c>
    </row>
    <row r="2237" spans="1:5" x14ac:dyDescent="0.3">
      <c r="A2237" t="str">
        <f>"52"</f>
        <v>52</v>
      </c>
      <c r="B2237" t="str">
        <f>"52.0801"</f>
        <v>52.0801</v>
      </c>
      <c r="C2237" t="s">
        <v>470</v>
      </c>
      <c r="D2237" t="s">
        <v>469</v>
      </c>
    </row>
    <row r="2238" spans="1:5" x14ac:dyDescent="0.3">
      <c r="A2238" t="str">
        <f>"52"</f>
        <v>52</v>
      </c>
      <c r="B2238" t="str">
        <f>"52.0803"</f>
        <v>52.0803</v>
      </c>
      <c r="C2238" t="s">
        <v>468</v>
      </c>
      <c r="D2238" t="s">
        <v>467</v>
      </c>
    </row>
    <row r="2239" spans="1:5" x14ac:dyDescent="0.3">
      <c r="A2239" t="str">
        <f>"52"</f>
        <v>52</v>
      </c>
      <c r="B2239" t="str">
        <f>"52.0804"</f>
        <v>52.0804</v>
      </c>
      <c r="C2239" t="s">
        <v>466</v>
      </c>
      <c r="D2239" t="s">
        <v>465</v>
      </c>
      <c r="E2239" t="s">
        <v>464</v>
      </c>
    </row>
    <row r="2240" spans="1:5" x14ac:dyDescent="0.3">
      <c r="A2240" t="str">
        <f>"52"</f>
        <v>52</v>
      </c>
      <c r="B2240" t="str">
        <f>"52.0806"</f>
        <v>52.0806</v>
      </c>
      <c r="C2240" t="s">
        <v>463</v>
      </c>
      <c r="D2240" t="s">
        <v>462</v>
      </c>
      <c r="E2240" t="s">
        <v>377</v>
      </c>
    </row>
    <row r="2241" spans="1:6" x14ac:dyDescent="0.3">
      <c r="A2241" t="str">
        <f>"52"</f>
        <v>52</v>
      </c>
      <c r="B2241" t="str">
        <f>"52.0807"</f>
        <v>52.0807</v>
      </c>
      <c r="C2241" t="s">
        <v>461</v>
      </c>
      <c r="D2241" t="s">
        <v>460</v>
      </c>
    </row>
    <row r="2242" spans="1:6" x14ac:dyDescent="0.3">
      <c r="A2242" t="str">
        <f>"52"</f>
        <v>52</v>
      </c>
      <c r="B2242" t="str">
        <f>"52.0808"</f>
        <v>52.0808</v>
      </c>
      <c r="C2242" t="s">
        <v>459</v>
      </c>
      <c r="D2242" t="s">
        <v>458</v>
      </c>
    </row>
    <row r="2243" spans="1:6" x14ac:dyDescent="0.3">
      <c r="A2243" t="str">
        <f>"52"</f>
        <v>52</v>
      </c>
      <c r="B2243" t="str">
        <f>"52.0809"</f>
        <v>52.0809</v>
      </c>
      <c r="C2243" t="s">
        <v>456</v>
      </c>
      <c r="D2243" t="s">
        <v>455</v>
      </c>
      <c r="F2243" t="s">
        <v>441</v>
      </c>
    </row>
    <row r="2244" spans="1:6" x14ac:dyDescent="0.3">
      <c r="A2244" t="str">
        <f>"52"</f>
        <v>52</v>
      </c>
      <c r="B2244" t="str">
        <f>"52.0810"</f>
        <v>52.0810</v>
      </c>
      <c r="C2244" t="s">
        <v>5275</v>
      </c>
      <c r="D2244" t="s">
        <v>5274</v>
      </c>
    </row>
    <row r="2245" spans="1:6" x14ac:dyDescent="0.3">
      <c r="A2245" t="str">
        <f>"52"</f>
        <v>52</v>
      </c>
      <c r="B2245" t="str">
        <f>"52.0899"</f>
        <v>52.0899</v>
      </c>
      <c r="C2245" t="s">
        <v>454</v>
      </c>
      <c r="D2245" t="s">
        <v>453</v>
      </c>
    </row>
    <row r="2246" spans="1:6" x14ac:dyDescent="0.3">
      <c r="A2246" t="str">
        <f>"52"</f>
        <v>52</v>
      </c>
      <c r="B2246" t="str">
        <f>"52.09"</f>
        <v>52.09</v>
      </c>
      <c r="C2246" t="s">
        <v>452</v>
      </c>
      <c r="D2246" t="s">
        <v>451</v>
      </c>
    </row>
    <row r="2247" spans="1:6" x14ac:dyDescent="0.3">
      <c r="A2247" t="str">
        <f>"52"</f>
        <v>52</v>
      </c>
      <c r="B2247" t="str">
        <f>"52.0901"</f>
        <v>52.0901</v>
      </c>
      <c r="C2247" t="s">
        <v>450</v>
      </c>
      <c r="D2247" t="s">
        <v>449</v>
      </c>
    </row>
    <row r="2248" spans="1:6" x14ac:dyDescent="0.3">
      <c r="A2248" t="str">
        <f>"52"</f>
        <v>52</v>
      </c>
      <c r="B2248" t="str">
        <f>"52.0903"</f>
        <v>52.0903</v>
      </c>
      <c r="C2248" t="s">
        <v>448</v>
      </c>
      <c r="D2248" t="s">
        <v>447</v>
      </c>
      <c r="E2248" t="s">
        <v>5273</v>
      </c>
    </row>
    <row r="2249" spans="1:6" x14ac:dyDescent="0.3">
      <c r="A2249" t="str">
        <f>"52"</f>
        <v>52</v>
      </c>
      <c r="B2249" t="str">
        <f>"52.0904"</f>
        <v>52.0904</v>
      </c>
      <c r="C2249" t="s">
        <v>446</v>
      </c>
      <c r="D2249" t="s">
        <v>445</v>
      </c>
    </row>
    <row r="2250" spans="1:6" x14ac:dyDescent="0.3">
      <c r="A2250" t="str">
        <f>"52"</f>
        <v>52</v>
      </c>
      <c r="B2250" t="str">
        <f>"52.0905"</f>
        <v>52.0905</v>
      </c>
      <c r="C2250" t="s">
        <v>444</v>
      </c>
      <c r="D2250" t="s">
        <v>443</v>
      </c>
      <c r="E2250" t="s">
        <v>442</v>
      </c>
    </row>
    <row r="2251" spans="1:6" x14ac:dyDescent="0.3">
      <c r="A2251" t="str">
        <f>"52"</f>
        <v>52</v>
      </c>
      <c r="B2251" t="str">
        <f>"52.0906"</f>
        <v>52.0906</v>
      </c>
      <c r="C2251" t="s">
        <v>440</v>
      </c>
      <c r="D2251" t="s">
        <v>439</v>
      </c>
      <c r="F2251" t="s">
        <v>5272</v>
      </c>
    </row>
    <row r="2252" spans="1:6" x14ac:dyDescent="0.3">
      <c r="A2252" t="str">
        <f>"52"</f>
        <v>52</v>
      </c>
      <c r="B2252" t="str">
        <f>"52.0907"</f>
        <v>52.0907</v>
      </c>
      <c r="C2252" t="s">
        <v>438</v>
      </c>
      <c r="D2252" t="s">
        <v>437</v>
      </c>
      <c r="E2252" t="s">
        <v>436</v>
      </c>
      <c r="F2252" t="s">
        <v>435</v>
      </c>
    </row>
    <row r="2253" spans="1:6" x14ac:dyDescent="0.3">
      <c r="A2253" t="str">
        <f>"52"</f>
        <v>52</v>
      </c>
      <c r="B2253" t="str">
        <f>"52.0908"</f>
        <v>52.0908</v>
      </c>
      <c r="C2253" t="s">
        <v>434</v>
      </c>
      <c r="D2253" t="s">
        <v>5271</v>
      </c>
      <c r="E2253" t="s">
        <v>5270</v>
      </c>
      <c r="F2253" t="s">
        <v>412</v>
      </c>
    </row>
    <row r="2254" spans="1:6" x14ac:dyDescent="0.3">
      <c r="A2254" t="str">
        <f>"52"</f>
        <v>52</v>
      </c>
      <c r="B2254" t="str">
        <f>"52.0909"</f>
        <v>52.0909</v>
      </c>
      <c r="C2254" t="s">
        <v>433</v>
      </c>
      <c r="D2254" t="s">
        <v>432</v>
      </c>
      <c r="E2254" t="s">
        <v>431</v>
      </c>
    </row>
    <row r="2255" spans="1:6" x14ac:dyDescent="0.3">
      <c r="A2255" t="str">
        <f>"52"</f>
        <v>52</v>
      </c>
      <c r="B2255" t="str">
        <f>"52.0910"</f>
        <v>52.0910</v>
      </c>
      <c r="C2255" t="s">
        <v>5269</v>
      </c>
      <c r="D2255" t="s">
        <v>5268</v>
      </c>
      <c r="E2255" t="s">
        <v>5267</v>
      </c>
    </row>
    <row r="2256" spans="1:6" x14ac:dyDescent="0.3">
      <c r="A2256" t="str">
        <f>"52"</f>
        <v>52</v>
      </c>
      <c r="B2256" t="str">
        <f>"52.0999"</f>
        <v>52.0999</v>
      </c>
      <c r="C2256" t="s">
        <v>430</v>
      </c>
      <c r="D2256" t="s">
        <v>429</v>
      </c>
    </row>
    <row r="2257" spans="1:6" x14ac:dyDescent="0.3">
      <c r="A2257" t="str">
        <f>"52"</f>
        <v>52</v>
      </c>
      <c r="B2257" t="str">
        <f>"52.10"</f>
        <v>52.10</v>
      </c>
      <c r="C2257" t="s">
        <v>428</v>
      </c>
      <c r="D2257" t="s">
        <v>427</v>
      </c>
    </row>
    <row r="2258" spans="1:6" x14ac:dyDescent="0.3">
      <c r="A2258" t="str">
        <f>"52"</f>
        <v>52</v>
      </c>
      <c r="B2258" t="str">
        <f>"52.1001"</f>
        <v>52.1001</v>
      </c>
      <c r="C2258" t="s">
        <v>426</v>
      </c>
      <c r="D2258" t="s">
        <v>425</v>
      </c>
    </row>
    <row r="2259" spans="1:6" x14ac:dyDescent="0.3">
      <c r="A2259" t="str">
        <f>"52"</f>
        <v>52</v>
      </c>
      <c r="B2259" t="str">
        <f>"52.1002"</f>
        <v>52.1002</v>
      </c>
      <c r="C2259" t="s">
        <v>424</v>
      </c>
      <c r="D2259" t="s">
        <v>423</v>
      </c>
    </row>
    <row r="2260" spans="1:6" x14ac:dyDescent="0.3">
      <c r="A2260" t="str">
        <f>"52"</f>
        <v>52</v>
      </c>
      <c r="B2260" t="str">
        <f>"52.1003"</f>
        <v>52.1003</v>
      </c>
      <c r="C2260" t="s">
        <v>422</v>
      </c>
      <c r="D2260" t="s">
        <v>421</v>
      </c>
      <c r="E2260" t="s">
        <v>5266</v>
      </c>
    </row>
    <row r="2261" spans="1:6" x14ac:dyDescent="0.3">
      <c r="A2261" t="str">
        <f>"52"</f>
        <v>52</v>
      </c>
      <c r="B2261" t="str">
        <f>"52.1004"</f>
        <v>52.1004</v>
      </c>
      <c r="C2261" t="s">
        <v>420</v>
      </c>
      <c r="D2261" t="s">
        <v>419</v>
      </c>
    </row>
    <row r="2262" spans="1:6" x14ac:dyDescent="0.3">
      <c r="A2262" t="str">
        <f>"52"</f>
        <v>52</v>
      </c>
      <c r="B2262" t="str">
        <f>"52.1005"</f>
        <v>52.1005</v>
      </c>
      <c r="C2262" t="s">
        <v>418</v>
      </c>
      <c r="D2262" t="s">
        <v>417</v>
      </c>
    </row>
    <row r="2263" spans="1:6" x14ac:dyDescent="0.3">
      <c r="A2263" t="str">
        <f>"52"</f>
        <v>52</v>
      </c>
      <c r="B2263" t="str">
        <f>"52.1006"</f>
        <v>52.1006</v>
      </c>
      <c r="C2263" t="s">
        <v>5265</v>
      </c>
      <c r="D2263" t="s">
        <v>5264</v>
      </c>
    </row>
    <row r="2264" spans="1:6" x14ac:dyDescent="0.3">
      <c r="A2264" t="str">
        <f>"52"</f>
        <v>52</v>
      </c>
      <c r="B2264" t="str">
        <f>"52.1099"</f>
        <v>52.1099</v>
      </c>
      <c r="C2264" t="s">
        <v>416</v>
      </c>
      <c r="D2264" t="s">
        <v>415</v>
      </c>
    </row>
    <row r="2265" spans="1:6" x14ac:dyDescent="0.3">
      <c r="A2265" t="str">
        <f>"52"</f>
        <v>52</v>
      </c>
      <c r="B2265" t="str">
        <f>"52.11"</f>
        <v>52.11</v>
      </c>
      <c r="C2265" t="s">
        <v>414</v>
      </c>
      <c r="D2265" t="s">
        <v>413</v>
      </c>
    </row>
    <row r="2266" spans="1:6" x14ac:dyDescent="0.3">
      <c r="A2266" t="str">
        <f>"52"</f>
        <v>52</v>
      </c>
      <c r="B2266" t="str">
        <f>"52.1101"</f>
        <v>52.1101</v>
      </c>
      <c r="C2266" t="s">
        <v>411</v>
      </c>
      <c r="D2266" t="s">
        <v>410</v>
      </c>
      <c r="E2266" t="s">
        <v>377</v>
      </c>
      <c r="F2266" t="s">
        <v>404</v>
      </c>
    </row>
    <row r="2267" spans="1:6" x14ac:dyDescent="0.3">
      <c r="A2267" t="str">
        <f>"52"</f>
        <v>52</v>
      </c>
      <c r="B2267" t="str">
        <f>"52.12"</f>
        <v>52.12</v>
      </c>
      <c r="C2267" t="s">
        <v>409</v>
      </c>
      <c r="D2267" t="s">
        <v>408</v>
      </c>
    </row>
    <row r="2268" spans="1:6" x14ac:dyDescent="0.3">
      <c r="A2268" t="str">
        <f>"52"</f>
        <v>52</v>
      </c>
      <c r="B2268" t="str">
        <f>"52.1201"</f>
        <v>52.1201</v>
      </c>
      <c r="C2268" t="s">
        <v>407</v>
      </c>
      <c r="D2268" t="s">
        <v>406</v>
      </c>
      <c r="E2268" t="s">
        <v>405</v>
      </c>
    </row>
    <row r="2269" spans="1:6" x14ac:dyDescent="0.3">
      <c r="A2269" t="str">
        <f>"52"</f>
        <v>52</v>
      </c>
      <c r="B2269" t="str">
        <f>"52.1206"</f>
        <v>52.1206</v>
      </c>
      <c r="C2269" t="s">
        <v>403</v>
      </c>
      <c r="D2269" t="s">
        <v>402</v>
      </c>
      <c r="F2269" t="s">
        <v>395</v>
      </c>
    </row>
    <row r="2270" spans="1:6" x14ac:dyDescent="0.3">
      <c r="A2270" t="str">
        <f>"52"</f>
        <v>52</v>
      </c>
      <c r="B2270" t="str">
        <f>"52.1207"</f>
        <v>52.1207</v>
      </c>
      <c r="C2270" t="s">
        <v>401</v>
      </c>
      <c r="D2270" t="s">
        <v>400</v>
      </c>
    </row>
    <row r="2271" spans="1:6" x14ac:dyDescent="0.3">
      <c r="A2271" t="str">
        <f>"52"</f>
        <v>52</v>
      </c>
      <c r="B2271" t="str">
        <f>"52.1299"</f>
        <v>52.1299</v>
      </c>
      <c r="C2271" t="s">
        <v>399</v>
      </c>
      <c r="D2271" t="s">
        <v>398</v>
      </c>
    </row>
    <row r="2272" spans="1:6" x14ac:dyDescent="0.3">
      <c r="A2272" t="str">
        <f>"52"</f>
        <v>52</v>
      </c>
      <c r="B2272" t="str">
        <f>"52.13"</f>
        <v>52.13</v>
      </c>
      <c r="C2272" t="s">
        <v>397</v>
      </c>
      <c r="D2272" t="s">
        <v>396</v>
      </c>
    </row>
    <row r="2273" spans="1:6" x14ac:dyDescent="0.3">
      <c r="A2273" t="str">
        <f>"52"</f>
        <v>52</v>
      </c>
      <c r="B2273" t="str">
        <f>"52.1301"</f>
        <v>52.1301</v>
      </c>
      <c r="C2273" t="s">
        <v>394</v>
      </c>
      <c r="D2273" t="s">
        <v>393</v>
      </c>
      <c r="F2273" t="s">
        <v>372</v>
      </c>
    </row>
    <row r="2274" spans="1:6" x14ac:dyDescent="0.3">
      <c r="A2274" t="str">
        <f>"52"</f>
        <v>52</v>
      </c>
      <c r="B2274" t="str">
        <f>"52.1302"</f>
        <v>52.1302</v>
      </c>
      <c r="C2274" t="s">
        <v>392</v>
      </c>
      <c r="D2274" t="s">
        <v>391</v>
      </c>
      <c r="E2274" t="s">
        <v>5263</v>
      </c>
    </row>
    <row r="2275" spans="1:6" x14ac:dyDescent="0.3">
      <c r="A2275" t="str">
        <f>"52"</f>
        <v>52</v>
      </c>
      <c r="B2275" t="str">
        <f>"52.1304"</f>
        <v>52.1304</v>
      </c>
      <c r="C2275" t="s">
        <v>389</v>
      </c>
      <c r="D2275" t="s">
        <v>388</v>
      </c>
    </row>
    <row r="2276" spans="1:6" x14ac:dyDescent="0.3">
      <c r="A2276" t="str">
        <f>"52"</f>
        <v>52</v>
      </c>
      <c r="B2276" t="str">
        <f>"52.1399"</f>
        <v>52.1399</v>
      </c>
      <c r="C2276" t="s">
        <v>387</v>
      </c>
      <c r="D2276" t="s">
        <v>386</v>
      </c>
    </row>
    <row r="2277" spans="1:6" x14ac:dyDescent="0.3">
      <c r="A2277" t="str">
        <f>"52"</f>
        <v>52</v>
      </c>
      <c r="B2277" t="str">
        <f>"52.14"</f>
        <v>52.14</v>
      </c>
      <c r="C2277" t="s">
        <v>385</v>
      </c>
      <c r="D2277" t="s">
        <v>384</v>
      </c>
    </row>
    <row r="2278" spans="1:6" x14ac:dyDescent="0.3">
      <c r="A2278" t="str">
        <f>"52"</f>
        <v>52</v>
      </c>
      <c r="B2278" t="str">
        <f>"52.1401"</f>
        <v>52.1401</v>
      </c>
      <c r="C2278" t="s">
        <v>383</v>
      </c>
      <c r="D2278" t="s">
        <v>382</v>
      </c>
      <c r="F2278" t="s">
        <v>5262</v>
      </c>
    </row>
    <row r="2279" spans="1:6" x14ac:dyDescent="0.3">
      <c r="A2279" t="str">
        <f>"52"</f>
        <v>52</v>
      </c>
      <c r="B2279" t="str">
        <f>"52.1402"</f>
        <v>52.1402</v>
      </c>
      <c r="C2279" t="s">
        <v>381</v>
      </c>
      <c r="D2279" t="s">
        <v>380</v>
      </c>
    </row>
    <row r="2280" spans="1:6" x14ac:dyDescent="0.3">
      <c r="A2280" t="str">
        <f>"52"</f>
        <v>52</v>
      </c>
      <c r="B2280" t="str">
        <f>"52.1403"</f>
        <v>52.1403</v>
      </c>
      <c r="C2280" t="s">
        <v>379</v>
      </c>
      <c r="D2280" t="s">
        <v>378</v>
      </c>
      <c r="E2280" t="s">
        <v>377</v>
      </c>
    </row>
    <row r="2281" spans="1:6" x14ac:dyDescent="0.3">
      <c r="A2281" t="str">
        <f>"52"</f>
        <v>52</v>
      </c>
      <c r="B2281" t="str">
        <f>"52.1404"</f>
        <v>52.1404</v>
      </c>
      <c r="C2281" t="s">
        <v>5261</v>
      </c>
      <c r="D2281" t="s">
        <v>5260</v>
      </c>
      <c r="F2281" t="s">
        <v>5259</v>
      </c>
    </row>
    <row r="2282" spans="1:6" x14ac:dyDescent="0.3">
      <c r="A2282" t="str">
        <f>"52"</f>
        <v>52</v>
      </c>
      <c r="B2282" t="str">
        <f>"52.1499"</f>
        <v>52.1499</v>
      </c>
      <c r="C2282" t="s">
        <v>376</v>
      </c>
      <c r="D2282" t="s">
        <v>375</v>
      </c>
      <c r="E2282" t="s">
        <v>374</v>
      </c>
    </row>
    <row r="2283" spans="1:6" x14ac:dyDescent="0.3">
      <c r="A2283" t="str">
        <f>"52"</f>
        <v>52</v>
      </c>
      <c r="B2283" t="str">
        <f>"52.15"</f>
        <v>52.15</v>
      </c>
      <c r="C2283" t="s">
        <v>371</v>
      </c>
      <c r="D2283" t="s">
        <v>373</v>
      </c>
    </row>
    <row r="2284" spans="1:6" x14ac:dyDescent="0.3">
      <c r="A2284" t="str">
        <f>"52"</f>
        <v>52</v>
      </c>
      <c r="B2284" t="str">
        <f>"52.1501"</f>
        <v>52.1501</v>
      </c>
      <c r="C2284" t="s">
        <v>371</v>
      </c>
      <c r="D2284" t="s">
        <v>370</v>
      </c>
      <c r="E2284" t="s">
        <v>369</v>
      </c>
      <c r="F2284" t="s">
        <v>327</v>
      </c>
    </row>
    <row r="2285" spans="1:6" x14ac:dyDescent="0.3">
      <c r="A2285" t="str">
        <f>"52"</f>
        <v>52</v>
      </c>
      <c r="B2285" t="str">
        <f>"52.16"</f>
        <v>52.16</v>
      </c>
      <c r="C2285" t="s">
        <v>367</v>
      </c>
      <c r="D2285" t="s">
        <v>368</v>
      </c>
    </row>
    <row r="2286" spans="1:6" x14ac:dyDescent="0.3">
      <c r="A2286" t="str">
        <f>"52"</f>
        <v>52</v>
      </c>
      <c r="B2286" t="str">
        <f>"52.1601"</f>
        <v>52.1601</v>
      </c>
      <c r="C2286" t="s">
        <v>367</v>
      </c>
      <c r="D2286" t="s">
        <v>366</v>
      </c>
    </row>
    <row r="2287" spans="1:6" x14ac:dyDescent="0.3">
      <c r="A2287" t="str">
        <f>"52"</f>
        <v>52</v>
      </c>
      <c r="B2287" t="str">
        <f>"52.17"</f>
        <v>52.17</v>
      </c>
      <c r="C2287" t="s">
        <v>364</v>
      </c>
      <c r="D2287" t="s">
        <v>365</v>
      </c>
    </row>
    <row r="2288" spans="1:6" x14ac:dyDescent="0.3">
      <c r="A2288" t="str">
        <f>"52"</f>
        <v>52</v>
      </c>
      <c r="B2288" t="str">
        <f>"52.1701"</f>
        <v>52.1701</v>
      </c>
      <c r="C2288" t="s">
        <v>364</v>
      </c>
      <c r="D2288" t="s">
        <v>363</v>
      </c>
    </row>
    <row r="2289" spans="1:5" x14ac:dyDescent="0.3">
      <c r="A2289" t="str">
        <f>"52"</f>
        <v>52</v>
      </c>
      <c r="B2289" t="str">
        <f>"52.18"</f>
        <v>52.18</v>
      </c>
      <c r="C2289" t="s">
        <v>362</v>
      </c>
      <c r="D2289" t="s">
        <v>361</v>
      </c>
    </row>
    <row r="2290" spans="1:5" x14ac:dyDescent="0.3">
      <c r="A2290" t="str">
        <f>"52"</f>
        <v>52</v>
      </c>
      <c r="B2290" t="str">
        <f>"52.1801"</f>
        <v>52.1801</v>
      </c>
      <c r="C2290" t="s">
        <v>360</v>
      </c>
      <c r="D2290" t="s">
        <v>359</v>
      </c>
    </row>
    <row r="2291" spans="1:5" x14ac:dyDescent="0.3">
      <c r="A2291" t="str">
        <f>"52"</f>
        <v>52</v>
      </c>
      <c r="B2291" t="str">
        <f>"52.1802"</f>
        <v>52.1802</v>
      </c>
      <c r="C2291" t="s">
        <v>358</v>
      </c>
      <c r="D2291" t="s">
        <v>357</v>
      </c>
    </row>
    <row r="2292" spans="1:5" x14ac:dyDescent="0.3">
      <c r="A2292" t="str">
        <f>"52"</f>
        <v>52</v>
      </c>
      <c r="B2292" t="str">
        <f>"52.1803"</f>
        <v>52.1803</v>
      </c>
      <c r="C2292" t="s">
        <v>356</v>
      </c>
      <c r="D2292" t="s">
        <v>355</v>
      </c>
    </row>
    <row r="2293" spans="1:5" x14ac:dyDescent="0.3">
      <c r="A2293" t="str">
        <f>"52"</f>
        <v>52</v>
      </c>
      <c r="B2293" t="str">
        <f>"52.1804"</f>
        <v>52.1804</v>
      </c>
      <c r="C2293" t="s">
        <v>354</v>
      </c>
      <c r="D2293" t="s">
        <v>353</v>
      </c>
    </row>
    <row r="2294" spans="1:5" x14ac:dyDescent="0.3">
      <c r="A2294" t="str">
        <f>"52"</f>
        <v>52</v>
      </c>
      <c r="B2294" t="str">
        <f>"52.1880"</f>
        <v>52.1880</v>
      </c>
      <c r="C2294" t="s">
        <v>5243</v>
      </c>
      <c r="D2294" t="s">
        <v>5242</v>
      </c>
    </row>
    <row r="2295" spans="1:5" x14ac:dyDescent="0.3">
      <c r="A2295" t="str">
        <f>"52"</f>
        <v>52</v>
      </c>
      <c r="B2295" t="str">
        <f>"52.1899"</f>
        <v>52.1899</v>
      </c>
      <c r="C2295" t="s">
        <v>352</v>
      </c>
      <c r="D2295" t="s">
        <v>351</v>
      </c>
    </row>
    <row r="2296" spans="1:5" x14ac:dyDescent="0.3">
      <c r="A2296" t="str">
        <f>"52"</f>
        <v>52</v>
      </c>
      <c r="B2296" t="str">
        <f>"52.19"</f>
        <v>52.19</v>
      </c>
      <c r="C2296" t="s">
        <v>350</v>
      </c>
      <c r="D2296" t="s">
        <v>349</v>
      </c>
    </row>
    <row r="2297" spans="1:5" x14ac:dyDescent="0.3">
      <c r="A2297" t="str">
        <f>"52"</f>
        <v>52</v>
      </c>
      <c r="B2297" t="str">
        <f>"52.1901"</f>
        <v>52.1901</v>
      </c>
      <c r="C2297" t="s">
        <v>348</v>
      </c>
      <c r="D2297" t="s">
        <v>347</v>
      </c>
    </row>
    <row r="2298" spans="1:5" x14ac:dyDescent="0.3">
      <c r="A2298" t="str">
        <f>"52"</f>
        <v>52</v>
      </c>
      <c r="B2298" t="str">
        <f>"52.1902"</f>
        <v>52.1902</v>
      </c>
      <c r="C2298" t="s">
        <v>346</v>
      </c>
      <c r="D2298" t="s">
        <v>345</v>
      </c>
      <c r="E2298" t="s">
        <v>344</v>
      </c>
    </row>
    <row r="2299" spans="1:5" x14ac:dyDescent="0.3">
      <c r="A2299" t="str">
        <f>"52"</f>
        <v>52</v>
      </c>
      <c r="B2299" t="str">
        <f>"52.1903"</f>
        <v>52.1903</v>
      </c>
      <c r="C2299" t="s">
        <v>343</v>
      </c>
      <c r="D2299" t="s">
        <v>342</v>
      </c>
    </row>
    <row r="2300" spans="1:5" x14ac:dyDescent="0.3">
      <c r="A2300" t="str">
        <f>"52"</f>
        <v>52</v>
      </c>
      <c r="B2300" t="str">
        <f>"52.1904"</f>
        <v>52.1904</v>
      </c>
      <c r="C2300" t="s">
        <v>341</v>
      </c>
      <c r="D2300" t="s">
        <v>340</v>
      </c>
    </row>
    <row r="2301" spans="1:5" x14ac:dyDescent="0.3">
      <c r="A2301" t="str">
        <f>"52"</f>
        <v>52</v>
      </c>
      <c r="B2301" t="str">
        <f>"52.1905"</f>
        <v>52.1905</v>
      </c>
      <c r="C2301" t="s">
        <v>339</v>
      </c>
      <c r="D2301" t="s">
        <v>338</v>
      </c>
    </row>
    <row r="2302" spans="1:5" x14ac:dyDescent="0.3">
      <c r="A2302" t="str">
        <f>"52"</f>
        <v>52</v>
      </c>
      <c r="B2302" t="str">
        <f>"52.1906"</f>
        <v>52.1906</v>
      </c>
      <c r="C2302" t="s">
        <v>337</v>
      </c>
      <c r="D2302" t="s">
        <v>336</v>
      </c>
    </row>
    <row r="2303" spans="1:5" x14ac:dyDescent="0.3">
      <c r="A2303" t="str">
        <f>"52"</f>
        <v>52</v>
      </c>
      <c r="B2303" t="str">
        <f>"52.1907"</f>
        <v>52.1907</v>
      </c>
      <c r="C2303" t="s">
        <v>335</v>
      </c>
      <c r="D2303" t="s">
        <v>334</v>
      </c>
    </row>
    <row r="2304" spans="1:5" x14ac:dyDescent="0.3">
      <c r="A2304" t="str">
        <f>"52"</f>
        <v>52</v>
      </c>
      <c r="B2304" t="str">
        <f>"52.1908"</f>
        <v>52.1908</v>
      </c>
      <c r="C2304" t="s">
        <v>333</v>
      </c>
      <c r="D2304" t="s">
        <v>332</v>
      </c>
    </row>
    <row r="2305" spans="1:6" x14ac:dyDescent="0.3">
      <c r="A2305" t="str">
        <f>"52"</f>
        <v>52</v>
      </c>
      <c r="B2305" t="str">
        <f>"52.1909"</f>
        <v>52.1909</v>
      </c>
      <c r="C2305" t="s">
        <v>331</v>
      </c>
      <c r="D2305" t="s">
        <v>330</v>
      </c>
    </row>
    <row r="2306" spans="1:6" x14ac:dyDescent="0.3">
      <c r="A2306" t="str">
        <f>"52"</f>
        <v>52</v>
      </c>
      <c r="B2306" t="str">
        <f>"52.1910"</f>
        <v>52.1910</v>
      </c>
      <c r="C2306" t="s">
        <v>329</v>
      </c>
      <c r="D2306" t="s">
        <v>328</v>
      </c>
    </row>
    <row r="2307" spans="1:6" x14ac:dyDescent="0.3">
      <c r="A2307" t="str">
        <f>"52"</f>
        <v>52</v>
      </c>
      <c r="B2307" t="str">
        <f>"52.1980"</f>
        <v>52.1980</v>
      </c>
      <c r="C2307" t="s">
        <v>5243</v>
      </c>
      <c r="D2307" t="s">
        <v>5242</v>
      </c>
    </row>
    <row r="2308" spans="1:6" x14ac:dyDescent="0.3">
      <c r="A2308" t="str">
        <f>"52"</f>
        <v>52</v>
      </c>
      <c r="B2308" t="str">
        <f>"52.1999"</f>
        <v>52.1999</v>
      </c>
      <c r="C2308" t="s">
        <v>326</v>
      </c>
      <c r="D2308" t="s">
        <v>325</v>
      </c>
      <c r="F2308" t="s">
        <v>279</v>
      </c>
    </row>
    <row r="2309" spans="1:6" x14ac:dyDescent="0.3">
      <c r="A2309" t="str">
        <f>"52"</f>
        <v>52</v>
      </c>
      <c r="B2309" t="str">
        <f>"52.20"</f>
        <v>52.20</v>
      </c>
      <c r="C2309" t="s">
        <v>324</v>
      </c>
      <c r="D2309" t="s">
        <v>5258</v>
      </c>
    </row>
    <row r="2310" spans="1:6" x14ac:dyDescent="0.3">
      <c r="A2310" t="str">
        <f>"52"</f>
        <v>52</v>
      </c>
      <c r="B2310" t="str">
        <f>"52.2001"</f>
        <v>52.2001</v>
      </c>
      <c r="C2310" t="s">
        <v>5257</v>
      </c>
      <c r="D2310" t="s">
        <v>5256</v>
      </c>
      <c r="E2310" t="s">
        <v>323</v>
      </c>
    </row>
    <row r="2311" spans="1:6" x14ac:dyDescent="0.3">
      <c r="A2311" t="str">
        <f>"52"</f>
        <v>52</v>
      </c>
      <c r="B2311" t="str">
        <f>"52.2002"</f>
        <v>52.2002</v>
      </c>
      <c r="C2311" t="s">
        <v>5255</v>
      </c>
      <c r="D2311" t="s">
        <v>5254</v>
      </c>
    </row>
    <row r="2312" spans="1:6" x14ac:dyDescent="0.3">
      <c r="A2312" t="str">
        <f>"52"</f>
        <v>52</v>
      </c>
      <c r="B2312" t="str">
        <f>"52.2099"</f>
        <v>52.2099</v>
      </c>
      <c r="C2312" t="s">
        <v>5253</v>
      </c>
      <c r="D2312" t="s">
        <v>5252</v>
      </c>
    </row>
    <row r="2313" spans="1:6" x14ac:dyDescent="0.3">
      <c r="A2313" t="str">
        <f>"52"</f>
        <v>52</v>
      </c>
      <c r="B2313" t="str">
        <f>"52.21"</f>
        <v>52.21</v>
      </c>
      <c r="C2313" t="s">
        <v>321</v>
      </c>
      <c r="D2313" t="s">
        <v>322</v>
      </c>
    </row>
    <row r="2314" spans="1:6" x14ac:dyDescent="0.3">
      <c r="A2314" t="str">
        <f>"52"</f>
        <v>52</v>
      </c>
      <c r="B2314" t="str">
        <f>"52.2101"</f>
        <v>52.2101</v>
      </c>
      <c r="C2314" t="s">
        <v>321</v>
      </c>
      <c r="D2314" t="s">
        <v>320</v>
      </c>
    </row>
    <row r="2315" spans="1:6" x14ac:dyDescent="0.3">
      <c r="A2315" t="str">
        <f>"52"</f>
        <v>52</v>
      </c>
      <c r="B2315" t="str">
        <f>"52.99"</f>
        <v>52.99</v>
      </c>
      <c r="C2315" t="s">
        <v>318</v>
      </c>
      <c r="D2315" t="s">
        <v>319</v>
      </c>
    </row>
    <row r="2316" spans="1:6" x14ac:dyDescent="0.3">
      <c r="A2316" t="str">
        <f>"52"</f>
        <v>52</v>
      </c>
      <c r="B2316" t="str">
        <f>"52.9999"</f>
        <v>52.9999</v>
      </c>
      <c r="C2316" t="s">
        <v>318</v>
      </c>
      <c r="D2316" t="s">
        <v>317</v>
      </c>
    </row>
    <row r="2317" spans="1:6" x14ac:dyDescent="0.3">
      <c r="A2317" t="str">
        <f>"53"</f>
        <v>53</v>
      </c>
      <c r="B2317" t="str">
        <f>"53"</f>
        <v>53</v>
      </c>
      <c r="C2317" t="s">
        <v>316</v>
      </c>
      <c r="D2317" t="s">
        <v>315</v>
      </c>
    </row>
    <row r="2318" spans="1:6" x14ac:dyDescent="0.3">
      <c r="A2318" t="str">
        <f>"53"</f>
        <v>53</v>
      </c>
      <c r="B2318" t="str">
        <f>"53.01"</f>
        <v>53.01</v>
      </c>
      <c r="C2318" t="s">
        <v>314</v>
      </c>
      <c r="D2318" t="s">
        <v>313</v>
      </c>
    </row>
    <row r="2319" spans="1:6" x14ac:dyDescent="0.3">
      <c r="A2319" t="str">
        <f>"53"</f>
        <v>53</v>
      </c>
      <c r="B2319" t="str">
        <f>"53.0101"</f>
        <v>53.0101</v>
      </c>
      <c r="C2319" t="s">
        <v>312</v>
      </c>
      <c r="D2319" t="s">
        <v>311</v>
      </c>
    </row>
    <row r="2320" spans="1:6" x14ac:dyDescent="0.3">
      <c r="A2320" t="str">
        <f>"53"</f>
        <v>53</v>
      </c>
      <c r="B2320" t="str">
        <f>"53.0102"</f>
        <v>53.0102</v>
      </c>
      <c r="C2320" t="s">
        <v>310</v>
      </c>
      <c r="D2320" t="s">
        <v>309</v>
      </c>
    </row>
    <row r="2321" spans="1:5" x14ac:dyDescent="0.3">
      <c r="A2321" t="str">
        <f>"53"</f>
        <v>53</v>
      </c>
      <c r="B2321" t="str">
        <f>"53.0103"</f>
        <v>53.0103</v>
      </c>
      <c r="C2321" t="s">
        <v>308</v>
      </c>
      <c r="D2321" t="s">
        <v>307</v>
      </c>
    </row>
    <row r="2322" spans="1:5" x14ac:dyDescent="0.3">
      <c r="A2322" t="str">
        <f>"53"</f>
        <v>53</v>
      </c>
      <c r="B2322" t="str">
        <f>"53.0104"</f>
        <v>53.0104</v>
      </c>
      <c r="C2322" t="s">
        <v>306</v>
      </c>
      <c r="D2322" t="s">
        <v>305</v>
      </c>
    </row>
    <row r="2323" spans="1:5" x14ac:dyDescent="0.3">
      <c r="A2323" t="str">
        <f>"53"</f>
        <v>53</v>
      </c>
      <c r="B2323" t="str">
        <f>"53.0105"</f>
        <v>53.0105</v>
      </c>
      <c r="C2323" t="s">
        <v>304</v>
      </c>
      <c r="D2323" t="s">
        <v>303</v>
      </c>
    </row>
    <row r="2324" spans="1:5" x14ac:dyDescent="0.3">
      <c r="A2324" t="str">
        <f>"53"</f>
        <v>53</v>
      </c>
      <c r="B2324" t="str">
        <f>"53.0199"</f>
        <v>53.0199</v>
      </c>
      <c r="C2324" t="s">
        <v>302</v>
      </c>
      <c r="D2324" t="s">
        <v>301</v>
      </c>
    </row>
    <row r="2325" spans="1:5" x14ac:dyDescent="0.3">
      <c r="A2325" t="str">
        <f>"53"</f>
        <v>53</v>
      </c>
      <c r="B2325" t="str">
        <f>"53.02"</f>
        <v>53.02</v>
      </c>
      <c r="C2325" t="s">
        <v>300</v>
      </c>
      <c r="D2325" t="s">
        <v>299</v>
      </c>
    </row>
    <row r="2326" spans="1:5" x14ac:dyDescent="0.3">
      <c r="A2326" t="str">
        <f>"53"</f>
        <v>53</v>
      </c>
      <c r="B2326" t="str">
        <f>"53.0201"</f>
        <v>53.0201</v>
      </c>
      <c r="C2326" t="s">
        <v>298</v>
      </c>
      <c r="D2326" t="s">
        <v>297</v>
      </c>
    </row>
    <row r="2327" spans="1:5" x14ac:dyDescent="0.3">
      <c r="A2327" t="str">
        <f>"53"</f>
        <v>53</v>
      </c>
      <c r="B2327" t="str">
        <f>"53.0202"</f>
        <v>53.0202</v>
      </c>
      <c r="C2327" t="s">
        <v>296</v>
      </c>
      <c r="D2327" t="s">
        <v>295</v>
      </c>
    </row>
    <row r="2328" spans="1:5" x14ac:dyDescent="0.3">
      <c r="A2328" t="str">
        <f>"53"</f>
        <v>53</v>
      </c>
      <c r="B2328" t="str">
        <f>"53.0203"</f>
        <v>53.0203</v>
      </c>
      <c r="C2328" t="s">
        <v>294</v>
      </c>
      <c r="D2328" t="s">
        <v>293</v>
      </c>
    </row>
    <row r="2329" spans="1:5" x14ac:dyDescent="0.3">
      <c r="A2329" t="str">
        <f>"53"</f>
        <v>53</v>
      </c>
      <c r="B2329" t="str">
        <f>"53.0299"</f>
        <v>53.0299</v>
      </c>
      <c r="C2329" t="s">
        <v>292</v>
      </c>
      <c r="D2329" t="s">
        <v>291</v>
      </c>
    </row>
    <row r="2330" spans="1:5" x14ac:dyDescent="0.3">
      <c r="A2330" t="str">
        <f>"54"</f>
        <v>54</v>
      </c>
      <c r="B2330" t="str">
        <f>"54"</f>
        <v>54</v>
      </c>
      <c r="C2330" t="s">
        <v>290</v>
      </c>
      <c r="D2330" t="s">
        <v>289</v>
      </c>
    </row>
    <row r="2331" spans="1:5" x14ac:dyDescent="0.3">
      <c r="A2331" t="str">
        <f>"54"</f>
        <v>54</v>
      </c>
      <c r="B2331" t="str">
        <f>"54.01"</f>
        <v>54.01</v>
      </c>
      <c r="C2331" t="s">
        <v>288</v>
      </c>
      <c r="D2331" t="s">
        <v>287</v>
      </c>
    </row>
    <row r="2332" spans="1:5" x14ac:dyDescent="0.3">
      <c r="A2332" t="str">
        <f>"54"</f>
        <v>54</v>
      </c>
      <c r="B2332" t="str">
        <f>"54.0101"</f>
        <v>54.0101</v>
      </c>
      <c r="C2332" t="s">
        <v>286</v>
      </c>
      <c r="D2332" t="s">
        <v>285</v>
      </c>
      <c r="E2332" t="s">
        <v>5250</v>
      </c>
    </row>
    <row r="2333" spans="1:5" x14ac:dyDescent="0.3">
      <c r="A2333" t="str">
        <f>"54"</f>
        <v>54</v>
      </c>
      <c r="B2333" t="str">
        <f>"54.0102"</f>
        <v>54.0102</v>
      </c>
      <c r="C2333" t="s">
        <v>284</v>
      </c>
      <c r="D2333" t="s">
        <v>283</v>
      </c>
    </row>
    <row r="2334" spans="1:5" x14ac:dyDescent="0.3">
      <c r="A2334" t="str">
        <f>"54"</f>
        <v>54</v>
      </c>
      <c r="B2334" t="str">
        <f>"54.0103"</f>
        <v>54.0103</v>
      </c>
      <c r="C2334" t="s">
        <v>282</v>
      </c>
      <c r="D2334" t="s">
        <v>281</v>
      </c>
      <c r="E2334" t="s">
        <v>280</v>
      </c>
    </row>
    <row r="2335" spans="1:5" x14ac:dyDescent="0.3">
      <c r="A2335" t="str">
        <f>"54"</f>
        <v>54</v>
      </c>
      <c r="B2335" t="str">
        <f>"54.0104"</f>
        <v>54.0104</v>
      </c>
      <c r="C2335" t="s">
        <v>278</v>
      </c>
      <c r="D2335" t="s">
        <v>277</v>
      </c>
      <c r="E2335" t="s">
        <v>5251</v>
      </c>
    </row>
    <row r="2336" spans="1:5" x14ac:dyDescent="0.3">
      <c r="A2336" t="str">
        <f>"54"</f>
        <v>54</v>
      </c>
      <c r="B2336" t="str">
        <f>"54.0105"</f>
        <v>54.0105</v>
      </c>
      <c r="C2336" t="s">
        <v>276</v>
      </c>
      <c r="D2336" t="s">
        <v>275</v>
      </c>
      <c r="E2336" t="s">
        <v>274</v>
      </c>
    </row>
    <row r="2337" spans="1:6" x14ac:dyDescent="0.3">
      <c r="A2337" t="str">
        <f>"54"</f>
        <v>54</v>
      </c>
      <c r="B2337" t="str">
        <f>"54.0106"</f>
        <v>54.0106</v>
      </c>
      <c r="C2337" t="s">
        <v>273</v>
      </c>
      <c r="D2337" t="s">
        <v>272</v>
      </c>
    </row>
    <row r="2338" spans="1:6" x14ac:dyDescent="0.3">
      <c r="A2338" t="str">
        <f>"54"</f>
        <v>54</v>
      </c>
      <c r="B2338" t="str">
        <f>"54.0107"</f>
        <v>54.0107</v>
      </c>
      <c r="C2338" t="s">
        <v>271</v>
      </c>
      <c r="D2338" t="s">
        <v>270</v>
      </c>
    </row>
    <row r="2339" spans="1:6" x14ac:dyDescent="0.3">
      <c r="A2339" t="str">
        <f>"54"</f>
        <v>54</v>
      </c>
      <c r="B2339" t="str">
        <f>"54.0108"</f>
        <v>54.0108</v>
      </c>
      <c r="C2339" t="s">
        <v>269</v>
      </c>
      <c r="D2339" t="s">
        <v>268</v>
      </c>
      <c r="F2339" t="s">
        <v>264</v>
      </c>
    </row>
    <row r="2340" spans="1:6" x14ac:dyDescent="0.3">
      <c r="A2340" t="str">
        <f>"54"</f>
        <v>54</v>
      </c>
      <c r="B2340" t="str">
        <f>"54.0199"</f>
        <v>54.0199</v>
      </c>
      <c r="C2340" t="s">
        <v>267</v>
      </c>
      <c r="D2340" t="s">
        <v>266</v>
      </c>
      <c r="E2340" t="s">
        <v>5250</v>
      </c>
    </row>
    <row r="2341" spans="1:6" x14ac:dyDescent="0.3">
      <c r="A2341" t="str">
        <f>"55"</f>
        <v>55</v>
      </c>
      <c r="B2341" t="str">
        <f>"55"</f>
        <v>55</v>
      </c>
      <c r="C2341" t="s">
        <v>5249</v>
      </c>
      <c r="D2341" t="s">
        <v>5248</v>
      </c>
    </row>
    <row r="2342" spans="1:6" x14ac:dyDescent="0.3">
      <c r="A2342" t="str">
        <f>"55"</f>
        <v>55</v>
      </c>
      <c r="B2342" t="str">
        <f>"55.01"</f>
        <v>55.01</v>
      </c>
      <c r="C2342" t="s">
        <v>5243</v>
      </c>
      <c r="D2342" t="s">
        <v>5247</v>
      </c>
    </row>
    <row r="2343" spans="1:6" x14ac:dyDescent="0.3">
      <c r="A2343" t="str">
        <f>"55"</f>
        <v>55</v>
      </c>
      <c r="B2343" t="str">
        <f>"55.0101"</f>
        <v>55.0101</v>
      </c>
      <c r="C2343" t="s">
        <v>5243</v>
      </c>
      <c r="D2343" t="s">
        <v>5242</v>
      </c>
    </row>
    <row r="2344" spans="1:6" x14ac:dyDescent="0.3">
      <c r="A2344" t="str">
        <f>"55"</f>
        <v>55</v>
      </c>
      <c r="B2344" t="str">
        <f>"55.13"</f>
        <v>55.13</v>
      </c>
      <c r="C2344" t="s">
        <v>5243</v>
      </c>
      <c r="D2344" t="s">
        <v>5246</v>
      </c>
    </row>
    <row r="2345" spans="1:6" x14ac:dyDescent="0.3">
      <c r="A2345" t="str">
        <f>"55"</f>
        <v>55</v>
      </c>
      <c r="B2345" t="str">
        <f>"55.1301"</f>
        <v>55.1301</v>
      </c>
      <c r="C2345" t="s">
        <v>5243</v>
      </c>
      <c r="D2345" t="s">
        <v>5242</v>
      </c>
    </row>
    <row r="2346" spans="1:6" x14ac:dyDescent="0.3">
      <c r="A2346" t="str">
        <f>"55"</f>
        <v>55</v>
      </c>
      <c r="B2346" t="str">
        <f>"55.1302"</f>
        <v>55.1302</v>
      </c>
      <c r="C2346" t="s">
        <v>5243</v>
      </c>
      <c r="D2346" t="s">
        <v>5242</v>
      </c>
    </row>
    <row r="2347" spans="1:6" x14ac:dyDescent="0.3">
      <c r="A2347" t="str">
        <f>"55"</f>
        <v>55</v>
      </c>
      <c r="B2347" t="str">
        <f>"55.1303"</f>
        <v>55.1303</v>
      </c>
      <c r="C2347" t="s">
        <v>5243</v>
      </c>
      <c r="D2347" t="s">
        <v>5242</v>
      </c>
    </row>
    <row r="2348" spans="1:6" x14ac:dyDescent="0.3">
      <c r="A2348" t="str">
        <f>"55"</f>
        <v>55</v>
      </c>
      <c r="B2348" t="str">
        <f>"55.1304"</f>
        <v>55.1304</v>
      </c>
      <c r="C2348" t="s">
        <v>5243</v>
      </c>
      <c r="D2348" t="s">
        <v>5242</v>
      </c>
    </row>
    <row r="2349" spans="1:6" x14ac:dyDescent="0.3">
      <c r="A2349" t="str">
        <f>"55"</f>
        <v>55</v>
      </c>
      <c r="B2349" t="str">
        <f>"55.1399"</f>
        <v>55.1399</v>
      </c>
      <c r="C2349" t="s">
        <v>5243</v>
      </c>
      <c r="D2349" t="s">
        <v>5242</v>
      </c>
    </row>
    <row r="2350" spans="1:6" x14ac:dyDescent="0.3">
      <c r="A2350" t="str">
        <f>"55"</f>
        <v>55</v>
      </c>
      <c r="B2350" t="str">
        <f>"55.14"</f>
        <v>55.14</v>
      </c>
      <c r="C2350" t="s">
        <v>5243</v>
      </c>
      <c r="D2350" t="s">
        <v>5245</v>
      </c>
    </row>
    <row r="2351" spans="1:6" x14ac:dyDescent="0.3">
      <c r="A2351" t="str">
        <f>"55"</f>
        <v>55</v>
      </c>
      <c r="B2351" t="str">
        <f>"55.1401"</f>
        <v>55.1401</v>
      </c>
      <c r="C2351" t="s">
        <v>5243</v>
      </c>
      <c r="D2351" t="s">
        <v>5242</v>
      </c>
    </row>
    <row r="2352" spans="1:6" x14ac:dyDescent="0.3">
      <c r="A2352" t="str">
        <f>"55"</f>
        <v>55</v>
      </c>
      <c r="B2352" t="str">
        <f>"55.1403"</f>
        <v>55.1403</v>
      </c>
      <c r="C2352" t="s">
        <v>5243</v>
      </c>
      <c r="D2352" t="s">
        <v>5242</v>
      </c>
    </row>
    <row r="2353" spans="1:6" x14ac:dyDescent="0.3">
      <c r="A2353" t="str">
        <f>"55"</f>
        <v>55</v>
      </c>
      <c r="B2353" t="str">
        <f>"55.1404"</f>
        <v>55.1404</v>
      </c>
      <c r="C2353" t="s">
        <v>5243</v>
      </c>
      <c r="D2353" t="s">
        <v>5242</v>
      </c>
    </row>
    <row r="2354" spans="1:6" x14ac:dyDescent="0.3">
      <c r="A2354" t="str">
        <f>"55"</f>
        <v>55</v>
      </c>
      <c r="B2354" t="str">
        <f>"55.1405"</f>
        <v>55.1405</v>
      </c>
      <c r="C2354" t="s">
        <v>5243</v>
      </c>
      <c r="D2354" t="s">
        <v>5242</v>
      </c>
    </row>
    <row r="2355" spans="1:6" x14ac:dyDescent="0.3">
      <c r="A2355" t="str">
        <f>"55"</f>
        <v>55</v>
      </c>
      <c r="B2355" t="str">
        <f>"55.1499"</f>
        <v>55.1499</v>
      </c>
      <c r="C2355" t="s">
        <v>5243</v>
      </c>
      <c r="D2355" t="s">
        <v>5242</v>
      </c>
    </row>
    <row r="2356" spans="1:6" x14ac:dyDescent="0.3">
      <c r="A2356" t="str">
        <f>"55"</f>
        <v>55</v>
      </c>
      <c r="B2356" t="str">
        <f>"55.99"</f>
        <v>55.99</v>
      </c>
      <c r="C2356" t="s">
        <v>5243</v>
      </c>
      <c r="D2356" t="s">
        <v>5244</v>
      </c>
    </row>
    <row r="2357" spans="1:6" x14ac:dyDescent="0.3">
      <c r="A2357" t="str">
        <f>"55"</f>
        <v>55</v>
      </c>
      <c r="B2357" t="str">
        <f>"55.9999"</f>
        <v>55.9999</v>
      </c>
      <c r="C2357" t="s">
        <v>5243</v>
      </c>
      <c r="D2357" t="s">
        <v>5242</v>
      </c>
    </row>
    <row r="2358" spans="1:6" x14ac:dyDescent="0.3">
      <c r="A2358" t="str">
        <f>"60"</f>
        <v>60</v>
      </c>
      <c r="B2358" t="str">
        <f>"60"</f>
        <v>60</v>
      </c>
      <c r="C2358" t="s">
        <v>5241</v>
      </c>
      <c r="D2358" t="s">
        <v>5240</v>
      </c>
    </row>
    <row r="2359" spans="1:6" x14ac:dyDescent="0.3">
      <c r="A2359" t="str">
        <f>"60"</f>
        <v>60</v>
      </c>
      <c r="B2359" t="str">
        <f>"60.01"</f>
        <v>60.01</v>
      </c>
      <c r="C2359" t="s">
        <v>5239</v>
      </c>
      <c r="D2359" t="s">
        <v>265</v>
      </c>
    </row>
    <row r="2360" spans="1:6" x14ac:dyDescent="0.3">
      <c r="A2360" t="str">
        <f>"60"</f>
        <v>60</v>
      </c>
      <c r="B2360" t="str">
        <f>"60.0101"</f>
        <v>60.0101</v>
      </c>
      <c r="C2360" t="s">
        <v>263</v>
      </c>
      <c r="D2360" t="s">
        <v>262</v>
      </c>
      <c r="F2360" t="s">
        <v>257</v>
      </c>
    </row>
    <row r="2361" spans="1:6" x14ac:dyDescent="0.3">
      <c r="A2361" t="str">
        <f>"60"</f>
        <v>60</v>
      </c>
      <c r="B2361" t="str">
        <f>"60.0102"</f>
        <v>60.0102</v>
      </c>
      <c r="C2361" t="s">
        <v>261</v>
      </c>
      <c r="D2361" t="s">
        <v>260</v>
      </c>
    </row>
    <row r="2362" spans="1:6" x14ac:dyDescent="0.3">
      <c r="A2362" t="str">
        <f>"60"</f>
        <v>60</v>
      </c>
      <c r="B2362" t="str">
        <f>"60.0103"</f>
        <v>60.0103</v>
      </c>
      <c r="C2362" t="s">
        <v>259</v>
      </c>
      <c r="D2362" t="s">
        <v>258</v>
      </c>
    </row>
    <row r="2363" spans="1:6" x14ac:dyDescent="0.3">
      <c r="A2363" t="str">
        <f>"60"</f>
        <v>60</v>
      </c>
      <c r="B2363" t="str">
        <f>"60.0104"</f>
        <v>60.0104</v>
      </c>
      <c r="C2363" t="s">
        <v>256</v>
      </c>
      <c r="D2363" t="s">
        <v>255</v>
      </c>
      <c r="F2363" t="s">
        <v>252</v>
      </c>
    </row>
    <row r="2364" spans="1:6" x14ac:dyDescent="0.3">
      <c r="A2364" t="str">
        <f>"60"</f>
        <v>60</v>
      </c>
      <c r="B2364" t="str">
        <f>"60.0105"</f>
        <v>60.0105</v>
      </c>
      <c r="C2364" t="s">
        <v>254</v>
      </c>
      <c r="D2364" t="s">
        <v>253</v>
      </c>
    </row>
    <row r="2365" spans="1:6" x14ac:dyDescent="0.3">
      <c r="A2365" t="str">
        <f>"60"</f>
        <v>60</v>
      </c>
      <c r="B2365" t="str">
        <f>"60.0106"</f>
        <v>60.0106</v>
      </c>
      <c r="C2365" t="s">
        <v>251</v>
      </c>
      <c r="D2365" t="s">
        <v>250</v>
      </c>
      <c r="F2365" t="s">
        <v>249</v>
      </c>
    </row>
    <row r="2366" spans="1:6" x14ac:dyDescent="0.3">
      <c r="A2366" t="str">
        <f>"60"</f>
        <v>60</v>
      </c>
      <c r="B2366" t="str">
        <f>"60.0107"</f>
        <v>60.0107</v>
      </c>
      <c r="C2366" t="s">
        <v>248</v>
      </c>
      <c r="D2366" t="s">
        <v>247</v>
      </c>
      <c r="F2366" t="s">
        <v>196</v>
      </c>
    </row>
    <row r="2367" spans="1:6" x14ac:dyDescent="0.3">
      <c r="A2367" t="str">
        <f>"60"</f>
        <v>60</v>
      </c>
      <c r="B2367" t="str">
        <f>"60.0108"</f>
        <v>60.0108</v>
      </c>
      <c r="C2367" t="s">
        <v>246</v>
      </c>
      <c r="D2367" t="s">
        <v>245</v>
      </c>
    </row>
    <row r="2368" spans="1:6" x14ac:dyDescent="0.3">
      <c r="A2368" t="str">
        <f>"60"</f>
        <v>60</v>
      </c>
      <c r="B2368" t="str">
        <f>"60.0109"</f>
        <v>60.0109</v>
      </c>
      <c r="C2368" t="s">
        <v>244</v>
      </c>
      <c r="D2368" t="s">
        <v>243</v>
      </c>
    </row>
    <row r="2369" spans="1:4" x14ac:dyDescent="0.3">
      <c r="A2369" t="str">
        <f>"60"</f>
        <v>60</v>
      </c>
      <c r="B2369" t="str">
        <f>"60.0110"</f>
        <v>60.0110</v>
      </c>
      <c r="C2369" t="s">
        <v>5238</v>
      </c>
      <c r="D2369" t="s">
        <v>5237</v>
      </c>
    </row>
    <row r="2370" spans="1:4" x14ac:dyDescent="0.3">
      <c r="A2370" t="str">
        <f>"60"</f>
        <v>60</v>
      </c>
      <c r="B2370" t="str">
        <f>"60.0199"</f>
        <v>60.0199</v>
      </c>
      <c r="C2370" t="s">
        <v>5236</v>
      </c>
      <c r="D2370" t="s">
        <v>5235</v>
      </c>
    </row>
    <row r="2371" spans="1:4" x14ac:dyDescent="0.3">
      <c r="A2371" t="str">
        <f>"60"</f>
        <v>60</v>
      </c>
      <c r="B2371" t="str">
        <f>"60.03"</f>
        <v>60.03</v>
      </c>
      <c r="C2371" t="s">
        <v>5234</v>
      </c>
      <c r="D2371" t="s">
        <v>242</v>
      </c>
    </row>
    <row r="2372" spans="1:4" x14ac:dyDescent="0.3">
      <c r="A2372" t="str">
        <f>"60"</f>
        <v>60</v>
      </c>
      <c r="B2372" t="str">
        <f>"60.0301"</f>
        <v>60.0301</v>
      </c>
      <c r="C2372" t="s">
        <v>241</v>
      </c>
      <c r="D2372" t="s">
        <v>240</v>
      </c>
    </row>
    <row r="2373" spans="1:4" x14ac:dyDescent="0.3">
      <c r="A2373" t="str">
        <f>"60"</f>
        <v>60</v>
      </c>
      <c r="B2373" t="str">
        <f>"60.0302"</f>
        <v>60.0302</v>
      </c>
      <c r="C2373" t="s">
        <v>239</v>
      </c>
      <c r="D2373" t="s">
        <v>238</v>
      </c>
    </row>
    <row r="2374" spans="1:4" x14ac:dyDescent="0.3">
      <c r="A2374" t="str">
        <f>"60"</f>
        <v>60</v>
      </c>
      <c r="B2374" t="str">
        <f>"60.0303"</f>
        <v>60.0303</v>
      </c>
      <c r="C2374" t="s">
        <v>237</v>
      </c>
      <c r="D2374" t="s">
        <v>236</v>
      </c>
    </row>
    <row r="2375" spans="1:4" x14ac:dyDescent="0.3">
      <c r="A2375" t="str">
        <f>"60"</f>
        <v>60</v>
      </c>
      <c r="B2375" t="str">
        <f>"60.0304"</f>
        <v>60.0304</v>
      </c>
      <c r="C2375" t="s">
        <v>235</v>
      </c>
      <c r="D2375" t="s">
        <v>234</v>
      </c>
    </row>
    <row r="2376" spans="1:4" x14ac:dyDescent="0.3">
      <c r="A2376" t="str">
        <f>"60"</f>
        <v>60</v>
      </c>
      <c r="B2376" t="str">
        <f>"60.0305"</f>
        <v>60.0305</v>
      </c>
      <c r="C2376" t="s">
        <v>233</v>
      </c>
      <c r="D2376" t="s">
        <v>232</v>
      </c>
    </row>
    <row r="2377" spans="1:4" x14ac:dyDescent="0.3">
      <c r="A2377" t="str">
        <f>"60"</f>
        <v>60</v>
      </c>
      <c r="B2377" t="str">
        <f>"60.0306"</f>
        <v>60.0306</v>
      </c>
      <c r="C2377" t="s">
        <v>231</v>
      </c>
      <c r="D2377" t="s">
        <v>230</v>
      </c>
    </row>
    <row r="2378" spans="1:4" x14ac:dyDescent="0.3">
      <c r="A2378" t="str">
        <f>"60"</f>
        <v>60</v>
      </c>
      <c r="B2378" t="str">
        <f>"60.0307"</f>
        <v>60.0307</v>
      </c>
      <c r="C2378" t="s">
        <v>229</v>
      </c>
      <c r="D2378" t="s">
        <v>228</v>
      </c>
    </row>
    <row r="2379" spans="1:4" x14ac:dyDescent="0.3">
      <c r="A2379" t="str">
        <f>"60"</f>
        <v>60</v>
      </c>
      <c r="B2379" t="str">
        <f>"60.0308"</f>
        <v>60.0308</v>
      </c>
      <c r="C2379" t="s">
        <v>227</v>
      </c>
      <c r="D2379" t="s">
        <v>226</v>
      </c>
    </row>
    <row r="2380" spans="1:4" x14ac:dyDescent="0.3">
      <c r="A2380" t="str">
        <f>"60"</f>
        <v>60</v>
      </c>
      <c r="B2380" t="str">
        <f>"60.0309"</f>
        <v>60.0309</v>
      </c>
      <c r="C2380" t="s">
        <v>225</v>
      </c>
      <c r="D2380" t="s">
        <v>224</v>
      </c>
    </row>
    <row r="2381" spans="1:4" x14ac:dyDescent="0.3">
      <c r="A2381" t="str">
        <f>"60"</f>
        <v>60</v>
      </c>
      <c r="B2381" t="str">
        <f>"60.0310"</f>
        <v>60.0310</v>
      </c>
      <c r="C2381" t="s">
        <v>223</v>
      </c>
      <c r="D2381" t="s">
        <v>222</v>
      </c>
    </row>
    <row r="2382" spans="1:4" x14ac:dyDescent="0.3">
      <c r="A2382" t="str">
        <f>"60"</f>
        <v>60</v>
      </c>
      <c r="B2382" t="str">
        <f>"60.0311"</f>
        <v>60.0311</v>
      </c>
      <c r="C2382" t="s">
        <v>221</v>
      </c>
      <c r="D2382" t="s">
        <v>220</v>
      </c>
    </row>
    <row r="2383" spans="1:4" x14ac:dyDescent="0.3">
      <c r="A2383" t="str">
        <f>"60"</f>
        <v>60</v>
      </c>
      <c r="B2383" t="str">
        <f>"60.0312"</f>
        <v>60.0312</v>
      </c>
      <c r="C2383" t="s">
        <v>219</v>
      </c>
      <c r="D2383" t="s">
        <v>218</v>
      </c>
    </row>
    <row r="2384" spans="1:4" x14ac:dyDescent="0.3">
      <c r="A2384" t="str">
        <f>"60"</f>
        <v>60</v>
      </c>
      <c r="B2384" t="str">
        <f>"60.0313"</f>
        <v>60.0313</v>
      </c>
      <c r="C2384" t="s">
        <v>217</v>
      </c>
      <c r="D2384" t="s">
        <v>216</v>
      </c>
    </row>
    <row r="2385" spans="1:4" x14ac:dyDescent="0.3">
      <c r="A2385" t="str">
        <f>"60"</f>
        <v>60</v>
      </c>
      <c r="B2385" t="str">
        <f>"60.0314"</f>
        <v>60.0314</v>
      </c>
      <c r="C2385" t="s">
        <v>215</v>
      </c>
      <c r="D2385" t="s">
        <v>214</v>
      </c>
    </row>
    <row r="2386" spans="1:4" x14ac:dyDescent="0.3">
      <c r="A2386" t="str">
        <f>"60"</f>
        <v>60</v>
      </c>
      <c r="B2386" t="str">
        <f>"60.0315"</f>
        <v>60.0315</v>
      </c>
      <c r="C2386" t="s">
        <v>213</v>
      </c>
      <c r="D2386" t="s">
        <v>212</v>
      </c>
    </row>
    <row r="2387" spans="1:4" x14ac:dyDescent="0.3">
      <c r="A2387" t="str">
        <f>"60"</f>
        <v>60</v>
      </c>
      <c r="B2387" t="str">
        <f>"60.0316"</f>
        <v>60.0316</v>
      </c>
      <c r="C2387" t="s">
        <v>211</v>
      </c>
      <c r="D2387" t="s">
        <v>210</v>
      </c>
    </row>
    <row r="2388" spans="1:4" x14ac:dyDescent="0.3">
      <c r="A2388" t="str">
        <f>"60"</f>
        <v>60</v>
      </c>
      <c r="B2388" t="str">
        <f>"60.0317"</f>
        <v>60.0317</v>
      </c>
      <c r="C2388" t="s">
        <v>209</v>
      </c>
      <c r="D2388" t="s">
        <v>208</v>
      </c>
    </row>
    <row r="2389" spans="1:4" x14ac:dyDescent="0.3">
      <c r="A2389" t="str">
        <f>"60"</f>
        <v>60</v>
      </c>
      <c r="B2389" t="str">
        <f>"60.0318"</f>
        <v>60.0318</v>
      </c>
      <c r="C2389" t="s">
        <v>207</v>
      </c>
      <c r="D2389" t="s">
        <v>206</v>
      </c>
    </row>
    <row r="2390" spans="1:4" x14ac:dyDescent="0.3">
      <c r="A2390" t="str">
        <f>"60"</f>
        <v>60</v>
      </c>
      <c r="B2390" t="str">
        <f>"60.0319"</f>
        <v>60.0319</v>
      </c>
      <c r="C2390" t="s">
        <v>205</v>
      </c>
      <c r="D2390" t="s">
        <v>204</v>
      </c>
    </row>
    <row r="2391" spans="1:4" x14ac:dyDescent="0.3">
      <c r="A2391" t="str">
        <f>"60"</f>
        <v>60</v>
      </c>
      <c r="B2391" t="str">
        <f>"60.0320"</f>
        <v>60.0320</v>
      </c>
      <c r="C2391" t="s">
        <v>203</v>
      </c>
      <c r="D2391" t="s">
        <v>202</v>
      </c>
    </row>
    <row r="2392" spans="1:4" x14ac:dyDescent="0.3">
      <c r="A2392" t="str">
        <f>"60"</f>
        <v>60</v>
      </c>
      <c r="B2392" t="str">
        <f>"60.0399"</f>
        <v>60.0399</v>
      </c>
      <c r="C2392" t="s">
        <v>5233</v>
      </c>
      <c r="D2392" t="s">
        <v>5232</v>
      </c>
    </row>
    <row r="2393" spans="1:4" x14ac:dyDescent="0.3">
      <c r="A2393" t="str">
        <f>"60"</f>
        <v>60</v>
      </c>
      <c r="B2393" t="str">
        <f>"60.04"</f>
        <v>60.04</v>
      </c>
      <c r="C2393" t="s">
        <v>201</v>
      </c>
      <c r="D2393" t="s">
        <v>5114</v>
      </c>
    </row>
    <row r="2394" spans="1:4" x14ac:dyDescent="0.3">
      <c r="A2394" t="str">
        <f>"60"</f>
        <v>60</v>
      </c>
      <c r="B2394" t="str">
        <f>"60.0401"</f>
        <v>60.0401</v>
      </c>
      <c r="C2394" t="s">
        <v>200</v>
      </c>
      <c r="D2394" t="s">
        <v>5231</v>
      </c>
    </row>
    <row r="2395" spans="1:4" x14ac:dyDescent="0.3">
      <c r="A2395" t="str">
        <f>"60"</f>
        <v>60</v>
      </c>
      <c r="B2395" t="str">
        <f>"60.0402"</f>
        <v>60.0402</v>
      </c>
      <c r="C2395" t="s">
        <v>198</v>
      </c>
      <c r="D2395" t="s">
        <v>5230</v>
      </c>
    </row>
    <row r="2396" spans="1:4" x14ac:dyDescent="0.3">
      <c r="A2396" t="str">
        <f>"60"</f>
        <v>60</v>
      </c>
      <c r="B2396" t="str">
        <f>"60.0403"</f>
        <v>60.0403</v>
      </c>
      <c r="C2396" t="s">
        <v>197</v>
      </c>
      <c r="D2396" t="s">
        <v>5229</v>
      </c>
    </row>
    <row r="2397" spans="1:4" x14ac:dyDescent="0.3">
      <c r="A2397" t="str">
        <f>"60"</f>
        <v>60</v>
      </c>
      <c r="B2397" t="str">
        <f>"60.0404"</f>
        <v>60.0404</v>
      </c>
      <c r="C2397" t="s">
        <v>195</v>
      </c>
      <c r="D2397" t="s">
        <v>5228</v>
      </c>
    </row>
    <row r="2398" spans="1:4" x14ac:dyDescent="0.3">
      <c r="A2398" t="str">
        <f>"60"</f>
        <v>60</v>
      </c>
      <c r="B2398" t="str">
        <f>"60.0405"</f>
        <v>60.0405</v>
      </c>
      <c r="C2398" t="s">
        <v>193</v>
      </c>
      <c r="D2398" t="s">
        <v>5227</v>
      </c>
    </row>
    <row r="2399" spans="1:4" x14ac:dyDescent="0.3">
      <c r="A2399" t="str">
        <f>"60"</f>
        <v>60</v>
      </c>
      <c r="B2399" t="str">
        <f>"60.0406"</f>
        <v>60.0406</v>
      </c>
      <c r="C2399" t="s">
        <v>192</v>
      </c>
      <c r="D2399" t="s">
        <v>5225</v>
      </c>
    </row>
    <row r="2400" spans="1:4" x14ac:dyDescent="0.3">
      <c r="A2400" t="str">
        <f>"60"</f>
        <v>60</v>
      </c>
      <c r="B2400" t="str">
        <f>"60.0407"</f>
        <v>60.0407</v>
      </c>
      <c r="C2400" t="s">
        <v>191</v>
      </c>
      <c r="D2400" t="s">
        <v>5226</v>
      </c>
    </row>
    <row r="2401" spans="1:4" x14ac:dyDescent="0.3">
      <c r="A2401" t="str">
        <f>"60"</f>
        <v>60</v>
      </c>
      <c r="B2401" t="str">
        <f>"60.0408"</f>
        <v>60.0408</v>
      </c>
      <c r="C2401" t="s">
        <v>190</v>
      </c>
      <c r="D2401" t="s">
        <v>5225</v>
      </c>
    </row>
    <row r="2402" spans="1:4" x14ac:dyDescent="0.3">
      <c r="A2402" t="str">
        <f>"60"</f>
        <v>60</v>
      </c>
      <c r="B2402" t="str">
        <f>"60.0409"</f>
        <v>60.0409</v>
      </c>
      <c r="C2402" t="s">
        <v>189</v>
      </c>
      <c r="D2402" t="s">
        <v>5224</v>
      </c>
    </row>
    <row r="2403" spans="1:4" x14ac:dyDescent="0.3">
      <c r="A2403" t="str">
        <f>"60"</f>
        <v>60</v>
      </c>
      <c r="B2403" t="str">
        <f>"60.0410"</f>
        <v>60.0410</v>
      </c>
      <c r="C2403" t="s">
        <v>188</v>
      </c>
      <c r="D2403" t="s">
        <v>5223</v>
      </c>
    </row>
    <row r="2404" spans="1:4" x14ac:dyDescent="0.3">
      <c r="A2404" t="str">
        <f>"60"</f>
        <v>60</v>
      </c>
      <c r="B2404" t="str">
        <f>"60.0411"</f>
        <v>60.0411</v>
      </c>
      <c r="C2404" t="s">
        <v>186</v>
      </c>
      <c r="D2404" t="s">
        <v>5222</v>
      </c>
    </row>
    <row r="2405" spans="1:4" x14ac:dyDescent="0.3">
      <c r="A2405" t="str">
        <f>"60"</f>
        <v>60</v>
      </c>
      <c r="B2405" t="str">
        <f>"60.0412"</f>
        <v>60.0412</v>
      </c>
      <c r="C2405" t="s">
        <v>184</v>
      </c>
      <c r="D2405" t="s">
        <v>5221</v>
      </c>
    </row>
    <row r="2406" spans="1:4" x14ac:dyDescent="0.3">
      <c r="A2406" t="str">
        <f>"60"</f>
        <v>60</v>
      </c>
      <c r="B2406" t="str">
        <f>"60.0413"</f>
        <v>60.0413</v>
      </c>
      <c r="C2406" t="s">
        <v>182</v>
      </c>
      <c r="D2406" t="s">
        <v>5220</v>
      </c>
    </row>
    <row r="2407" spans="1:4" x14ac:dyDescent="0.3">
      <c r="A2407" t="str">
        <f>"60"</f>
        <v>60</v>
      </c>
      <c r="B2407" t="str">
        <f>"60.0414"</f>
        <v>60.0414</v>
      </c>
      <c r="C2407" t="s">
        <v>179</v>
      </c>
      <c r="D2407" t="s">
        <v>5219</v>
      </c>
    </row>
    <row r="2408" spans="1:4" x14ac:dyDescent="0.3">
      <c r="A2408" t="str">
        <f>"60"</f>
        <v>60</v>
      </c>
      <c r="B2408" t="str">
        <f>"60.0415"</f>
        <v>60.0415</v>
      </c>
      <c r="C2408" t="s">
        <v>177</v>
      </c>
      <c r="D2408" t="s">
        <v>5218</v>
      </c>
    </row>
    <row r="2409" spans="1:4" x14ac:dyDescent="0.3">
      <c r="A2409" t="str">
        <f>"60"</f>
        <v>60</v>
      </c>
      <c r="B2409" t="str">
        <f>"60.0416"</f>
        <v>60.0416</v>
      </c>
      <c r="C2409" t="s">
        <v>174</v>
      </c>
      <c r="D2409" t="s">
        <v>5217</v>
      </c>
    </row>
    <row r="2410" spans="1:4" x14ac:dyDescent="0.3">
      <c r="A2410" t="str">
        <f>"60"</f>
        <v>60</v>
      </c>
      <c r="B2410" t="str">
        <f>"60.0417"</f>
        <v>60.0417</v>
      </c>
      <c r="C2410" t="s">
        <v>172</v>
      </c>
      <c r="D2410" t="s">
        <v>5216</v>
      </c>
    </row>
    <row r="2411" spans="1:4" x14ac:dyDescent="0.3">
      <c r="A2411" t="str">
        <f>"60"</f>
        <v>60</v>
      </c>
      <c r="B2411" t="str">
        <f>"60.0418"</f>
        <v>60.0418</v>
      </c>
      <c r="C2411" t="s">
        <v>170</v>
      </c>
      <c r="D2411" t="s">
        <v>5215</v>
      </c>
    </row>
    <row r="2412" spans="1:4" x14ac:dyDescent="0.3">
      <c r="A2412" t="str">
        <f>"60"</f>
        <v>60</v>
      </c>
      <c r="B2412" t="str">
        <f>"60.0419"</f>
        <v>60.0419</v>
      </c>
      <c r="C2412" t="s">
        <v>168</v>
      </c>
      <c r="D2412" t="s">
        <v>5214</v>
      </c>
    </row>
    <row r="2413" spans="1:4" x14ac:dyDescent="0.3">
      <c r="A2413" t="str">
        <f>"60"</f>
        <v>60</v>
      </c>
      <c r="B2413" t="str">
        <f>"60.0420"</f>
        <v>60.0420</v>
      </c>
      <c r="C2413" t="s">
        <v>166</v>
      </c>
      <c r="D2413" t="s">
        <v>5213</v>
      </c>
    </row>
    <row r="2414" spans="1:4" x14ac:dyDescent="0.3">
      <c r="A2414" t="str">
        <f>"60"</f>
        <v>60</v>
      </c>
      <c r="B2414" t="str">
        <f>"60.0421"</f>
        <v>60.0421</v>
      </c>
      <c r="C2414" t="s">
        <v>164</v>
      </c>
      <c r="D2414" t="s">
        <v>5212</v>
      </c>
    </row>
    <row r="2415" spans="1:4" x14ac:dyDescent="0.3">
      <c r="A2415" t="str">
        <f>"60"</f>
        <v>60</v>
      </c>
      <c r="B2415" t="str">
        <f>"60.0422"</f>
        <v>60.0422</v>
      </c>
      <c r="C2415" t="s">
        <v>161</v>
      </c>
      <c r="D2415" t="s">
        <v>5211</v>
      </c>
    </row>
    <row r="2416" spans="1:4" x14ac:dyDescent="0.3">
      <c r="A2416" t="str">
        <f>"60"</f>
        <v>60</v>
      </c>
      <c r="B2416" t="str">
        <f>"60.0423"</f>
        <v>60.0423</v>
      </c>
      <c r="C2416" t="s">
        <v>159</v>
      </c>
      <c r="D2416" t="s">
        <v>5210</v>
      </c>
    </row>
    <row r="2417" spans="1:4" x14ac:dyDescent="0.3">
      <c r="A2417" t="str">
        <f>"60"</f>
        <v>60</v>
      </c>
      <c r="B2417" t="str">
        <f>"60.0424"</f>
        <v>60.0424</v>
      </c>
      <c r="C2417" t="s">
        <v>156</v>
      </c>
      <c r="D2417" t="s">
        <v>5209</v>
      </c>
    </row>
    <row r="2418" spans="1:4" x14ac:dyDescent="0.3">
      <c r="A2418" t="str">
        <f>"60"</f>
        <v>60</v>
      </c>
      <c r="B2418" t="str">
        <f>"60.0425"</f>
        <v>60.0425</v>
      </c>
      <c r="C2418" t="s">
        <v>155</v>
      </c>
      <c r="D2418" t="s">
        <v>5208</v>
      </c>
    </row>
    <row r="2419" spans="1:4" x14ac:dyDescent="0.3">
      <c r="A2419" t="str">
        <f>"60"</f>
        <v>60</v>
      </c>
      <c r="B2419" t="str">
        <f>"60.0426"</f>
        <v>60.0426</v>
      </c>
      <c r="C2419" t="s">
        <v>152</v>
      </c>
      <c r="D2419" t="s">
        <v>5207</v>
      </c>
    </row>
    <row r="2420" spans="1:4" x14ac:dyDescent="0.3">
      <c r="A2420" t="str">
        <f>"60"</f>
        <v>60</v>
      </c>
      <c r="B2420" t="str">
        <f>"60.0427"</f>
        <v>60.0427</v>
      </c>
      <c r="C2420" t="s">
        <v>150</v>
      </c>
      <c r="D2420" t="s">
        <v>5206</v>
      </c>
    </row>
    <row r="2421" spans="1:4" x14ac:dyDescent="0.3">
      <c r="A2421" t="str">
        <f>"60"</f>
        <v>60</v>
      </c>
      <c r="B2421" t="str">
        <f>"60.0428"</f>
        <v>60.0428</v>
      </c>
      <c r="C2421" t="s">
        <v>149</v>
      </c>
      <c r="D2421" t="s">
        <v>5205</v>
      </c>
    </row>
    <row r="2422" spans="1:4" x14ac:dyDescent="0.3">
      <c r="A2422" t="str">
        <f>"60"</f>
        <v>60</v>
      </c>
      <c r="B2422" t="str">
        <f>"60.0429"</f>
        <v>60.0429</v>
      </c>
      <c r="C2422" t="s">
        <v>146</v>
      </c>
      <c r="D2422" t="s">
        <v>5204</v>
      </c>
    </row>
    <row r="2423" spans="1:4" x14ac:dyDescent="0.3">
      <c r="A2423" t="str">
        <f>"60"</f>
        <v>60</v>
      </c>
      <c r="B2423" t="str">
        <f>"60.0430"</f>
        <v>60.0430</v>
      </c>
      <c r="C2423" t="s">
        <v>144</v>
      </c>
      <c r="D2423" t="s">
        <v>5203</v>
      </c>
    </row>
    <row r="2424" spans="1:4" x14ac:dyDescent="0.3">
      <c r="A2424" t="str">
        <f>"60"</f>
        <v>60</v>
      </c>
      <c r="B2424" t="str">
        <f>"60.0431"</f>
        <v>60.0431</v>
      </c>
      <c r="C2424" t="s">
        <v>142</v>
      </c>
      <c r="D2424" t="s">
        <v>5202</v>
      </c>
    </row>
    <row r="2425" spans="1:4" x14ac:dyDescent="0.3">
      <c r="A2425" t="str">
        <f>"60"</f>
        <v>60</v>
      </c>
      <c r="B2425" t="str">
        <f>"60.0432"</f>
        <v>60.0432</v>
      </c>
      <c r="C2425" t="s">
        <v>140</v>
      </c>
      <c r="D2425" t="s">
        <v>5201</v>
      </c>
    </row>
    <row r="2426" spans="1:4" x14ac:dyDescent="0.3">
      <c r="A2426" t="str">
        <f>"60"</f>
        <v>60</v>
      </c>
      <c r="B2426" t="str">
        <f>"60.0433"</f>
        <v>60.0433</v>
      </c>
      <c r="C2426" t="s">
        <v>139</v>
      </c>
      <c r="D2426" t="s">
        <v>5200</v>
      </c>
    </row>
    <row r="2427" spans="1:4" x14ac:dyDescent="0.3">
      <c r="A2427" t="str">
        <f>"60"</f>
        <v>60</v>
      </c>
      <c r="B2427" t="str">
        <f>"60.0434"</f>
        <v>60.0434</v>
      </c>
      <c r="C2427" t="s">
        <v>138</v>
      </c>
      <c r="D2427" t="s">
        <v>5199</v>
      </c>
    </row>
    <row r="2428" spans="1:4" x14ac:dyDescent="0.3">
      <c r="A2428" t="str">
        <f>"60"</f>
        <v>60</v>
      </c>
      <c r="B2428" t="str">
        <f>"60.0499"</f>
        <v>60.0499</v>
      </c>
      <c r="C2428" t="s">
        <v>137</v>
      </c>
      <c r="D2428" t="s">
        <v>5114</v>
      </c>
    </row>
    <row r="2429" spans="1:4" x14ac:dyDescent="0.3">
      <c r="A2429" t="str">
        <f>"60"</f>
        <v>60</v>
      </c>
      <c r="B2429" t="str">
        <f>"60.05"</f>
        <v>60.05</v>
      </c>
      <c r="C2429" t="s">
        <v>136</v>
      </c>
      <c r="D2429" t="s">
        <v>5114</v>
      </c>
    </row>
    <row r="2430" spans="1:4" x14ac:dyDescent="0.3">
      <c r="A2430" t="str">
        <f>"60"</f>
        <v>60</v>
      </c>
      <c r="B2430" t="str">
        <f>"60.0501"</f>
        <v>60.0501</v>
      </c>
      <c r="C2430" t="s">
        <v>135</v>
      </c>
      <c r="D2430" t="s">
        <v>5198</v>
      </c>
    </row>
    <row r="2431" spans="1:4" x14ac:dyDescent="0.3">
      <c r="A2431" t="str">
        <f>"60"</f>
        <v>60</v>
      </c>
      <c r="B2431" t="str">
        <f>"60.0502"</f>
        <v>60.0502</v>
      </c>
      <c r="C2431" t="s">
        <v>134</v>
      </c>
      <c r="D2431" t="s">
        <v>5197</v>
      </c>
    </row>
    <row r="2432" spans="1:4" x14ac:dyDescent="0.3">
      <c r="A2432" t="str">
        <f>"60"</f>
        <v>60</v>
      </c>
      <c r="B2432" t="str">
        <f>"60.0503"</f>
        <v>60.0503</v>
      </c>
      <c r="C2432" t="s">
        <v>132</v>
      </c>
      <c r="D2432" t="s">
        <v>5196</v>
      </c>
    </row>
    <row r="2433" spans="1:4" x14ac:dyDescent="0.3">
      <c r="A2433" t="str">
        <f>"60"</f>
        <v>60</v>
      </c>
      <c r="B2433" t="str">
        <f>"60.0504"</f>
        <v>60.0504</v>
      </c>
      <c r="C2433" t="s">
        <v>130</v>
      </c>
      <c r="D2433" t="s">
        <v>5195</v>
      </c>
    </row>
    <row r="2434" spans="1:4" x14ac:dyDescent="0.3">
      <c r="A2434" t="str">
        <f>"60"</f>
        <v>60</v>
      </c>
      <c r="B2434" t="str">
        <f>"60.0505"</f>
        <v>60.0505</v>
      </c>
      <c r="C2434" t="s">
        <v>129</v>
      </c>
      <c r="D2434" t="s">
        <v>5194</v>
      </c>
    </row>
    <row r="2435" spans="1:4" x14ac:dyDescent="0.3">
      <c r="A2435" t="str">
        <f>"60"</f>
        <v>60</v>
      </c>
      <c r="B2435" t="str">
        <f>"60.0506"</f>
        <v>60.0506</v>
      </c>
      <c r="C2435" t="s">
        <v>128</v>
      </c>
      <c r="D2435" t="s">
        <v>5193</v>
      </c>
    </row>
    <row r="2436" spans="1:4" x14ac:dyDescent="0.3">
      <c r="A2436" t="str">
        <f>"60"</f>
        <v>60</v>
      </c>
      <c r="B2436" t="str">
        <f>"60.0507"</f>
        <v>60.0507</v>
      </c>
      <c r="C2436" t="s">
        <v>127</v>
      </c>
      <c r="D2436" t="s">
        <v>5192</v>
      </c>
    </row>
    <row r="2437" spans="1:4" x14ac:dyDescent="0.3">
      <c r="A2437" t="str">
        <f>"60"</f>
        <v>60</v>
      </c>
      <c r="B2437" t="str">
        <f>"60.0508"</f>
        <v>60.0508</v>
      </c>
      <c r="C2437" t="s">
        <v>126</v>
      </c>
      <c r="D2437" t="s">
        <v>5191</v>
      </c>
    </row>
    <row r="2438" spans="1:4" x14ac:dyDescent="0.3">
      <c r="A2438" t="str">
        <f>"60"</f>
        <v>60</v>
      </c>
      <c r="B2438" t="str">
        <f>"60.0509"</f>
        <v>60.0509</v>
      </c>
      <c r="C2438" t="s">
        <v>125</v>
      </c>
      <c r="D2438" t="s">
        <v>5190</v>
      </c>
    </row>
    <row r="2439" spans="1:4" x14ac:dyDescent="0.3">
      <c r="A2439" t="str">
        <f>"60"</f>
        <v>60</v>
      </c>
      <c r="B2439" t="str">
        <f>"60.0510"</f>
        <v>60.0510</v>
      </c>
      <c r="C2439" t="s">
        <v>124</v>
      </c>
      <c r="D2439" t="s">
        <v>5189</v>
      </c>
    </row>
    <row r="2440" spans="1:4" x14ac:dyDescent="0.3">
      <c r="A2440" t="str">
        <f>"60"</f>
        <v>60</v>
      </c>
      <c r="B2440" t="str">
        <f>"60.0511"</f>
        <v>60.0511</v>
      </c>
      <c r="C2440" t="s">
        <v>122</v>
      </c>
      <c r="D2440" t="s">
        <v>5188</v>
      </c>
    </row>
    <row r="2441" spans="1:4" x14ac:dyDescent="0.3">
      <c r="A2441" t="str">
        <f>"60"</f>
        <v>60</v>
      </c>
      <c r="B2441" t="str">
        <f>"60.0512"</f>
        <v>60.0512</v>
      </c>
      <c r="C2441" t="s">
        <v>121</v>
      </c>
      <c r="D2441" t="s">
        <v>5187</v>
      </c>
    </row>
    <row r="2442" spans="1:4" x14ac:dyDescent="0.3">
      <c r="A2442" t="str">
        <f>"60"</f>
        <v>60</v>
      </c>
      <c r="B2442" t="str">
        <f>"60.0513"</f>
        <v>60.0513</v>
      </c>
      <c r="C2442" t="s">
        <v>120</v>
      </c>
      <c r="D2442" t="s">
        <v>5186</v>
      </c>
    </row>
    <row r="2443" spans="1:4" x14ac:dyDescent="0.3">
      <c r="A2443" t="str">
        <f>"60"</f>
        <v>60</v>
      </c>
      <c r="B2443" t="str">
        <f>"60.0514"</f>
        <v>60.0514</v>
      </c>
      <c r="C2443" t="s">
        <v>119</v>
      </c>
      <c r="D2443" t="s">
        <v>5185</v>
      </c>
    </row>
    <row r="2444" spans="1:4" x14ac:dyDescent="0.3">
      <c r="A2444" t="str">
        <f>"60"</f>
        <v>60</v>
      </c>
      <c r="B2444" t="str">
        <f>"60.0515"</f>
        <v>60.0515</v>
      </c>
      <c r="C2444" t="s">
        <v>118</v>
      </c>
      <c r="D2444" t="s">
        <v>5184</v>
      </c>
    </row>
    <row r="2445" spans="1:4" x14ac:dyDescent="0.3">
      <c r="A2445" t="str">
        <f>"60"</f>
        <v>60</v>
      </c>
      <c r="B2445" t="str">
        <f>"60.0516"</f>
        <v>60.0516</v>
      </c>
      <c r="C2445" t="s">
        <v>115</v>
      </c>
      <c r="D2445" t="s">
        <v>5183</v>
      </c>
    </row>
    <row r="2446" spans="1:4" x14ac:dyDescent="0.3">
      <c r="A2446" t="str">
        <f>"60"</f>
        <v>60</v>
      </c>
      <c r="B2446" t="str">
        <f>"60.0517"</f>
        <v>60.0517</v>
      </c>
      <c r="C2446" t="s">
        <v>114</v>
      </c>
      <c r="D2446" t="s">
        <v>5182</v>
      </c>
    </row>
    <row r="2447" spans="1:4" x14ac:dyDescent="0.3">
      <c r="A2447" t="str">
        <f>"60"</f>
        <v>60</v>
      </c>
      <c r="B2447" t="str">
        <f>"60.0518"</f>
        <v>60.0518</v>
      </c>
      <c r="C2447" t="s">
        <v>113</v>
      </c>
      <c r="D2447" t="s">
        <v>5181</v>
      </c>
    </row>
    <row r="2448" spans="1:4" x14ac:dyDescent="0.3">
      <c r="A2448" t="str">
        <f>"60"</f>
        <v>60</v>
      </c>
      <c r="B2448" t="str">
        <f>"60.0519"</f>
        <v>60.0519</v>
      </c>
      <c r="C2448" t="s">
        <v>112</v>
      </c>
      <c r="D2448" t="s">
        <v>5180</v>
      </c>
    </row>
    <row r="2449" spans="1:4" x14ac:dyDescent="0.3">
      <c r="A2449" t="str">
        <f>"60"</f>
        <v>60</v>
      </c>
      <c r="B2449" t="str">
        <f>"60.0520"</f>
        <v>60.0520</v>
      </c>
      <c r="C2449" t="s">
        <v>111</v>
      </c>
      <c r="D2449" t="s">
        <v>5179</v>
      </c>
    </row>
    <row r="2450" spans="1:4" x14ac:dyDescent="0.3">
      <c r="A2450" t="str">
        <f>"60"</f>
        <v>60</v>
      </c>
      <c r="B2450" t="str">
        <f>"60.0521"</f>
        <v>60.0521</v>
      </c>
      <c r="C2450" t="s">
        <v>110</v>
      </c>
      <c r="D2450" t="s">
        <v>5178</v>
      </c>
    </row>
    <row r="2451" spans="1:4" x14ac:dyDescent="0.3">
      <c r="A2451" t="str">
        <f>"60"</f>
        <v>60</v>
      </c>
      <c r="B2451" t="str">
        <f>"60.0522"</f>
        <v>60.0522</v>
      </c>
      <c r="C2451" t="s">
        <v>109</v>
      </c>
      <c r="D2451" t="s">
        <v>5177</v>
      </c>
    </row>
    <row r="2452" spans="1:4" x14ac:dyDescent="0.3">
      <c r="A2452" t="str">
        <f>"60"</f>
        <v>60</v>
      </c>
      <c r="B2452" t="str">
        <f>"60.0523"</f>
        <v>60.0523</v>
      </c>
      <c r="C2452" t="s">
        <v>108</v>
      </c>
      <c r="D2452" t="s">
        <v>5176</v>
      </c>
    </row>
    <row r="2453" spans="1:4" x14ac:dyDescent="0.3">
      <c r="A2453" t="str">
        <f>"60"</f>
        <v>60</v>
      </c>
      <c r="B2453" t="str">
        <f>"60.0524"</f>
        <v>60.0524</v>
      </c>
      <c r="C2453" t="s">
        <v>107</v>
      </c>
      <c r="D2453" t="s">
        <v>5175</v>
      </c>
    </row>
    <row r="2454" spans="1:4" x14ac:dyDescent="0.3">
      <c r="A2454" t="str">
        <f>"60"</f>
        <v>60</v>
      </c>
      <c r="B2454" t="str">
        <f>"60.0525"</f>
        <v>60.0525</v>
      </c>
      <c r="C2454" t="s">
        <v>106</v>
      </c>
      <c r="D2454" t="s">
        <v>5174</v>
      </c>
    </row>
    <row r="2455" spans="1:4" x14ac:dyDescent="0.3">
      <c r="A2455" t="str">
        <f>"60"</f>
        <v>60</v>
      </c>
      <c r="B2455" t="str">
        <f>"60.0526"</f>
        <v>60.0526</v>
      </c>
      <c r="C2455" t="s">
        <v>105</v>
      </c>
      <c r="D2455" t="s">
        <v>5173</v>
      </c>
    </row>
    <row r="2456" spans="1:4" x14ac:dyDescent="0.3">
      <c r="A2456" t="str">
        <f>"60"</f>
        <v>60</v>
      </c>
      <c r="B2456" t="str">
        <f>"60.0527"</f>
        <v>60.0527</v>
      </c>
      <c r="C2456" t="s">
        <v>104</v>
      </c>
      <c r="D2456" t="s">
        <v>5172</v>
      </c>
    </row>
    <row r="2457" spans="1:4" x14ac:dyDescent="0.3">
      <c r="A2457" t="str">
        <f>"60"</f>
        <v>60</v>
      </c>
      <c r="B2457" t="str">
        <f>"60.0528"</f>
        <v>60.0528</v>
      </c>
      <c r="C2457" t="s">
        <v>103</v>
      </c>
      <c r="D2457" t="s">
        <v>5171</v>
      </c>
    </row>
    <row r="2458" spans="1:4" x14ac:dyDescent="0.3">
      <c r="A2458" t="str">
        <f>"60"</f>
        <v>60</v>
      </c>
      <c r="B2458" t="str">
        <f>"60.0529"</f>
        <v>60.0529</v>
      </c>
      <c r="C2458" t="s">
        <v>102</v>
      </c>
      <c r="D2458" t="s">
        <v>5170</v>
      </c>
    </row>
    <row r="2459" spans="1:4" x14ac:dyDescent="0.3">
      <c r="A2459" t="str">
        <f>"60"</f>
        <v>60</v>
      </c>
      <c r="B2459" t="str">
        <f>"60.0530"</f>
        <v>60.0530</v>
      </c>
      <c r="C2459" t="s">
        <v>101</v>
      </c>
      <c r="D2459" t="s">
        <v>5169</v>
      </c>
    </row>
    <row r="2460" spans="1:4" x14ac:dyDescent="0.3">
      <c r="A2460" t="str">
        <f>"60"</f>
        <v>60</v>
      </c>
      <c r="B2460" t="str">
        <f>"60.0531"</f>
        <v>60.0531</v>
      </c>
      <c r="C2460" t="s">
        <v>100</v>
      </c>
      <c r="D2460" t="s">
        <v>5168</v>
      </c>
    </row>
    <row r="2461" spans="1:4" x14ac:dyDescent="0.3">
      <c r="A2461" t="str">
        <f>"60"</f>
        <v>60</v>
      </c>
      <c r="B2461" t="str">
        <f>"60.0532"</f>
        <v>60.0532</v>
      </c>
      <c r="C2461" t="s">
        <v>99</v>
      </c>
      <c r="D2461" t="s">
        <v>5167</v>
      </c>
    </row>
    <row r="2462" spans="1:4" x14ac:dyDescent="0.3">
      <c r="A2462" t="str">
        <f>"60"</f>
        <v>60</v>
      </c>
      <c r="B2462" t="str">
        <f>"60.0533"</f>
        <v>60.0533</v>
      </c>
      <c r="C2462" t="s">
        <v>98</v>
      </c>
      <c r="D2462" t="s">
        <v>5166</v>
      </c>
    </row>
    <row r="2463" spans="1:4" x14ac:dyDescent="0.3">
      <c r="A2463" t="str">
        <f>"60"</f>
        <v>60</v>
      </c>
      <c r="B2463" t="str">
        <f>"60.0534"</f>
        <v>60.0534</v>
      </c>
      <c r="C2463" t="s">
        <v>96</v>
      </c>
      <c r="D2463" t="s">
        <v>5165</v>
      </c>
    </row>
    <row r="2464" spans="1:4" x14ac:dyDescent="0.3">
      <c r="A2464" t="str">
        <f>"60"</f>
        <v>60</v>
      </c>
      <c r="B2464" t="str">
        <f>"60.0535"</f>
        <v>60.0535</v>
      </c>
      <c r="C2464" t="s">
        <v>95</v>
      </c>
      <c r="D2464" t="s">
        <v>5164</v>
      </c>
    </row>
    <row r="2465" spans="1:4" x14ac:dyDescent="0.3">
      <c r="A2465" t="str">
        <f>"60"</f>
        <v>60</v>
      </c>
      <c r="B2465" t="str">
        <f>"60.0536"</f>
        <v>60.0536</v>
      </c>
      <c r="C2465" t="s">
        <v>94</v>
      </c>
      <c r="D2465" t="s">
        <v>5163</v>
      </c>
    </row>
    <row r="2466" spans="1:4" x14ac:dyDescent="0.3">
      <c r="A2466" t="str">
        <f>"60"</f>
        <v>60</v>
      </c>
      <c r="B2466" t="str">
        <f>"60.0537"</f>
        <v>60.0537</v>
      </c>
      <c r="C2466" t="s">
        <v>93</v>
      </c>
      <c r="D2466" t="s">
        <v>5162</v>
      </c>
    </row>
    <row r="2467" spans="1:4" x14ac:dyDescent="0.3">
      <c r="A2467" t="str">
        <f>"60"</f>
        <v>60</v>
      </c>
      <c r="B2467" t="str">
        <f>"60.0538"</f>
        <v>60.0538</v>
      </c>
      <c r="C2467" t="s">
        <v>92</v>
      </c>
      <c r="D2467" t="s">
        <v>5161</v>
      </c>
    </row>
    <row r="2468" spans="1:4" x14ac:dyDescent="0.3">
      <c r="A2468" t="str">
        <f>"60"</f>
        <v>60</v>
      </c>
      <c r="B2468" t="str">
        <f>"60.0539"</f>
        <v>60.0539</v>
      </c>
      <c r="C2468" t="s">
        <v>91</v>
      </c>
      <c r="D2468" t="s">
        <v>5160</v>
      </c>
    </row>
    <row r="2469" spans="1:4" x14ac:dyDescent="0.3">
      <c r="A2469" t="str">
        <f>"60"</f>
        <v>60</v>
      </c>
      <c r="B2469" t="str">
        <f>"60.0540"</f>
        <v>60.0540</v>
      </c>
      <c r="C2469" t="s">
        <v>90</v>
      </c>
      <c r="D2469" t="s">
        <v>5159</v>
      </c>
    </row>
    <row r="2470" spans="1:4" x14ac:dyDescent="0.3">
      <c r="A2470" t="str">
        <f>"60"</f>
        <v>60</v>
      </c>
      <c r="B2470" t="str">
        <f>"60.0541"</f>
        <v>60.0541</v>
      </c>
      <c r="C2470" t="s">
        <v>89</v>
      </c>
      <c r="D2470" t="s">
        <v>5158</v>
      </c>
    </row>
    <row r="2471" spans="1:4" x14ac:dyDescent="0.3">
      <c r="A2471" t="str">
        <f>"60"</f>
        <v>60</v>
      </c>
      <c r="B2471" t="str">
        <f>"60.0542"</f>
        <v>60.0542</v>
      </c>
      <c r="C2471" t="s">
        <v>88</v>
      </c>
      <c r="D2471" t="s">
        <v>5157</v>
      </c>
    </row>
    <row r="2472" spans="1:4" x14ac:dyDescent="0.3">
      <c r="A2472" t="str">
        <f>"60"</f>
        <v>60</v>
      </c>
      <c r="B2472" t="str">
        <f>"60.0543"</f>
        <v>60.0543</v>
      </c>
      <c r="C2472" t="s">
        <v>87</v>
      </c>
      <c r="D2472" t="s">
        <v>5156</v>
      </c>
    </row>
    <row r="2473" spans="1:4" x14ac:dyDescent="0.3">
      <c r="A2473" t="str">
        <f>"60"</f>
        <v>60</v>
      </c>
      <c r="B2473" t="str">
        <f>"60.0544"</f>
        <v>60.0544</v>
      </c>
      <c r="C2473" t="s">
        <v>86</v>
      </c>
      <c r="D2473" t="s">
        <v>5155</v>
      </c>
    </row>
    <row r="2474" spans="1:4" x14ac:dyDescent="0.3">
      <c r="A2474" t="str">
        <f>"60"</f>
        <v>60</v>
      </c>
      <c r="B2474" t="str">
        <f>"60.0545"</f>
        <v>60.0545</v>
      </c>
      <c r="C2474" t="s">
        <v>85</v>
      </c>
      <c r="D2474" t="s">
        <v>5154</v>
      </c>
    </row>
    <row r="2475" spans="1:4" x14ac:dyDescent="0.3">
      <c r="A2475" t="str">
        <f>"60"</f>
        <v>60</v>
      </c>
      <c r="B2475" t="str">
        <f>"60.0546"</f>
        <v>60.0546</v>
      </c>
      <c r="C2475" t="s">
        <v>83</v>
      </c>
      <c r="D2475" t="s">
        <v>5153</v>
      </c>
    </row>
    <row r="2476" spans="1:4" x14ac:dyDescent="0.3">
      <c r="A2476" t="str">
        <f>"60"</f>
        <v>60</v>
      </c>
      <c r="B2476" t="str">
        <f>"60.0547"</f>
        <v>60.0547</v>
      </c>
      <c r="C2476" t="s">
        <v>82</v>
      </c>
      <c r="D2476" t="s">
        <v>5152</v>
      </c>
    </row>
    <row r="2477" spans="1:4" x14ac:dyDescent="0.3">
      <c r="A2477" t="str">
        <f>"60"</f>
        <v>60</v>
      </c>
      <c r="B2477" t="str">
        <f>"60.0548"</f>
        <v>60.0548</v>
      </c>
      <c r="C2477" t="s">
        <v>81</v>
      </c>
      <c r="D2477" t="s">
        <v>5151</v>
      </c>
    </row>
    <row r="2478" spans="1:4" x14ac:dyDescent="0.3">
      <c r="A2478" t="str">
        <f>"60"</f>
        <v>60</v>
      </c>
      <c r="B2478" t="str">
        <f>"60.0549"</f>
        <v>60.0549</v>
      </c>
      <c r="C2478" t="s">
        <v>80</v>
      </c>
      <c r="D2478" t="s">
        <v>5150</v>
      </c>
    </row>
    <row r="2479" spans="1:4" x14ac:dyDescent="0.3">
      <c r="A2479" t="str">
        <f>"60"</f>
        <v>60</v>
      </c>
      <c r="B2479" t="str">
        <f>"60.0550"</f>
        <v>60.0550</v>
      </c>
      <c r="C2479" t="s">
        <v>79</v>
      </c>
      <c r="D2479" t="s">
        <v>5149</v>
      </c>
    </row>
    <row r="2480" spans="1:4" x14ac:dyDescent="0.3">
      <c r="A2480" t="str">
        <f>"60"</f>
        <v>60</v>
      </c>
      <c r="B2480" t="str">
        <f>"60.0551"</f>
        <v>60.0551</v>
      </c>
      <c r="C2480" t="s">
        <v>78</v>
      </c>
      <c r="D2480" t="s">
        <v>5148</v>
      </c>
    </row>
    <row r="2481" spans="1:4" x14ac:dyDescent="0.3">
      <c r="A2481" t="str">
        <f>"60"</f>
        <v>60</v>
      </c>
      <c r="B2481" t="str">
        <f>"60.0552"</f>
        <v>60.0552</v>
      </c>
      <c r="C2481" t="s">
        <v>77</v>
      </c>
      <c r="D2481" t="s">
        <v>5147</v>
      </c>
    </row>
    <row r="2482" spans="1:4" x14ac:dyDescent="0.3">
      <c r="A2482" t="str">
        <f>"60"</f>
        <v>60</v>
      </c>
      <c r="B2482" t="str">
        <f>"60.0553"</f>
        <v>60.0553</v>
      </c>
      <c r="C2482" t="s">
        <v>76</v>
      </c>
      <c r="D2482" t="s">
        <v>5146</v>
      </c>
    </row>
    <row r="2483" spans="1:4" x14ac:dyDescent="0.3">
      <c r="A2483" t="str">
        <f>"60"</f>
        <v>60</v>
      </c>
      <c r="B2483" t="str">
        <f>"60.0554"</f>
        <v>60.0554</v>
      </c>
      <c r="C2483" t="s">
        <v>75</v>
      </c>
      <c r="D2483" t="s">
        <v>5145</v>
      </c>
    </row>
    <row r="2484" spans="1:4" x14ac:dyDescent="0.3">
      <c r="A2484" t="str">
        <f>"60"</f>
        <v>60</v>
      </c>
      <c r="B2484" t="str">
        <f>"60.0555"</f>
        <v>60.0555</v>
      </c>
      <c r="C2484" t="s">
        <v>73</v>
      </c>
      <c r="D2484" t="s">
        <v>5144</v>
      </c>
    </row>
    <row r="2485" spans="1:4" x14ac:dyDescent="0.3">
      <c r="A2485" t="str">
        <f>"60"</f>
        <v>60</v>
      </c>
      <c r="B2485" t="str">
        <f>"60.0556"</f>
        <v>60.0556</v>
      </c>
      <c r="C2485" t="s">
        <v>72</v>
      </c>
      <c r="D2485" t="s">
        <v>5143</v>
      </c>
    </row>
    <row r="2486" spans="1:4" x14ac:dyDescent="0.3">
      <c r="A2486" t="str">
        <f>"60"</f>
        <v>60</v>
      </c>
      <c r="B2486" t="str">
        <f>"60.0557"</f>
        <v>60.0557</v>
      </c>
      <c r="C2486" t="s">
        <v>71</v>
      </c>
      <c r="D2486" t="s">
        <v>5142</v>
      </c>
    </row>
    <row r="2487" spans="1:4" x14ac:dyDescent="0.3">
      <c r="A2487" t="str">
        <f>"60"</f>
        <v>60</v>
      </c>
      <c r="B2487" t="str">
        <f>"60.0558"</f>
        <v>60.0558</v>
      </c>
      <c r="C2487" t="s">
        <v>70</v>
      </c>
      <c r="D2487" t="s">
        <v>5141</v>
      </c>
    </row>
    <row r="2488" spans="1:4" x14ac:dyDescent="0.3">
      <c r="A2488" t="str">
        <f>"60"</f>
        <v>60</v>
      </c>
      <c r="B2488" t="str">
        <f>"60.0559"</f>
        <v>60.0559</v>
      </c>
      <c r="C2488" t="s">
        <v>69</v>
      </c>
      <c r="D2488" t="s">
        <v>5140</v>
      </c>
    </row>
    <row r="2489" spans="1:4" x14ac:dyDescent="0.3">
      <c r="A2489" t="str">
        <f>"60"</f>
        <v>60</v>
      </c>
      <c r="B2489" t="str">
        <f>"60.0560"</f>
        <v>60.0560</v>
      </c>
      <c r="C2489" t="s">
        <v>68</v>
      </c>
      <c r="D2489" t="s">
        <v>5139</v>
      </c>
    </row>
    <row r="2490" spans="1:4" x14ac:dyDescent="0.3">
      <c r="A2490" t="str">
        <f>"60"</f>
        <v>60</v>
      </c>
      <c r="B2490" t="str">
        <f>"60.0561"</f>
        <v>60.0561</v>
      </c>
      <c r="C2490" t="s">
        <v>67</v>
      </c>
      <c r="D2490" t="s">
        <v>5138</v>
      </c>
    </row>
    <row r="2491" spans="1:4" x14ac:dyDescent="0.3">
      <c r="A2491" t="str">
        <f>"60"</f>
        <v>60</v>
      </c>
      <c r="B2491" t="str">
        <f>"60.0562"</f>
        <v>60.0562</v>
      </c>
      <c r="C2491" t="s">
        <v>66</v>
      </c>
      <c r="D2491" t="s">
        <v>5137</v>
      </c>
    </row>
    <row r="2492" spans="1:4" x14ac:dyDescent="0.3">
      <c r="A2492" t="str">
        <f>"60"</f>
        <v>60</v>
      </c>
      <c r="B2492" t="str">
        <f>"60.0563"</f>
        <v>60.0563</v>
      </c>
      <c r="C2492" t="s">
        <v>65</v>
      </c>
      <c r="D2492" t="s">
        <v>5136</v>
      </c>
    </row>
    <row r="2493" spans="1:4" x14ac:dyDescent="0.3">
      <c r="A2493" t="str">
        <f>"60"</f>
        <v>60</v>
      </c>
      <c r="B2493" t="str">
        <f>"60.0564"</f>
        <v>60.0564</v>
      </c>
      <c r="C2493" t="s">
        <v>64</v>
      </c>
      <c r="D2493" t="s">
        <v>5135</v>
      </c>
    </row>
    <row r="2494" spans="1:4" x14ac:dyDescent="0.3">
      <c r="A2494" t="str">
        <f>"60"</f>
        <v>60</v>
      </c>
      <c r="B2494" t="str">
        <f>"60.0565"</f>
        <v>60.0565</v>
      </c>
      <c r="C2494" t="s">
        <v>63</v>
      </c>
      <c r="D2494" t="s">
        <v>5134</v>
      </c>
    </row>
    <row r="2495" spans="1:4" x14ac:dyDescent="0.3">
      <c r="A2495" t="str">
        <f>"60"</f>
        <v>60</v>
      </c>
      <c r="B2495" t="str">
        <f>"60.0566"</f>
        <v>60.0566</v>
      </c>
      <c r="C2495" t="s">
        <v>62</v>
      </c>
      <c r="D2495" t="s">
        <v>5133</v>
      </c>
    </row>
    <row r="2496" spans="1:4" x14ac:dyDescent="0.3">
      <c r="A2496" t="str">
        <f>"60"</f>
        <v>60</v>
      </c>
      <c r="B2496" t="str">
        <f>"60.0567"</f>
        <v>60.0567</v>
      </c>
      <c r="C2496" t="s">
        <v>61</v>
      </c>
      <c r="D2496" t="s">
        <v>5132</v>
      </c>
    </row>
    <row r="2497" spans="1:4" x14ac:dyDescent="0.3">
      <c r="A2497" t="str">
        <f>"60"</f>
        <v>60</v>
      </c>
      <c r="B2497" t="str">
        <f>"60.0568"</f>
        <v>60.0568</v>
      </c>
      <c r="C2497" t="s">
        <v>60</v>
      </c>
      <c r="D2497" t="s">
        <v>5131</v>
      </c>
    </row>
    <row r="2498" spans="1:4" x14ac:dyDescent="0.3">
      <c r="A2498" t="str">
        <f>"60"</f>
        <v>60</v>
      </c>
      <c r="B2498" t="str">
        <f>"60.0569"</f>
        <v>60.0569</v>
      </c>
      <c r="C2498" t="s">
        <v>59</v>
      </c>
      <c r="D2498" t="s">
        <v>5130</v>
      </c>
    </row>
    <row r="2499" spans="1:4" x14ac:dyDescent="0.3">
      <c r="A2499" t="str">
        <f>"60"</f>
        <v>60</v>
      </c>
      <c r="B2499" t="str">
        <f>"60.0570"</f>
        <v>60.0570</v>
      </c>
      <c r="C2499" t="s">
        <v>58</v>
      </c>
      <c r="D2499" t="s">
        <v>5129</v>
      </c>
    </row>
    <row r="2500" spans="1:4" x14ac:dyDescent="0.3">
      <c r="A2500" t="str">
        <f>"60"</f>
        <v>60</v>
      </c>
      <c r="B2500" t="str">
        <f>"60.0571"</f>
        <v>60.0571</v>
      </c>
      <c r="C2500" t="s">
        <v>57</v>
      </c>
      <c r="D2500" t="s">
        <v>5128</v>
      </c>
    </row>
    <row r="2501" spans="1:4" x14ac:dyDescent="0.3">
      <c r="A2501" t="str">
        <f>"60"</f>
        <v>60</v>
      </c>
      <c r="B2501" t="str">
        <f>"60.0572"</f>
        <v>60.0572</v>
      </c>
      <c r="C2501" t="s">
        <v>56</v>
      </c>
      <c r="D2501" t="s">
        <v>5127</v>
      </c>
    </row>
    <row r="2502" spans="1:4" x14ac:dyDescent="0.3">
      <c r="A2502" t="str">
        <f>"60"</f>
        <v>60</v>
      </c>
      <c r="B2502" t="str">
        <f>"60.0573"</f>
        <v>60.0573</v>
      </c>
      <c r="C2502" t="s">
        <v>55</v>
      </c>
      <c r="D2502" t="s">
        <v>5126</v>
      </c>
    </row>
    <row r="2503" spans="1:4" x14ac:dyDescent="0.3">
      <c r="A2503" t="str">
        <f>"60"</f>
        <v>60</v>
      </c>
      <c r="B2503" t="str">
        <f>"60.0574"</f>
        <v>60.0574</v>
      </c>
      <c r="C2503" t="s">
        <v>54</v>
      </c>
      <c r="D2503" t="s">
        <v>5125</v>
      </c>
    </row>
    <row r="2504" spans="1:4" x14ac:dyDescent="0.3">
      <c r="A2504" t="str">
        <f>"60"</f>
        <v>60</v>
      </c>
      <c r="B2504" t="str">
        <f>"60.0575"</f>
        <v>60.0575</v>
      </c>
      <c r="C2504" t="s">
        <v>53</v>
      </c>
      <c r="D2504" t="s">
        <v>5124</v>
      </c>
    </row>
    <row r="2505" spans="1:4" x14ac:dyDescent="0.3">
      <c r="A2505" t="str">
        <f>"60"</f>
        <v>60</v>
      </c>
      <c r="B2505" t="str">
        <f>"60.0576"</f>
        <v>60.0576</v>
      </c>
      <c r="C2505" t="s">
        <v>52</v>
      </c>
      <c r="D2505" t="s">
        <v>5123</v>
      </c>
    </row>
    <row r="2506" spans="1:4" x14ac:dyDescent="0.3">
      <c r="A2506" t="str">
        <f>"60"</f>
        <v>60</v>
      </c>
      <c r="B2506" t="str">
        <f>"60.0577"</f>
        <v>60.0577</v>
      </c>
      <c r="C2506" t="s">
        <v>51</v>
      </c>
      <c r="D2506" t="s">
        <v>5122</v>
      </c>
    </row>
    <row r="2507" spans="1:4" x14ac:dyDescent="0.3">
      <c r="A2507" t="str">
        <f>"60"</f>
        <v>60</v>
      </c>
      <c r="B2507" t="str">
        <f>"60.0578"</f>
        <v>60.0578</v>
      </c>
      <c r="C2507" t="s">
        <v>49</v>
      </c>
      <c r="D2507" t="s">
        <v>5121</v>
      </c>
    </row>
    <row r="2508" spans="1:4" x14ac:dyDescent="0.3">
      <c r="A2508" t="str">
        <f>"60"</f>
        <v>60</v>
      </c>
      <c r="B2508" t="str">
        <f>"60.0579"</f>
        <v>60.0579</v>
      </c>
      <c r="C2508" t="s">
        <v>47</v>
      </c>
      <c r="D2508" t="s">
        <v>5120</v>
      </c>
    </row>
    <row r="2509" spans="1:4" x14ac:dyDescent="0.3">
      <c r="A2509" t="str">
        <f>"60"</f>
        <v>60</v>
      </c>
      <c r="B2509" t="str">
        <f>"60.0580"</f>
        <v>60.0580</v>
      </c>
      <c r="C2509" t="s">
        <v>46</v>
      </c>
      <c r="D2509" t="s">
        <v>5119</v>
      </c>
    </row>
    <row r="2510" spans="1:4" x14ac:dyDescent="0.3">
      <c r="A2510" t="str">
        <f>"60"</f>
        <v>60</v>
      </c>
      <c r="B2510" t="str">
        <f>"60.0581"</f>
        <v>60.0581</v>
      </c>
      <c r="C2510" t="s">
        <v>44</v>
      </c>
      <c r="D2510" t="s">
        <v>5118</v>
      </c>
    </row>
    <row r="2511" spans="1:4" x14ac:dyDescent="0.3">
      <c r="A2511" t="str">
        <f>"60"</f>
        <v>60</v>
      </c>
      <c r="B2511" t="str">
        <f>"60.0582"</f>
        <v>60.0582</v>
      </c>
      <c r="C2511" t="s">
        <v>43</v>
      </c>
      <c r="D2511" t="s">
        <v>5117</v>
      </c>
    </row>
    <row r="2512" spans="1:4" x14ac:dyDescent="0.3">
      <c r="A2512" t="str">
        <f>"60"</f>
        <v>60</v>
      </c>
      <c r="B2512" t="str">
        <f>"60.0583"</f>
        <v>60.0583</v>
      </c>
      <c r="C2512" t="s">
        <v>42</v>
      </c>
      <c r="D2512" t="s">
        <v>5116</v>
      </c>
    </row>
    <row r="2513" spans="1:4" x14ac:dyDescent="0.3">
      <c r="A2513" t="str">
        <f>"60"</f>
        <v>60</v>
      </c>
      <c r="B2513" t="str">
        <f>"60.0584"</f>
        <v>60.0584</v>
      </c>
      <c r="C2513" t="s">
        <v>41</v>
      </c>
      <c r="D2513" t="s">
        <v>5115</v>
      </c>
    </row>
    <row r="2514" spans="1:4" x14ac:dyDescent="0.3">
      <c r="A2514" t="str">
        <f>"60"</f>
        <v>60</v>
      </c>
      <c r="B2514" t="str">
        <f>"60.0599"</f>
        <v>60.0599</v>
      </c>
      <c r="C2514" t="s">
        <v>40</v>
      </c>
      <c r="D2514" t="s">
        <v>5114</v>
      </c>
    </row>
    <row r="2515" spans="1:4" x14ac:dyDescent="0.3">
      <c r="A2515" t="str">
        <f>"60"</f>
        <v>60</v>
      </c>
      <c r="B2515" t="str">
        <f>"60.06"</f>
        <v>60.06</v>
      </c>
      <c r="C2515" t="s">
        <v>39</v>
      </c>
      <c r="D2515" t="s">
        <v>5113</v>
      </c>
    </row>
    <row r="2516" spans="1:4" x14ac:dyDescent="0.3">
      <c r="A2516" t="str">
        <f>"60"</f>
        <v>60</v>
      </c>
      <c r="B2516" t="str">
        <f>"60.0601"</f>
        <v>60.0601</v>
      </c>
      <c r="C2516" t="s">
        <v>38</v>
      </c>
      <c r="D2516" t="s">
        <v>5112</v>
      </c>
    </row>
    <row r="2517" spans="1:4" x14ac:dyDescent="0.3">
      <c r="A2517" t="str">
        <f>"60"</f>
        <v>60</v>
      </c>
      <c r="B2517" t="str">
        <f>"60.0602"</f>
        <v>60.0602</v>
      </c>
      <c r="C2517" t="s">
        <v>37</v>
      </c>
      <c r="D2517" t="s">
        <v>5112</v>
      </c>
    </row>
    <row r="2518" spans="1:4" x14ac:dyDescent="0.3">
      <c r="A2518" t="str">
        <f>"60"</f>
        <v>60</v>
      </c>
      <c r="B2518" t="str">
        <f>"60.07"</f>
        <v>60.07</v>
      </c>
      <c r="C2518" t="s">
        <v>5111</v>
      </c>
      <c r="D2518" t="s">
        <v>5110</v>
      </c>
    </row>
    <row r="2519" spans="1:4" x14ac:dyDescent="0.3">
      <c r="A2519" t="str">
        <f>"60"</f>
        <v>60</v>
      </c>
      <c r="B2519" t="str">
        <f>"60.0701"</f>
        <v>60.0701</v>
      </c>
      <c r="C2519" t="s">
        <v>5109</v>
      </c>
      <c r="D2519" t="s">
        <v>5108</v>
      </c>
    </row>
    <row r="2520" spans="1:4" x14ac:dyDescent="0.3">
      <c r="A2520" t="str">
        <f>"60"</f>
        <v>60</v>
      </c>
      <c r="B2520" t="str">
        <f>"60.0702"</f>
        <v>60.0702</v>
      </c>
      <c r="C2520" t="s">
        <v>5107</v>
      </c>
      <c r="D2520" t="s">
        <v>5106</v>
      </c>
    </row>
    <row r="2521" spans="1:4" x14ac:dyDescent="0.3">
      <c r="A2521" t="str">
        <f>"60"</f>
        <v>60</v>
      </c>
      <c r="B2521" t="str">
        <f>"60.0703"</f>
        <v>60.0703</v>
      </c>
      <c r="C2521" t="s">
        <v>5105</v>
      </c>
      <c r="D2521" t="s">
        <v>5104</v>
      </c>
    </row>
    <row r="2522" spans="1:4" x14ac:dyDescent="0.3">
      <c r="A2522" t="str">
        <f>"60"</f>
        <v>60</v>
      </c>
      <c r="B2522" t="str">
        <f>"60.0704"</f>
        <v>60.0704</v>
      </c>
      <c r="C2522" t="s">
        <v>5103</v>
      </c>
      <c r="D2522" t="s">
        <v>5102</v>
      </c>
    </row>
    <row r="2523" spans="1:4" x14ac:dyDescent="0.3">
      <c r="A2523" t="str">
        <f>"60"</f>
        <v>60</v>
      </c>
      <c r="B2523" t="str">
        <f>"60.0705"</f>
        <v>60.0705</v>
      </c>
      <c r="C2523" t="s">
        <v>5101</v>
      </c>
      <c r="D2523" t="s">
        <v>5100</v>
      </c>
    </row>
    <row r="2524" spans="1:4" x14ac:dyDescent="0.3">
      <c r="A2524" t="str">
        <f>"60"</f>
        <v>60</v>
      </c>
      <c r="B2524" t="str">
        <f>"60.0706"</f>
        <v>60.0706</v>
      </c>
      <c r="C2524" t="s">
        <v>5099</v>
      </c>
      <c r="D2524" t="s">
        <v>5098</v>
      </c>
    </row>
    <row r="2525" spans="1:4" x14ac:dyDescent="0.3">
      <c r="A2525" t="str">
        <f>"60"</f>
        <v>60</v>
      </c>
      <c r="B2525" t="str">
        <f>"60.0707"</f>
        <v>60.0707</v>
      </c>
      <c r="C2525" t="s">
        <v>5097</v>
      </c>
      <c r="D2525" t="s">
        <v>5096</v>
      </c>
    </row>
    <row r="2526" spans="1:4" x14ac:dyDescent="0.3">
      <c r="A2526" t="str">
        <f>"60"</f>
        <v>60</v>
      </c>
      <c r="B2526" t="str">
        <f>"60.0708"</f>
        <v>60.0708</v>
      </c>
      <c r="C2526" t="s">
        <v>5095</v>
      </c>
      <c r="D2526" t="s">
        <v>5094</v>
      </c>
    </row>
    <row r="2527" spans="1:4" x14ac:dyDescent="0.3">
      <c r="A2527" t="str">
        <f>"60"</f>
        <v>60</v>
      </c>
      <c r="B2527" t="str">
        <f>"60.0709"</f>
        <v>60.0709</v>
      </c>
      <c r="C2527" t="s">
        <v>5093</v>
      </c>
      <c r="D2527" t="s">
        <v>5092</v>
      </c>
    </row>
    <row r="2528" spans="1:4" x14ac:dyDescent="0.3">
      <c r="A2528" t="str">
        <f>"60"</f>
        <v>60</v>
      </c>
      <c r="B2528" t="str">
        <f>"60.0710"</f>
        <v>60.0710</v>
      </c>
      <c r="C2528" t="s">
        <v>5091</v>
      </c>
      <c r="D2528" t="s">
        <v>5090</v>
      </c>
    </row>
    <row r="2529" spans="1:4" x14ac:dyDescent="0.3">
      <c r="A2529" t="str">
        <f>"60"</f>
        <v>60</v>
      </c>
      <c r="B2529" t="str">
        <f>"60.0711"</f>
        <v>60.0711</v>
      </c>
      <c r="C2529" t="s">
        <v>5089</v>
      </c>
      <c r="D2529" t="s">
        <v>5088</v>
      </c>
    </row>
    <row r="2530" spans="1:4" x14ac:dyDescent="0.3">
      <c r="A2530" t="str">
        <f>"60"</f>
        <v>60</v>
      </c>
      <c r="B2530" t="str">
        <f>"60.0712"</f>
        <v>60.0712</v>
      </c>
      <c r="C2530" t="s">
        <v>5087</v>
      </c>
      <c r="D2530" t="s">
        <v>5086</v>
      </c>
    </row>
    <row r="2531" spans="1:4" x14ac:dyDescent="0.3">
      <c r="A2531" t="str">
        <f>"60"</f>
        <v>60</v>
      </c>
      <c r="B2531" t="str">
        <f>"60.0713"</f>
        <v>60.0713</v>
      </c>
      <c r="C2531" t="s">
        <v>5085</v>
      </c>
      <c r="D2531" t="s">
        <v>5084</v>
      </c>
    </row>
    <row r="2532" spans="1:4" x14ac:dyDescent="0.3">
      <c r="A2532" t="str">
        <f>"60"</f>
        <v>60</v>
      </c>
      <c r="B2532" t="str">
        <f>"60.0714"</f>
        <v>60.0714</v>
      </c>
      <c r="C2532" t="s">
        <v>5083</v>
      </c>
      <c r="D2532" t="s">
        <v>5082</v>
      </c>
    </row>
    <row r="2533" spans="1:4" x14ac:dyDescent="0.3">
      <c r="A2533" t="str">
        <f>"60"</f>
        <v>60</v>
      </c>
      <c r="B2533" t="str">
        <f>"60.0715"</f>
        <v>60.0715</v>
      </c>
      <c r="C2533" t="s">
        <v>5081</v>
      </c>
      <c r="D2533" t="s">
        <v>5080</v>
      </c>
    </row>
    <row r="2534" spans="1:4" x14ac:dyDescent="0.3">
      <c r="A2534" t="str">
        <f>"60"</f>
        <v>60</v>
      </c>
      <c r="B2534" t="str">
        <f>"60.0716"</f>
        <v>60.0716</v>
      </c>
      <c r="C2534" t="s">
        <v>5079</v>
      </c>
      <c r="D2534" t="s">
        <v>5078</v>
      </c>
    </row>
    <row r="2535" spans="1:4" x14ac:dyDescent="0.3">
      <c r="A2535" t="str">
        <f>"60"</f>
        <v>60</v>
      </c>
      <c r="B2535" t="str">
        <f>"60.0717"</f>
        <v>60.0717</v>
      </c>
      <c r="C2535" t="s">
        <v>5077</v>
      </c>
      <c r="D2535" t="s">
        <v>5076</v>
      </c>
    </row>
    <row r="2536" spans="1:4" x14ac:dyDescent="0.3">
      <c r="A2536" t="str">
        <f>"60"</f>
        <v>60</v>
      </c>
      <c r="B2536" t="str">
        <f>"60.0718"</f>
        <v>60.0718</v>
      </c>
      <c r="C2536" t="s">
        <v>5075</v>
      </c>
      <c r="D2536" t="s">
        <v>5074</v>
      </c>
    </row>
    <row r="2537" spans="1:4" x14ac:dyDescent="0.3">
      <c r="A2537" t="str">
        <f>"60"</f>
        <v>60</v>
      </c>
      <c r="B2537" t="str">
        <f>"60.0719"</f>
        <v>60.0719</v>
      </c>
      <c r="C2537" t="s">
        <v>5073</v>
      </c>
      <c r="D2537" t="s">
        <v>5072</v>
      </c>
    </row>
    <row r="2538" spans="1:4" x14ac:dyDescent="0.3">
      <c r="A2538" t="str">
        <f>"60"</f>
        <v>60</v>
      </c>
      <c r="B2538" t="str">
        <f>"60.0720"</f>
        <v>60.0720</v>
      </c>
      <c r="C2538" t="s">
        <v>5071</v>
      </c>
      <c r="D2538" t="s">
        <v>5070</v>
      </c>
    </row>
    <row r="2539" spans="1:4" x14ac:dyDescent="0.3">
      <c r="A2539" t="str">
        <f>"60"</f>
        <v>60</v>
      </c>
      <c r="B2539" t="str">
        <f>"60.0721"</f>
        <v>60.0721</v>
      </c>
      <c r="C2539" t="s">
        <v>5069</v>
      </c>
      <c r="D2539" t="s">
        <v>5068</v>
      </c>
    </row>
    <row r="2540" spans="1:4" x14ac:dyDescent="0.3">
      <c r="A2540" t="str">
        <f>"60"</f>
        <v>60</v>
      </c>
      <c r="B2540" t="str">
        <f>"60.0722"</f>
        <v>60.0722</v>
      </c>
      <c r="C2540" t="s">
        <v>5067</v>
      </c>
      <c r="D2540" t="s">
        <v>5066</v>
      </c>
    </row>
    <row r="2541" spans="1:4" x14ac:dyDescent="0.3">
      <c r="A2541" t="str">
        <f>"60"</f>
        <v>60</v>
      </c>
      <c r="B2541" t="str">
        <f>"60.0723"</f>
        <v>60.0723</v>
      </c>
      <c r="C2541" t="s">
        <v>5065</v>
      </c>
      <c r="D2541" t="s">
        <v>5064</v>
      </c>
    </row>
    <row r="2542" spans="1:4" x14ac:dyDescent="0.3">
      <c r="A2542" t="str">
        <f>"60"</f>
        <v>60</v>
      </c>
      <c r="B2542" t="str">
        <f>"60.0724"</f>
        <v>60.0724</v>
      </c>
      <c r="C2542" t="s">
        <v>5063</v>
      </c>
      <c r="D2542" t="s">
        <v>5062</v>
      </c>
    </row>
    <row r="2543" spans="1:4" x14ac:dyDescent="0.3">
      <c r="A2543" t="str">
        <f>"60"</f>
        <v>60</v>
      </c>
      <c r="B2543" t="str">
        <f>"60.0725"</f>
        <v>60.0725</v>
      </c>
      <c r="C2543" t="s">
        <v>5061</v>
      </c>
      <c r="D2543" t="s">
        <v>5060</v>
      </c>
    </row>
    <row r="2544" spans="1:4" x14ac:dyDescent="0.3">
      <c r="A2544" t="str">
        <f>"60"</f>
        <v>60</v>
      </c>
      <c r="B2544" t="str">
        <f>"60.0726"</f>
        <v>60.0726</v>
      </c>
      <c r="C2544" t="s">
        <v>5059</v>
      </c>
      <c r="D2544" t="s">
        <v>5058</v>
      </c>
    </row>
    <row r="2545" spans="1:4" x14ac:dyDescent="0.3">
      <c r="A2545" t="str">
        <f>"60"</f>
        <v>60</v>
      </c>
      <c r="B2545" t="str">
        <f>"60.0727"</f>
        <v>60.0727</v>
      </c>
      <c r="C2545" t="s">
        <v>5057</v>
      </c>
      <c r="D2545" t="s">
        <v>5056</v>
      </c>
    </row>
    <row r="2546" spans="1:4" x14ac:dyDescent="0.3">
      <c r="A2546" t="str">
        <f>"60"</f>
        <v>60</v>
      </c>
      <c r="B2546" t="str">
        <f>"60.0728"</f>
        <v>60.0728</v>
      </c>
      <c r="C2546" t="s">
        <v>5055</v>
      </c>
      <c r="D2546" t="s">
        <v>5054</v>
      </c>
    </row>
    <row r="2547" spans="1:4" x14ac:dyDescent="0.3">
      <c r="A2547" t="str">
        <f>"60"</f>
        <v>60</v>
      </c>
      <c r="B2547" t="str">
        <f>"60.0729"</f>
        <v>60.0729</v>
      </c>
      <c r="C2547" t="s">
        <v>5053</v>
      </c>
      <c r="D2547" t="s">
        <v>5052</v>
      </c>
    </row>
    <row r="2548" spans="1:4" x14ac:dyDescent="0.3">
      <c r="A2548" t="str">
        <f>"60"</f>
        <v>60</v>
      </c>
      <c r="B2548" t="str">
        <f>"60.0730"</f>
        <v>60.0730</v>
      </c>
      <c r="C2548" t="s">
        <v>5051</v>
      </c>
      <c r="D2548" t="s">
        <v>5050</v>
      </c>
    </row>
    <row r="2549" spans="1:4" x14ac:dyDescent="0.3">
      <c r="A2549" t="str">
        <f>"60"</f>
        <v>60</v>
      </c>
      <c r="B2549" t="str">
        <f>"60.0731"</f>
        <v>60.0731</v>
      </c>
      <c r="C2549" t="s">
        <v>5049</v>
      </c>
      <c r="D2549" t="s">
        <v>5048</v>
      </c>
    </row>
    <row r="2550" spans="1:4" x14ac:dyDescent="0.3">
      <c r="A2550" t="str">
        <f>"60"</f>
        <v>60</v>
      </c>
      <c r="B2550" t="str">
        <f>"60.0732"</f>
        <v>60.0732</v>
      </c>
      <c r="C2550" t="s">
        <v>5047</v>
      </c>
      <c r="D2550" t="s">
        <v>5046</v>
      </c>
    </row>
    <row r="2551" spans="1:4" x14ac:dyDescent="0.3">
      <c r="A2551" t="str">
        <f>"60"</f>
        <v>60</v>
      </c>
      <c r="B2551" t="str">
        <f>"60.0733"</f>
        <v>60.0733</v>
      </c>
      <c r="C2551" t="s">
        <v>5045</v>
      </c>
      <c r="D2551" t="s">
        <v>5044</v>
      </c>
    </row>
    <row r="2552" spans="1:4" x14ac:dyDescent="0.3">
      <c r="A2552" t="str">
        <f>"60"</f>
        <v>60</v>
      </c>
      <c r="B2552" t="str">
        <f>"60.0734"</f>
        <v>60.0734</v>
      </c>
      <c r="C2552" t="s">
        <v>5043</v>
      </c>
      <c r="D2552" t="s">
        <v>5042</v>
      </c>
    </row>
    <row r="2553" spans="1:4" x14ac:dyDescent="0.3">
      <c r="A2553" t="str">
        <f>"60"</f>
        <v>60</v>
      </c>
      <c r="B2553" t="str">
        <f>"60.0735"</f>
        <v>60.0735</v>
      </c>
      <c r="C2553" t="s">
        <v>5041</v>
      </c>
      <c r="D2553" t="s">
        <v>5040</v>
      </c>
    </row>
    <row r="2554" spans="1:4" x14ac:dyDescent="0.3">
      <c r="A2554" t="str">
        <f>"60"</f>
        <v>60</v>
      </c>
      <c r="B2554" t="str">
        <f>"60.0736"</f>
        <v>60.0736</v>
      </c>
      <c r="C2554" t="s">
        <v>5039</v>
      </c>
      <c r="D2554" t="s">
        <v>5038</v>
      </c>
    </row>
    <row r="2555" spans="1:4" x14ac:dyDescent="0.3">
      <c r="A2555" t="str">
        <f>"60"</f>
        <v>60</v>
      </c>
      <c r="B2555" t="str">
        <f>"60.0737"</f>
        <v>60.0737</v>
      </c>
      <c r="C2555" t="s">
        <v>5037</v>
      </c>
      <c r="D2555" t="s">
        <v>5036</v>
      </c>
    </row>
    <row r="2556" spans="1:4" x14ac:dyDescent="0.3">
      <c r="A2556" t="str">
        <f>"60"</f>
        <v>60</v>
      </c>
      <c r="B2556" t="str">
        <f>"60.0738"</f>
        <v>60.0738</v>
      </c>
      <c r="C2556" t="s">
        <v>5035</v>
      </c>
      <c r="D2556" t="s">
        <v>5034</v>
      </c>
    </row>
    <row r="2557" spans="1:4" x14ac:dyDescent="0.3">
      <c r="A2557" t="str">
        <f>"60"</f>
        <v>60</v>
      </c>
      <c r="B2557" t="str">
        <f>"60.0739"</f>
        <v>60.0739</v>
      </c>
      <c r="C2557" t="s">
        <v>5033</v>
      </c>
      <c r="D2557" t="s">
        <v>5032</v>
      </c>
    </row>
    <row r="2558" spans="1:4" x14ac:dyDescent="0.3">
      <c r="A2558" t="str">
        <f>"60"</f>
        <v>60</v>
      </c>
      <c r="B2558" t="str">
        <f>"60.0740"</f>
        <v>60.0740</v>
      </c>
      <c r="C2558" t="s">
        <v>5031</v>
      </c>
      <c r="D2558" t="s">
        <v>5030</v>
      </c>
    </row>
    <row r="2559" spans="1:4" x14ac:dyDescent="0.3">
      <c r="A2559" t="str">
        <f>"60"</f>
        <v>60</v>
      </c>
      <c r="B2559" t="str">
        <f>"60.0741"</f>
        <v>60.0741</v>
      </c>
      <c r="C2559" t="s">
        <v>5029</v>
      </c>
      <c r="D2559" t="s">
        <v>5028</v>
      </c>
    </row>
    <row r="2560" spans="1:4" x14ac:dyDescent="0.3">
      <c r="A2560" t="str">
        <f>"60"</f>
        <v>60</v>
      </c>
      <c r="B2560" t="str">
        <f>"60.0742"</f>
        <v>60.0742</v>
      </c>
      <c r="C2560" t="s">
        <v>5027</v>
      </c>
      <c r="D2560" t="s">
        <v>5026</v>
      </c>
    </row>
    <row r="2561" spans="1:6" x14ac:dyDescent="0.3">
      <c r="A2561" t="str">
        <f>"60"</f>
        <v>60</v>
      </c>
      <c r="B2561" t="str">
        <f>"60.0743"</f>
        <v>60.0743</v>
      </c>
      <c r="C2561" t="s">
        <v>5025</v>
      </c>
      <c r="D2561" t="s">
        <v>5024</v>
      </c>
    </row>
    <row r="2562" spans="1:6" x14ac:dyDescent="0.3">
      <c r="A2562" t="str">
        <f>"60"</f>
        <v>60</v>
      </c>
      <c r="B2562" t="str">
        <f>"60.0744"</f>
        <v>60.0744</v>
      </c>
      <c r="C2562" t="s">
        <v>5023</v>
      </c>
      <c r="D2562" t="s">
        <v>5022</v>
      </c>
    </row>
    <row r="2563" spans="1:6" x14ac:dyDescent="0.3">
      <c r="A2563" t="str">
        <f>"60"</f>
        <v>60</v>
      </c>
      <c r="B2563" t="str">
        <f>"60.0745"</f>
        <v>60.0745</v>
      </c>
      <c r="C2563" t="s">
        <v>5021</v>
      </c>
      <c r="D2563" t="s">
        <v>5020</v>
      </c>
    </row>
    <row r="2564" spans="1:6" x14ac:dyDescent="0.3">
      <c r="A2564" t="str">
        <f>"60"</f>
        <v>60</v>
      </c>
      <c r="B2564" t="str">
        <f>"60.0746"</f>
        <v>60.0746</v>
      </c>
      <c r="C2564" t="s">
        <v>5019</v>
      </c>
      <c r="D2564" t="s">
        <v>5018</v>
      </c>
    </row>
    <row r="2565" spans="1:6" x14ac:dyDescent="0.3">
      <c r="A2565" t="str">
        <f>"60"</f>
        <v>60</v>
      </c>
      <c r="B2565" t="str">
        <f>"60.0747"</f>
        <v>60.0747</v>
      </c>
      <c r="C2565" t="s">
        <v>5017</v>
      </c>
      <c r="D2565" t="s">
        <v>5016</v>
      </c>
    </row>
    <row r="2566" spans="1:6" x14ac:dyDescent="0.3">
      <c r="A2566" t="str">
        <f>"60"</f>
        <v>60</v>
      </c>
      <c r="B2566" t="str">
        <f>"60.0748"</f>
        <v>60.0748</v>
      </c>
      <c r="C2566" t="s">
        <v>5015</v>
      </c>
      <c r="D2566" t="s">
        <v>5014</v>
      </c>
    </row>
    <row r="2567" spans="1:6" x14ac:dyDescent="0.3">
      <c r="A2567" t="str">
        <f>"60"</f>
        <v>60</v>
      </c>
      <c r="B2567" t="str">
        <f>"60.0749"</f>
        <v>60.0749</v>
      </c>
      <c r="C2567" t="s">
        <v>5013</v>
      </c>
      <c r="D2567" t="s">
        <v>5012</v>
      </c>
    </row>
    <row r="2568" spans="1:6" x14ac:dyDescent="0.3">
      <c r="A2568" t="str">
        <f>"60"</f>
        <v>60</v>
      </c>
      <c r="B2568" t="str">
        <f>"60.0750"</f>
        <v>60.0750</v>
      </c>
      <c r="C2568" t="s">
        <v>5011</v>
      </c>
      <c r="D2568" t="s">
        <v>5010</v>
      </c>
    </row>
    <row r="2569" spans="1:6" x14ac:dyDescent="0.3">
      <c r="A2569" t="str">
        <f>"60"</f>
        <v>60</v>
      </c>
      <c r="B2569" t="str">
        <f>"60.0751"</f>
        <v>60.0751</v>
      </c>
      <c r="C2569" t="s">
        <v>5009</v>
      </c>
      <c r="D2569" t="s">
        <v>5008</v>
      </c>
    </row>
    <row r="2570" spans="1:6" x14ac:dyDescent="0.3">
      <c r="A2570" t="str">
        <f>"60"</f>
        <v>60</v>
      </c>
      <c r="B2570" t="str">
        <f>"60.0799"</f>
        <v>60.0799</v>
      </c>
      <c r="C2570" t="s">
        <v>5007</v>
      </c>
      <c r="D2570" t="s">
        <v>5006</v>
      </c>
    </row>
    <row r="2571" spans="1:6" x14ac:dyDescent="0.3">
      <c r="A2571" t="str">
        <f>"60"</f>
        <v>60</v>
      </c>
      <c r="B2571" t="str">
        <f>"60.08"</f>
        <v>60.08</v>
      </c>
      <c r="C2571" t="s">
        <v>5005</v>
      </c>
      <c r="D2571" t="s">
        <v>5004</v>
      </c>
    </row>
    <row r="2572" spans="1:6" x14ac:dyDescent="0.3">
      <c r="A2572" t="str">
        <f>"60"</f>
        <v>60</v>
      </c>
      <c r="B2572" t="str">
        <f>"60.0801"</f>
        <v>60.0801</v>
      </c>
      <c r="C2572" t="s">
        <v>5003</v>
      </c>
      <c r="D2572" t="s">
        <v>5002</v>
      </c>
    </row>
    <row r="2573" spans="1:6" x14ac:dyDescent="0.3">
      <c r="A2573" t="str">
        <f>"60"</f>
        <v>60</v>
      </c>
      <c r="B2573" t="str">
        <f>"60.0802"</f>
        <v>60.0802</v>
      </c>
      <c r="C2573" t="s">
        <v>5001</v>
      </c>
      <c r="D2573" t="s">
        <v>5000</v>
      </c>
    </row>
    <row r="2574" spans="1:6" x14ac:dyDescent="0.3">
      <c r="A2574" t="str">
        <f>"60"</f>
        <v>60</v>
      </c>
      <c r="B2574" t="str">
        <f>"60.0803"</f>
        <v>60.0803</v>
      </c>
      <c r="C2574" t="s">
        <v>4999</v>
      </c>
      <c r="D2574" t="s">
        <v>4998</v>
      </c>
    </row>
    <row r="2575" spans="1:6" x14ac:dyDescent="0.3">
      <c r="A2575" t="str">
        <f>"60"</f>
        <v>60</v>
      </c>
      <c r="B2575" t="str">
        <f>"60.0804"</f>
        <v>60.0804</v>
      </c>
      <c r="C2575" t="s">
        <v>4997</v>
      </c>
      <c r="D2575" t="s">
        <v>4996</v>
      </c>
    </row>
    <row r="2576" spans="1:6" x14ac:dyDescent="0.3">
      <c r="A2576" t="str">
        <f>"60"</f>
        <v>60</v>
      </c>
      <c r="B2576" t="str">
        <f>"60.0805"</f>
        <v>60.0805</v>
      </c>
      <c r="C2576" t="s">
        <v>4995</v>
      </c>
      <c r="D2576" t="s">
        <v>4994</v>
      </c>
      <c r="F2576" t="s">
        <v>4993</v>
      </c>
    </row>
    <row r="2577" spans="1:6" x14ac:dyDescent="0.3">
      <c r="A2577" t="str">
        <f>"60"</f>
        <v>60</v>
      </c>
      <c r="B2577" t="str">
        <f>"60.0806"</f>
        <v>60.0806</v>
      </c>
      <c r="C2577" t="s">
        <v>4992</v>
      </c>
      <c r="D2577" t="s">
        <v>4991</v>
      </c>
    </row>
    <row r="2578" spans="1:6" x14ac:dyDescent="0.3">
      <c r="A2578" t="str">
        <f>"60"</f>
        <v>60</v>
      </c>
      <c r="B2578" t="str">
        <f>"60.0807"</f>
        <v>60.0807</v>
      </c>
      <c r="C2578" t="s">
        <v>4990</v>
      </c>
      <c r="D2578" t="s">
        <v>4989</v>
      </c>
    </row>
    <row r="2579" spans="1:6" x14ac:dyDescent="0.3">
      <c r="A2579" t="str">
        <f>"60"</f>
        <v>60</v>
      </c>
      <c r="B2579" t="str">
        <f>"60.0808"</f>
        <v>60.0808</v>
      </c>
      <c r="C2579" t="s">
        <v>4988</v>
      </c>
      <c r="D2579" t="s">
        <v>4987</v>
      </c>
    </row>
    <row r="2580" spans="1:6" x14ac:dyDescent="0.3">
      <c r="A2580" t="str">
        <f>"60"</f>
        <v>60</v>
      </c>
      <c r="B2580" t="str">
        <f>"60.0809"</f>
        <v>60.0809</v>
      </c>
      <c r="C2580" t="s">
        <v>4986</v>
      </c>
      <c r="D2580" t="s">
        <v>4985</v>
      </c>
    </row>
    <row r="2581" spans="1:6" x14ac:dyDescent="0.3">
      <c r="A2581" t="str">
        <f>"60"</f>
        <v>60</v>
      </c>
      <c r="B2581" t="str">
        <f>"60.0810"</f>
        <v>60.0810</v>
      </c>
      <c r="C2581" t="s">
        <v>4984</v>
      </c>
      <c r="D2581" t="s">
        <v>4983</v>
      </c>
    </row>
    <row r="2582" spans="1:6" x14ac:dyDescent="0.3">
      <c r="A2582" t="str">
        <f>"60"</f>
        <v>60</v>
      </c>
      <c r="B2582" t="str">
        <f>"60.0811"</f>
        <v>60.0811</v>
      </c>
      <c r="C2582" t="s">
        <v>4982</v>
      </c>
      <c r="D2582" t="s">
        <v>4981</v>
      </c>
    </row>
    <row r="2583" spans="1:6" x14ac:dyDescent="0.3">
      <c r="A2583" t="str">
        <f>"60"</f>
        <v>60</v>
      </c>
      <c r="B2583" t="str">
        <f>"60.0812"</f>
        <v>60.0812</v>
      </c>
      <c r="C2583" t="s">
        <v>4980</v>
      </c>
      <c r="D2583" t="s">
        <v>4979</v>
      </c>
    </row>
    <row r="2584" spans="1:6" x14ac:dyDescent="0.3">
      <c r="A2584" t="str">
        <f>"60"</f>
        <v>60</v>
      </c>
      <c r="B2584" t="str">
        <f>"60.0813"</f>
        <v>60.0813</v>
      </c>
      <c r="C2584" t="s">
        <v>4978</v>
      </c>
      <c r="D2584" t="s">
        <v>4977</v>
      </c>
    </row>
    <row r="2585" spans="1:6" x14ac:dyDescent="0.3">
      <c r="A2585" t="str">
        <f>"60"</f>
        <v>60</v>
      </c>
      <c r="B2585" t="str">
        <f>"60.0814"</f>
        <v>60.0814</v>
      </c>
      <c r="C2585" t="s">
        <v>4976</v>
      </c>
      <c r="D2585" t="s">
        <v>4975</v>
      </c>
    </row>
    <row r="2586" spans="1:6" x14ac:dyDescent="0.3">
      <c r="A2586" t="str">
        <f>"60"</f>
        <v>60</v>
      </c>
      <c r="B2586" t="str">
        <f>"60.0815"</f>
        <v>60.0815</v>
      </c>
      <c r="C2586" t="s">
        <v>4974</v>
      </c>
      <c r="D2586" t="s">
        <v>4973</v>
      </c>
      <c r="F2586" t="s">
        <v>4972</v>
      </c>
    </row>
    <row r="2587" spans="1:6" x14ac:dyDescent="0.3">
      <c r="A2587" t="str">
        <f>"60"</f>
        <v>60</v>
      </c>
      <c r="B2587" t="str">
        <f>"60.0816"</f>
        <v>60.0816</v>
      </c>
      <c r="C2587" t="s">
        <v>4971</v>
      </c>
      <c r="D2587" t="s">
        <v>4970</v>
      </c>
    </row>
    <row r="2588" spans="1:6" x14ac:dyDescent="0.3">
      <c r="A2588" t="str">
        <f>"60"</f>
        <v>60</v>
      </c>
      <c r="B2588" t="str">
        <f>"60.0817"</f>
        <v>60.0817</v>
      </c>
      <c r="C2588" t="s">
        <v>4969</v>
      </c>
      <c r="D2588" t="s">
        <v>4968</v>
      </c>
    </row>
    <row r="2589" spans="1:6" x14ac:dyDescent="0.3">
      <c r="A2589" t="str">
        <f>"60"</f>
        <v>60</v>
      </c>
      <c r="B2589" t="str">
        <f>"60.0818"</f>
        <v>60.0818</v>
      </c>
      <c r="C2589" t="s">
        <v>4967</v>
      </c>
      <c r="D2589" t="s">
        <v>4966</v>
      </c>
    </row>
    <row r="2590" spans="1:6" x14ac:dyDescent="0.3">
      <c r="A2590" t="str">
        <f>"60"</f>
        <v>60</v>
      </c>
      <c r="B2590" t="str">
        <f>"60.0819"</f>
        <v>60.0819</v>
      </c>
      <c r="C2590" t="s">
        <v>4965</v>
      </c>
      <c r="D2590" t="s">
        <v>4964</v>
      </c>
    </row>
    <row r="2591" spans="1:6" x14ac:dyDescent="0.3">
      <c r="A2591" t="str">
        <f>"60"</f>
        <v>60</v>
      </c>
      <c r="B2591" t="str">
        <f>"60.0820"</f>
        <v>60.0820</v>
      </c>
      <c r="C2591" t="s">
        <v>4963</v>
      </c>
      <c r="D2591" t="s">
        <v>4962</v>
      </c>
    </row>
    <row r="2592" spans="1:6" x14ac:dyDescent="0.3">
      <c r="A2592" t="str">
        <f>"60"</f>
        <v>60</v>
      </c>
      <c r="B2592" t="str">
        <f>"60.0821"</f>
        <v>60.0821</v>
      </c>
      <c r="C2592" t="s">
        <v>4961</v>
      </c>
      <c r="D2592" t="s">
        <v>4960</v>
      </c>
    </row>
    <row r="2593" spans="1:6" x14ac:dyDescent="0.3">
      <c r="A2593" t="str">
        <f>"60"</f>
        <v>60</v>
      </c>
      <c r="B2593" t="str">
        <f>"60.0822"</f>
        <v>60.0822</v>
      </c>
      <c r="C2593" t="s">
        <v>4959</v>
      </c>
      <c r="D2593" t="s">
        <v>4958</v>
      </c>
    </row>
    <row r="2594" spans="1:6" x14ac:dyDescent="0.3">
      <c r="A2594" t="str">
        <f>"60"</f>
        <v>60</v>
      </c>
      <c r="B2594" t="str">
        <f>"60.0823"</f>
        <v>60.0823</v>
      </c>
      <c r="C2594" t="s">
        <v>4957</v>
      </c>
      <c r="D2594" t="s">
        <v>4956</v>
      </c>
    </row>
    <row r="2595" spans="1:6" x14ac:dyDescent="0.3">
      <c r="A2595" t="str">
        <f>"60"</f>
        <v>60</v>
      </c>
      <c r="B2595" t="str">
        <f>"60.0824"</f>
        <v>60.0824</v>
      </c>
      <c r="C2595" t="s">
        <v>4955</v>
      </c>
      <c r="D2595" t="s">
        <v>4954</v>
      </c>
    </row>
    <row r="2596" spans="1:6" x14ac:dyDescent="0.3">
      <c r="A2596" t="str">
        <f>"60"</f>
        <v>60</v>
      </c>
      <c r="B2596" t="str">
        <f>"60.0825"</f>
        <v>60.0825</v>
      </c>
      <c r="C2596" t="s">
        <v>4953</v>
      </c>
      <c r="D2596" t="s">
        <v>4952</v>
      </c>
    </row>
    <row r="2597" spans="1:6" x14ac:dyDescent="0.3">
      <c r="A2597" t="str">
        <f>"60"</f>
        <v>60</v>
      </c>
      <c r="B2597" t="str">
        <f>"60.0826"</f>
        <v>60.0826</v>
      </c>
      <c r="C2597" t="s">
        <v>4951</v>
      </c>
      <c r="D2597" t="s">
        <v>4950</v>
      </c>
    </row>
    <row r="2598" spans="1:6" x14ac:dyDescent="0.3">
      <c r="A2598" t="str">
        <f>"60"</f>
        <v>60</v>
      </c>
      <c r="B2598" t="str">
        <f>"60.0827"</f>
        <v>60.0827</v>
      </c>
      <c r="C2598" t="s">
        <v>4949</v>
      </c>
      <c r="D2598" t="s">
        <v>4948</v>
      </c>
    </row>
    <row r="2599" spans="1:6" x14ac:dyDescent="0.3">
      <c r="A2599" t="str">
        <f>"60"</f>
        <v>60</v>
      </c>
      <c r="B2599" t="str">
        <f>"60.0828"</f>
        <v>60.0828</v>
      </c>
      <c r="C2599" t="s">
        <v>4947</v>
      </c>
      <c r="D2599" t="s">
        <v>4946</v>
      </c>
    </row>
    <row r="2600" spans="1:6" x14ac:dyDescent="0.3">
      <c r="A2600" t="str">
        <f>"60"</f>
        <v>60</v>
      </c>
      <c r="B2600" t="str">
        <f>"60.0829"</f>
        <v>60.0829</v>
      </c>
      <c r="C2600" t="s">
        <v>4945</v>
      </c>
      <c r="D2600" t="s">
        <v>4944</v>
      </c>
    </row>
    <row r="2601" spans="1:6" x14ac:dyDescent="0.3">
      <c r="A2601" t="str">
        <f>"60"</f>
        <v>60</v>
      </c>
      <c r="B2601" t="str">
        <f>"60.0830"</f>
        <v>60.0830</v>
      </c>
      <c r="C2601" t="s">
        <v>4943</v>
      </c>
      <c r="D2601" t="s">
        <v>4942</v>
      </c>
      <c r="F2601" t="s">
        <v>4941</v>
      </c>
    </row>
    <row r="2602" spans="1:6" x14ac:dyDescent="0.3">
      <c r="A2602" t="str">
        <f>"60"</f>
        <v>60</v>
      </c>
      <c r="B2602" t="str">
        <f>"60.0831"</f>
        <v>60.0831</v>
      </c>
      <c r="C2602" t="s">
        <v>4940</v>
      </c>
      <c r="D2602" t="s">
        <v>4939</v>
      </c>
    </row>
    <row r="2603" spans="1:6" x14ac:dyDescent="0.3">
      <c r="A2603" t="str">
        <f>"60"</f>
        <v>60</v>
      </c>
      <c r="B2603" t="str">
        <f>"60.0832"</f>
        <v>60.0832</v>
      </c>
      <c r="C2603" t="s">
        <v>4938</v>
      </c>
      <c r="D2603" t="s">
        <v>4937</v>
      </c>
      <c r="F2603" t="s">
        <v>4936</v>
      </c>
    </row>
    <row r="2604" spans="1:6" x14ac:dyDescent="0.3">
      <c r="A2604" t="str">
        <f>"60"</f>
        <v>60</v>
      </c>
      <c r="B2604" t="str">
        <f>"60.0899"</f>
        <v>60.0899</v>
      </c>
      <c r="C2604" t="s">
        <v>4935</v>
      </c>
      <c r="D2604" t="s">
        <v>4934</v>
      </c>
    </row>
    <row r="2605" spans="1:6" x14ac:dyDescent="0.3">
      <c r="A2605" t="str">
        <f>"60"</f>
        <v>60</v>
      </c>
      <c r="B2605" t="str">
        <f>"60.09"</f>
        <v>60.09</v>
      </c>
      <c r="C2605" t="s">
        <v>4933</v>
      </c>
      <c r="D2605" t="s">
        <v>4932</v>
      </c>
    </row>
    <row r="2606" spans="1:6" x14ac:dyDescent="0.3">
      <c r="A2606" t="str">
        <f>"60"</f>
        <v>60</v>
      </c>
      <c r="B2606" t="str">
        <f>"60.0901"</f>
        <v>60.0901</v>
      </c>
      <c r="C2606" t="s">
        <v>4931</v>
      </c>
      <c r="D2606" t="s">
        <v>4930</v>
      </c>
      <c r="F2606" t="s">
        <v>4929</v>
      </c>
    </row>
    <row r="2607" spans="1:6" x14ac:dyDescent="0.3">
      <c r="A2607" t="str">
        <f>"60"</f>
        <v>60</v>
      </c>
      <c r="B2607" t="str">
        <f>"60.0902"</f>
        <v>60.0902</v>
      </c>
      <c r="C2607" t="s">
        <v>4928</v>
      </c>
      <c r="D2607" t="s">
        <v>4927</v>
      </c>
      <c r="F2607" t="s">
        <v>4926</v>
      </c>
    </row>
    <row r="2608" spans="1:6" x14ac:dyDescent="0.3">
      <c r="A2608" t="str">
        <f>"60"</f>
        <v>60</v>
      </c>
      <c r="B2608" t="str">
        <f>"60.0903"</f>
        <v>60.0903</v>
      </c>
      <c r="C2608" t="s">
        <v>4925</v>
      </c>
      <c r="D2608" t="s">
        <v>4924</v>
      </c>
      <c r="F2608" t="s">
        <v>4923</v>
      </c>
    </row>
    <row r="2609" spans="1:6" x14ac:dyDescent="0.3">
      <c r="A2609" t="str">
        <f>"60"</f>
        <v>60</v>
      </c>
      <c r="B2609" t="str">
        <f>"60.0904"</f>
        <v>60.0904</v>
      </c>
      <c r="C2609" t="s">
        <v>4922</v>
      </c>
      <c r="D2609" t="s">
        <v>4921</v>
      </c>
      <c r="F2609" t="s">
        <v>4920</v>
      </c>
    </row>
    <row r="2610" spans="1:6" x14ac:dyDescent="0.3">
      <c r="A2610" t="str">
        <f>"60"</f>
        <v>60</v>
      </c>
      <c r="B2610" t="str">
        <f>"60.0905"</f>
        <v>60.0905</v>
      </c>
      <c r="C2610" t="s">
        <v>4919</v>
      </c>
      <c r="D2610" t="s">
        <v>4918</v>
      </c>
      <c r="F2610" t="s">
        <v>4917</v>
      </c>
    </row>
    <row r="2611" spans="1:6" x14ac:dyDescent="0.3">
      <c r="A2611" t="str">
        <f>"60"</f>
        <v>60</v>
      </c>
      <c r="B2611" t="str">
        <f>"60.0906"</f>
        <v>60.0906</v>
      </c>
      <c r="C2611" t="s">
        <v>4916</v>
      </c>
      <c r="D2611" t="s">
        <v>4915</v>
      </c>
      <c r="F2611" t="s">
        <v>4914</v>
      </c>
    </row>
    <row r="2612" spans="1:6" x14ac:dyDescent="0.3">
      <c r="A2612" t="str">
        <f>"60"</f>
        <v>60</v>
      </c>
      <c r="B2612" t="str">
        <f>"60.0907"</f>
        <v>60.0907</v>
      </c>
      <c r="C2612" t="s">
        <v>4913</v>
      </c>
      <c r="D2612" t="s">
        <v>4912</v>
      </c>
      <c r="F2612" t="s">
        <v>4911</v>
      </c>
    </row>
    <row r="2613" spans="1:6" x14ac:dyDescent="0.3">
      <c r="A2613" t="str">
        <f>"60"</f>
        <v>60</v>
      </c>
      <c r="B2613" t="str">
        <f>"60.0908"</f>
        <v>60.0908</v>
      </c>
      <c r="C2613" t="s">
        <v>4910</v>
      </c>
      <c r="D2613" t="s">
        <v>4909</v>
      </c>
      <c r="F2613" t="s">
        <v>4908</v>
      </c>
    </row>
    <row r="2614" spans="1:6" x14ac:dyDescent="0.3">
      <c r="A2614" t="str">
        <f>"60"</f>
        <v>60</v>
      </c>
      <c r="B2614" t="str">
        <f>"60.0909"</f>
        <v>60.0909</v>
      </c>
      <c r="C2614" t="s">
        <v>4907</v>
      </c>
      <c r="D2614" t="s">
        <v>4906</v>
      </c>
      <c r="F2614" t="s">
        <v>4905</v>
      </c>
    </row>
    <row r="2615" spans="1:6" x14ac:dyDescent="0.3">
      <c r="A2615" t="str">
        <f>"60"</f>
        <v>60</v>
      </c>
      <c r="B2615" t="str">
        <f>"60.0910"</f>
        <v>60.0910</v>
      </c>
      <c r="C2615" t="s">
        <v>4904</v>
      </c>
      <c r="D2615" t="s">
        <v>4903</v>
      </c>
      <c r="F2615" t="s">
        <v>4902</v>
      </c>
    </row>
    <row r="2616" spans="1:6" x14ac:dyDescent="0.3">
      <c r="A2616" t="str">
        <f>"60"</f>
        <v>60</v>
      </c>
      <c r="B2616" t="str">
        <f>"60.0911"</f>
        <v>60.0911</v>
      </c>
      <c r="C2616" t="s">
        <v>4901</v>
      </c>
      <c r="D2616" t="s">
        <v>4900</v>
      </c>
      <c r="F2616" t="s">
        <v>4899</v>
      </c>
    </row>
    <row r="2617" spans="1:6" x14ac:dyDescent="0.3">
      <c r="A2617" t="str">
        <f>"60"</f>
        <v>60</v>
      </c>
      <c r="B2617" t="str">
        <f>"60.0912"</f>
        <v>60.0912</v>
      </c>
      <c r="C2617" t="s">
        <v>4898</v>
      </c>
      <c r="D2617" t="s">
        <v>4897</v>
      </c>
      <c r="F2617" t="s">
        <v>4896</v>
      </c>
    </row>
    <row r="2618" spans="1:6" x14ac:dyDescent="0.3">
      <c r="A2618" t="str">
        <f>"60"</f>
        <v>60</v>
      </c>
      <c r="B2618" t="str">
        <f>"60.0913"</f>
        <v>60.0913</v>
      </c>
      <c r="C2618" t="s">
        <v>4895</v>
      </c>
      <c r="D2618" t="s">
        <v>4894</v>
      </c>
      <c r="F2618" t="s">
        <v>4893</v>
      </c>
    </row>
    <row r="2619" spans="1:6" x14ac:dyDescent="0.3">
      <c r="A2619" t="str">
        <f>"60"</f>
        <v>60</v>
      </c>
      <c r="B2619" t="str">
        <f>"60.0914"</f>
        <v>60.0914</v>
      </c>
      <c r="C2619" t="s">
        <v>4892</v>
      </c>
      <c r="D2619" t="s">
        <v>4891</v>
      </c>
      <c r="F2619" t="s">
        <v>4890</v>
      </c>
    </row>
    <row r="2620" spans="1:6" x14ac:dyDescent="0.3">
      <c r="A2620" t="str">
        <f>"60"</f>
        <v>60</v>
      </c>
      <c r="B2620" t="str">
        <f>"60.0915"</f>
        <v>60.0915</v>
      </c>
      <c r="C2620" t="s">
        <v>4889</v>
      </c>
      <c r="D2620" t="s">
        <v>4888</v>
      </c>
      <c r="F2620" t="s">
        <v>4887</v>
      </c>
    </row>
    <row r="2621" spans="1:6" x14ac:dyDescent="0.3">
      <c r="A2621" t="str">
        <f>"60"</f>
        <v>60</v>
      </c>
      <c r="B2621" t="str">
        <f>"60.0916"</f>
        <v>60.0916</v>
      </c>
      <c r="C2621" t="s">
        <v>4886</v>
      </c>
      <c r="D2621" t="s">
        <v>4885</v>
      </c>
      <c r="F2621" t="s">
        <v>4884</v>
      </c>
    </row>
    <row r="2622" spans="1:6" x14ac:dyDescent="0.3">
      <c r="A2622" t="str">
        <f>"60"</f>
        <v>60</v>
      </c>
      <c r="B2622" t="str">
        <f>"60.0917"</f>
        <v>60.0917</v>
      </c>
      <c r="C2622" t="s">
        <v>4883</v>
      </c>
      <c r="D2622" t="s">
        <v>4882</v>
      </c>
      <c r="F2622" t="s">
        <v>4881</v>
      </c>
    </row>
    <row r="2623" spans="1:6" x14ac:dyDescent="0.3">
      <c r="A2623" t="str">
        <f>"60"</f>
        <v>60</v>
      </c>
      <c r="B2623" t="str">
        <f>"60.0918"</f>
        <v>60.0918</v>
      </c>
      <c r="C2623" t="s">
        <v>4880</v>
      </c>
      <c r="D2623" t="s">
        <v>4879</v>
      </c>
      <c r="F2623" t="s">
        <v>4878</v>
      </c>
    </row>
    <row r="2624" spans="1:6" x14ac:dyDescent="0.3">
      <c r="A2624" t="str">
        <f>"60"</f>
        <v>60</v>
      </c>
      <c r="B2624" t="str">
        <f>"60.0919"</f>
        <v>60.0919</v>
      </c>
      <c r="C2624" t="s">
        <v>4877</v>
      </c>
      <c r="D2624" t="s">
        <v>4876</v>
      </c>
      <c r="F2624" t="s">
        <v>4875</v>
      </c>
    </row>
    <row r="2625" spans="1:6" x14ac:dyDescent="0.3">
      <c r="A2625" t="str">
        <f>"60"</f>
        <v>60</v>
      </c>
      <c r="B2625" t="str">
        <f>"60.0920"</f>
        <v>60.0920</v>
      </c>
      <c r="C2625" t="s">
        <v>4874</v>
      </c>
      <c r="D2625" t="s">
        <v>4873</v>
      </c>
      <c r="F2625" t="s">
        <v>4872</v>
      </c>
    </row>
    <row r="2626" spans="1:6" x14ac:dyDescent="0.3">
      <c r="A2626" t="str">
        <f>"60"</f>
        <v>60</v>
      </c>
      <c r="B2626" t="str">
        <f>"60.0999"</f>
        <v>60.0999</v>
      </c>
      <c r="C2626" t="s">
        <v>4871</v>
      </c>
      <c r="D2626" t="s">
        <v>4870</v>
      </c>
      <c r="F2626" t="s">
        <v>4869</v>
      </c>
    </row>
    <row r="2627" spans="1:6" x14ac:dyDescent="0.3">
      <c r="A2627" t="str">
        <f>"60"</f>
        <v>60</v>
      </c>
      <c r="B2627" t="str">
        <f>"60.99"</f>
        <v>60.99</v>
      </c>
      <c r="C2627" t="s">
        <v>4867</v>
      </c>
      <c r="D2627" t="s">
        <v>4868</v>
      </c>
    </row>
    <row r="2628" spans="1:6" x14ac:dyDescent="0.3">
      <c r="A2628" t="str">
        <f>"60"</f>
        <v>60</v>
      </c>
      <c r="B2628" t="str">
        <f>"60.9999"</f>
        <v>60.9999</v>
      </c>
      <c r="C2628" t="s">
        <v>4867</v>
      </c>
      <c r="D2628" t="s">
        <v>4866</v>
      </c>
    </row>
    <row r="2629" spans="1:6" x14ac:dyDescent="0.3">
      <c r="A2629" t="str">
        <f>"61"</f>
        <v>61</v>
      </c>
      <c r="B2629" t="str">
        <f>"61"</f>
        <v>61</v>
      </c>
      <c r="C2629" t="s">
        <v>4865</v>
      </c>
      <c r="D2629" t="s">
        <v>4864</v>
      </c>
    </row>
    <row r="2630" spans="1:6" x14ac:dyDescent="0.3">
      <c r="A2630" t="str">
        <f>"61"</f>
        <v>61</v>
      </c>
      <c r="B2630" t="str">
        <f>"61.01"</f>
        <v>61.01</v>
      </c>
      <c r="C2630" t="s">
        <v>4863</v>
      </c>
      <c r="D2630" t="s">
        <v>4862</v>
      </c>
    </row>
    <row r="2631" spans="1:6" x14ac:dyDescent="0.3">
      <c r="A2631" t="str">
        <f>"61"</f>
        <v>61</v>
      </c>
      <c r="B2631" t="str">
        <f>"61.0101"</f>
        <v>61.0101</v>
      </c>
      <c r="C2631" t="s">
        <v>4861</v>
      </c>
      <c r="D2631" t="s">
        <v>4860</v>
      </c>
    </row>
    <row r="2632" spans="1:6" x14ac:dyDescent="0.3">
      <c r="A2632" t="str">
        <f>"61"</f>
        <v>61</v>
      </c>
      <c r="B2632" t="str">
        <f>"61.0102"</f>
        <v>61.0102</v>
      </c>
      <c r="C2632" t="s">
        <v>4859</v>
      </c>
      <c r="D2632" t="s">
        <v>4858</v>
      </c>
    </row>
    <row r="2633" spans="1:6" x14ac:dyDescent="0.3">
      <c r="A2633" t="str">
        <f>"61"</f>
        <v>61</v>
      </c>
      <c r="B2633" t="str">
        <f>"61.0103"</f>
        <v>61.0103</v>
      </c>
      <c r="C2633" t="s">
        <v>4857</v>
      </c>
      <c r="D2633" t="s">
        <v>4856</v>
      </c>
    </row>
    <row r="2634" spans="1:6" x14ac:dyDescent="0.3">
      <c r="A2634" t="str">
        <f>"61"</f>
        <v>61</v>
      </c>
      <c r="B2634" t="str">
        <f>"61.0104"</f>
        <v>61.0104</v>
      </c>
      <c r="C2634" t="s">
        <v>4855</v>
      </c>
      <c r="D2634" t="s">
        <v>4854</v>
      </c>
    </row>
    <row r="2635" spans="1:6" x14ac:dyDescent="0.3">
      <c r="A2635" t="str">
        <f>"61"</f>
        <v>61</v>
      </c>
      <c r="B2635" t="str">
        <f>"61.0105"</f>
        <v>61.0105</v>
      </c>
      <c r="C2635" t="s">
        <v>4853</v>
      </c>
      <c r="D2635" t="s">
        <v>4852</v>
      </c>
    </row>
    <row r="2636" spans="1:6" x14ac:dyDescent="0.3">
      <c r="A2636" t="str">
        <f>"61"</f>
        <v>61</v>
      </c>
      <c r="B2636" t="str">
        <f>"61.0106"</f>
        <v>61.0106</v>
      </c>
      <c r="C2636" t="s">
        <v>4851</v>
      </c>
      <c r="D2636" t="s">
        <v>4850</v>
      </c>
    </row>
    <row r="2637" spans="1:6" x14ac:dyDescent="0.3">
      <c r="A2637" t="str">
        <f>"61"</f>
        <v>61</v>
      </c>
      <c r="B2637" t="str">
        <f>"61.0107"</f>
        <v>61.0107</v>
      </c>
      <c r="C2637" t="s">
        <v>4849</v>
      </c>
      <c r="D2637" t="s">
        <v>4848</v>
      </c>
    </row>
    <row r="2638" spans="1:6" x14ac:dyDescent="0.3">
      <c r="A2638" t="str">
        <f>"61"</f>
        <v>61</v>
      </c>
      <c r="B2638" t="str">
        <f>"61.0108"</f>
        <v>61.0108</v>
      </c>
      <c r="C2638" t="s">
        <v>4847</v>
      </c>
      <c r="D2638" t="s">
        <v>4846</v>
      </c>
    </row>
    <row r="2639" spans="1:6" x14ac:dyDescent="0.3">
      <c r="A2639" t="str">
        <f>"61"</f>
        <v>61</v>
      </c>
      <c r="B2639" t="str">
        <f>"61.0109"</f>
        <v>61.0109</v>
      </c>
      <c r="C2639" t="s">
        <v>4845</v>
      </c>
      <c r="D2639" t="s">
        <v>4844</v>
      </c>
    </row>
    <row r="2640" spans="1:6" x14ac:dyDescent="0.3">
      <c r="A2640" t="str">
        <f>"61"</f>
        <v>61</v>
      </c>
      <c r="B2640" t="str">
        <f>"61.0110"</f>
        <v>61.0110</v>
      </c>
      <c r="C2640" t="s">
        <v>4843</v>
      </c>
      <c r="D2640" t="s">
        <v>4842</v>
      </c>
    </row>
    <row r="2641" spans="1:4" x14ac:dyDescent="0.3">
      <c r="A2641" t="str">
        <f>"61"</f>
        <v>61</v>
      </c>
      <c r="B2641" t="str">
        <f>"61.0111"</f>
        <v>61.0111</v>
      </c>
      <c r="C2641" t="s">
        <v>4841</v>
      </c>
      <c r="D2641" t="s">
        <v>4840</v>
      </c>
    </row>
    <row r="2642" spans="1:4" x14ac:dyDescent="0.3">
      <c r="A2642" t="str">
        <f>"61"</f>
        <v>61</v>
      </c>
      <c r="B2642" t="str">
        <f>"61.0112"</f>
        <v>61.0112</v>
      </c>
      <c r="C2642" t="s">
        <v>4839</v>
      </c>
      <c r="D2642" t="s">
        <v>4838</v>
      </c>
    </row>
    <row r="2643" spans="1:4" x14ac:dyDescent="0.3">
      <c r="A2643" t="str">
        <f>"61"</f>
        <v>61</v>
      </c>
      <c r="B2643" t="str">
        <f>"61.0113"</f>
        <v>61.0113</v>
      </c>
      <c r="C2643" t="s">
        <v>4837</v>
      </c>
      <c r="D2643" t="s">
        <v>4836</v>
      </c>
    </row>
    <row r="2644" spans="1:4" x14ac:dyDescent="0.3">
      <c r="A2644" t="str">
        <f>"61"</f>
        <v>61</v>
      </c>
      <c r="B2644" t="str">
        <f>"61.0114"</f>
        <v>61.0114</v>
      </c>
      <c r="C2644" t="s">
        <v>4835</v>
      </c>
      <c r="D2644" t="s">
        <v>4834</v>
      </c>
    </row>
    <row r="2645" spans="1:4" x14ac:dyDescent="0.3">
      <c r="A2645" t="str">
        <f>"61"</f>
        <v>61</v>
      </c>
      <c r="B2645" t="str">
        <f>"61.0115"</f>
        <v>61.0115</v>
      </c>
      <c r="C2645" t="s">
        <v>4833</v>
      </c>
      <c r="D2645" t="s">
        <v>4832</v>
      </c>
    </row>
    <row r="2646" spans="1:4" x14ac:dyDescent="0.3">
      <c r="A2646" t="str">
        <f>"61"</f>
        <v>61</v>
      </c>
      <c r="B2646" t="str">
        <f>"61.0116"</f>
        <v>61.0116</v>
      </c>
      <c r="C2646" t="s">
        <v>4831</v>
      </c>
      <c r="D2646" t="s">
        <v>4830</v>
      </c>
    </row>
    <row r="2647" spans="1:4" x14ac:dyDescent="0.3">
      <c r="A2647" t="str">
        <f>"61"</f>
        <v>61</v>
      </c>
      <c r="B2647" t="str">
        <f>"61.0117"</f>
        <v>61.0117</v>
      </c>
      <c r="C2647" t="s">
        <v>4829</v>
      </c>
      <c r="D2647" t="s">
        <v>4828</v>
      </c>
    </row>
    <row r="2648" spans="1:4" x14ac:dyDescent="0.3">
      <c r="A2648" t="str">
        <f>"61"</f>
        <v>61</v>
      </c>
      <c r="B2648" t="str">
        <f>"61.0118"</f>
        <v>61.0118</v>
      </c>
      <c r="C2648" t="s">
        <v>4827</v>
      </c>
      <c r="D2648" t="s">
        <v>4826</v>
      </c>
    </row>
    <row r="2649" spans="1:4" x14ac:dyDescent="0.3">
      <c r="A2649" t="str">
        <f>"61"</f>
        <v>61</v>
      </c>
      <c r="B2649" t="str">
        <f>"61.0119"</f>
        <v>61.0119</v>
      </c>
      <c r="C2649" t="s">
        <v>4825</v>
      </c>
      <c r="D2649" t="s">
        <v>4824</v>
      </c>
    </row>
    <row r="2650" spans="1:4" x14ac:dyDescent="0.3">
      <c r="A2650" t="str">
        <f>"61"</f>
        <v>61</v>
      </c>
      <c r="B2650" t="str">
        <f>"61.0120"</f>
        <v>61.0120</v>
      </c>
      <c r="C2650" t="s">
        <v>4823</v>
      </c>
      <c r="D2650" t="s">
        <v>4822</v>
      </c>
    </row>
    <row r="2651" spans="1:4" x14ac:dyDescent="0.3">
      <c r="A2651" t="str">
        <f>"61"</f>
        <v>61</v>
      </c>
      <c r="B2651" t="str">
        <f>"61.0121"</f>
        <v>61.0121</v>
      </c>
      <c r="C2651" t="s">
        <v>4821</v>
      </c>
      <c r="D2651" t="s">
        <v>4820</v>
      </c>
    </row>
    <row r="2652" spans="1:4" x14ac:dyDescent="0.3">
      <c r="A2652" t="str">
        <f>"61"</f>
        <v>61</v>
      </c>
      <c r="B2652" t="str">
        <f>"61.0122"</f>
        <v>61.0122</v>
      </c>
      <c r="C2652" t="s">
        <v>4819</v>
      </c>
      <c r="D2652" t="s">
        <v>4818</v>
      </c>
    </row>
    <row r="2653" spans="1:4" x14ac:dyDescent="0.3">
      <c r="A2653" t="str">
        <f>"61"</f>
        <v>61</v>
      </c>
      <c r="B2653" t="str">
        <f>"61.0123"</f>
        <v>61.0123</v>
      </c>
      <c r="C2653" t="s">
        <v>4817</v>
      </c>
      <c r="D2653" t="s">
        <v>4816</v>
      </c>
    </row>
    <row r="2654" spans="1:4" x14ac:dyDescent="0.3">
      <c r="A2654" t="str">
        <f>"61"</f>
        <v>61</v>
      </c>
      <c r="B2654" t="str">
        <f>"61.0124"</f>
        <v>61.0124</v>
      </c>
      <c r="C2654" t="s">
        <v>4815</v>
      </c>
      <c r="D2654" t="s">
        <v>4814</v>
      </c>
    </row>
    <row r="2655" spans="1:4" x14ac:dyDescent="0.3">
      <c r="A2655" t="str">
        <f>"61"</f>
        <v>61</v>
      </c>
      <c r="B2655" t="str">
        <f>"61.0125"</f>
        <v>61.0125</v>
      </c>
      <c r="C2655" t="s">
        <v>4813</v>
      </c>
      <c r="D2655" t="s">
        <v>4812</v>
      </c>
    </row>
    <row r="2656" spans="1:4" x14ac:dyDescent="0.3">
      <c r="A2656" t="str">
        <f>"61"</f>
        <v>61</v>
      </c>
      <c r="B2656" t="str">
        <f>"61.0199"</f>
        <v>61.0199</v>
      </c>
      <c r="C2656" t="s">
        <v>4811</v>
      </c>
      <c r="D2656" t="s">
        <v>4810</v>
      </c>
    </row>
    <row r="2657" spans="1:6" x14ac:dyDescent="0.3">
      <c r="A2657" t="str">
        <f>"61"</f>
        <v>61</v>
      </c>
      <c r="B2657" t="str">
        <f>"61.02"</f>
        <v>61.02</v>
      </c>
      <c r="C2657" t="s">
        <v>4809</v>
      </c>
      <c r="D2657" t="s">
        <v>4808</v>
      </c>
    </row>
    <row r="2658" spans="1:6" x14ac:dyDescent="0.3">
      <c r="A2658" t="str">
        <f>"61"</f>
        <v>61</v>
      </c>
      <c r="B2658" t="str">
        <f>"61.0202"</f>
        <v>61.0202</v>
      </c>
      <c r="C2658" t="s">
        <v>4807</v>
      </c>
      <c r="D2658" t="s">
        <v>4806</v>
      </c>
      <c r="F2658" t="s">
        <v>116</v>
      </c>
    </row>
    <row r="2659" spans="1:6" x14ac:dyDescent="0.3">
      <c r="A2659" t="str">
        <f>"61"</f>
        <v>61</v>
      </c>
      <c r="B2659" t="str">
        <f>"61.0203"</f>
        <v>61.0203</v>
      </c>
      <c r="C2659" t="s">
        <v>4805</v>
      </c>
      <c r="D2659" t="s">
        <v>4804</v>
      </c>
    </row>
    <row r="2660" spans="1:6" x14ac:dyDescent="0.3">
      <c r="A2660" t="str">
        <f>"61"</f>
        <v>61</v>
      </c>
      <c r="B2660" t="str">
        <f>"61.0204"</f>
        <v>61.0204</v>
      </c>
      <c r="C2660" t="s">
        <v>4803</v>
      </c>
      <c r="D2660" t="s">
        <v>4802</v>
      </c>
    </row>
    <row r="2661" spans="1:6" x14ac:dyDescent="0.3">
      <c r="A2661" t="str">
        <f>"61"</f>
        <v>61</v>
      </c>
      <c r="B2661" t="str">
        <f>"61.0205"</f>
        <v>61.0205</v>
      </c>
      <c r="C2661" t="s">
        <v>4801</v>
      </c>
      <c r="D2661" t="s">
        <v>4800</v>
      </c>
    </row>
    <row r="2662" spans="1:6" x14ac:dyDescent="0.3">
      <c r="A2662" t="str">
        <f>"61"</f>
        <v>61</v>
      </c>
      <c r="B2662" t="str">
        <f>"61.0206"</f>
        <v>61.0206</v>
      </c>
      <c r="C2662" t="s">
        <v>4799</v>
      </c>
      <c r="D2662" t="s">
        <v>4798</v>
      </c>
      <c r="F2662" t="s">
        <v>4797</v>
      </c>
    </row>
    <row r="2663" spans="1:6" x14ac:dyDescent="0.3">
      <c r="A2663" t="str">
        <f>"61"</f>
        <v>61</v>
      </c>
      <c r="B2663" t="str">
        <f>"61.0207"</f>
        <v>61.0207</v>
      </c>
      <c r="C2663" t="s">
        <v>4796</v>
      </c>
      <c r="D2663" t="s">
        <v>4795</v>
      </c>
      <c r="E2663" t="s">
        <v>4794</v>
      </c>
    </row>
    <row r="2664" spans="1:6" x14ac:dyDescent="0.3">
      <c r="A2664" t="str">
        <f>"61"</f>
        <v>61</v>
      </c>
      <c r="B2664" t="str">
        <f>"61.0208"</f>
        <v>61.0208</v>
      </c>
      <c r="C2664" t="s">
        <v>4793</v>
      </c>
      <c r="D2664" t="s">
        <v>4792</v>
      </c>
    </row>
    <row r="2665" spans="1:6" x14ac:dyDescent="0.3">
      <c r="A2665" t="str">
        <f>"61"</f>
        <v>61</v>
      </c>
      <c r="B2665" t="str">
        <f>"61.0209"</f>
        <v>61.0209</v>
      </c>
      <c r="C2665" t="s">
        <v>4791</v>
      </c>
      <c r="D2665" t="s">
        <v>4790</v>
      </c>
    </row>
    <row r="2666" spans="1:6" x14ac:dyDescent="0.3">
      <c r="A2666" t="str">
        <f>"61"</f>
        <v>61</v>
      </c>
      <c r="B2666" t="str">
        <f>"61.0210"</f>
        <v>61.0210</v>
      </c>
      <c r="C2666" t="s">
        <v>4789</v>
      </c>
      <c r="D2666" t="s">
        <v>4788</v>
      </c>
      <c r="E2666" t="s">
        <v>4787</v>
      </c>
    </row>
    <row r="2667" spans="1:6" x14ac:dyDescent="0.3">
      <c r="A2667" t="str">
        <f>"61"</f>
        <v>61</v>
      </c>
      <c r="B2667" t="str">
        <f>"61.0211"</f>
        <v>61.0211</v>
      </c>
      <c r="C2667" t="s">
        <v>4786</v>
      </c>
      <c r="D2667" t="s">
        <v>4785</v>
      </c>
    </row>
    <row r="2668" spans="1:6" x14ac:dyDescent="0.3">
      <c r="A2668" t="str">
        <f>"61"</f>
        <v>61</v>
      </c>
      <c r="B2668" t="str">
        <f>"61.0212"</f>
        <v>61.0212</v>
      </c>
      <c r="C2668" t="s">
        <v>4784</v>
      </c>
      <c r="D2668" t="s">
        <v>4783</v>
      </c>
    </row>
    <row r="2669" spans="1:6" x14ac:dyDescent="0.3">
      <c r="A2669" t="str">
        <f>"61"</f>
        <v>61</v>
      </c>
      <c r="B2669" t="str">
        <f>"61.0213"</f>
        <v>61.0213</v>
      </c>
      <c r="C2669" t="s">
        <v>4782</v>
      </c>
      <c r="D2669" t="s">
        <v>4781</v>
      </c>
    </row>
    <row r="2670" spans="1:6" x14ac:dyDescent="0.3">
      <c r="A2670" t="str">
        <f>"61"</f>
        <v>61</v>
      </c>
      <c r="B2670" t="str">
        <f>"61.0214"</f>
        <v>61.0214</v>
      </c>
      <c r="C2670" t="s">
        <v>4780</v>
      </c>
      <c r="D2670" t="s">
        <v>4779</v>
      </c>
      <c r="F2670" t="s">
        <v>48</v>
      </c>
    </row>
    <row r="2671" spans="1:6" x14ac:dyDescent="0.3">
      <c r="A2671" t="str">
        <f>"61"</f>
        <v>61</v>
      </c>
      <c r="B2671" t="str">
        <f>"61.0215"</f>
        <v>61.0215</v>
      </c>
      <c r="C2671" t="s">
        <v>4778</v>
      </c>
      <c r="D2671" t="s">
        <v>4777</v>
      </c>
      <c r="F2671" t="s">
        <v>4776</v>
      </c>
    </row>
    <row r="2672" spans="1:6" x14ac:dyDescent="0.3">
      <c r="A2672" t="str">
        <f>"61"</f>
        <v>61</v>
      </c>
      <c r="B2672" t="str">
        <f>"61.0216"</f>
        <v>61.0216</v>
      </c>
      <c r="C2672" t="s">
        <v>4775</v>
      </c>
      <c r="D2672" t="s">
        <v>4774</v>
      </c>
    </row>
    <row r="2673" spans="1:6" x14ac:dyDescent="0.3">
      <c r="A2673" t="str">
        <f>"61"</f>
        <v>61</v>
      </c>
      <c r="B2673" t="str">
        <f>"61.0217"</f>
        <v>61.0217</v>
      </c>
      <c r="C2673" t="s">
        <v>4773</v>
      </c>
      <c r="D2673" t="s">
        <v>4772</v>
      </c>
    </row>
    <row r="2674" spans="1:6" x14ac:dyDescent="0.3">
      <c r="A2674" t="str">
        <f>"61"</f>
        <v>61</v>
      </c>
      <c r="B2674" t="str">
        <f>"61.0218"</f>
        <v>61.0218</v>
      </c>
      <c r="C2674" t="s">
        <v>4771</v>
      </c>
      <c r="D2674" t="s">
        <v>4770</v>
      </c>
      <c r="F2674" t="s">
        <v>4769</v>
      </c>
    </row>
    <row r="2675" spans="1:6" x14ac:dyDescent="0.3">
      <c r="A2675" t="str">
        <f>"61"</f>
        <v>61</v>
      </c>
      <c r="B2675" t="str">
        <f>"61.0299"</f>
        <v>61.0299</v>
      </c>
      <c r="C2675" t="s">
        <v>4768</v>
      </c>
      <c r="D2675" t="s">
        <v>4767</v>
      </c>
    </row>
    <row r="2676" spans="1:6" x14ac:dyDescent="0.3">
      <c r="A2676" t="str">
        <f>"61"</f>
        <v>61</v>
      </c>
      <c r="B2676" t="str">
        <f>"61.03"</f>
        <v>61.03</v>
      </c>
      <c r="C2676" t="s">
        <v>4766</v>
      </c>
      <c r="D2676" t="s">
        <v>4765</v>
      </c>
    </row>
    <row r="2677" spans="1:6" x14ac:dyDescent="0.3">
      <c r="A2677" t="str">
        <f>"61"</f>
        <v>61</v>
      </c>
      <c r="B2677" t="str">
        <f>"61.0301"</f>
        <v>61.0301</v>
      </c>
      <c r="C2677" t="s">
        <v>4764</v>
      </c>
      <c r="D2677" t="s">
        <v>4763</v>
      </c>
    </row>
    <row r="2678" spans="1:6" x14ac:dyDescent="0.3">
      <c r="A2678" t="str">
        <f>"61"</f>
        <v>61</v>
      </c>
      <c r="B2678" t="str">
        <f>"61.0399"</f>
        <v>61.0399</v>
      </c>
      <c r="C2678" t="s">
        <v>4762</v>
      </c>
      <c r="D2678" t="s">
        <v>4761</v>
      </c>
    </row>
    <row r="2679" spans="1:6" x14ac:dyDescent="0.3">
      <c r="A2679" t="str">
        <f>"61"</f>
        <v>61</v>
      </c>
      <c r="B2679" t="str">
        <f>"61.04"</f>
        <v>61.04</v>
      </c>
      <c r="C2679" t="s">
        <v>4760</v>
      </c>
      <c r="D2679" t="s">
        <v>4759</v>
      </c>
    </row>
    <row r="2680" spans="1:6" x14ac:dyDescent="0.3">
      <c r="A2680" t="str">
        <f>"61"</f>
        <v>61</v>
      </c>
      <c r="B2680" t="str">
        <f>"61.0401"</f>
        <v>61.0401</v>
      </c>
      <c r="C2680" t="s">
        <v>197</v>
      </c>
      <c r="D2680" t="s">
        <v>4758</v>
      </c>
    </row>
    <row r="2681" spans="1:6" x14ac:dyDescent="0.3">
      <c r="A2681" t="str">
        <f>"61"</f>
        <v>61</v>
      </c>
      <c r="B2681" t="str">
        <f>"61.0499"</f>
        <v>61.0499</v>
      </c>
      <c r="C2681" t="s">
        <v>4757</v>
      </c>
      <c r="D2681" t="s">
        <v>4756</v>
      </c>
    </row>
    <row r="2682" spans="1:6" x14ac:dyDescent="0.3">
      <c r="A2682" t="str">
        <f>"61"</f>
        <v>61</v>
      </c>
      <c r="B2682" t="str">
        <f>"61.05"</f>
        <v>61.05</v>
      </c>
      <c r="C2682" t="s">
        <v>4755</v>
      </c>
      <c r="D2682" t="s">
        <v>4754</v>
      </c>
    </row>
    <row r="2683" spans="1:6" x14ac:dyDescent="0.3">
      <c r="A2683" t="str">
        <f>"61"</f>
        <v>61</v>
      </c>
      <c r="B2683" t="str">
        <f>"61.0501"</f>
        <v>61.0501</v>
      </c>
      <c r="C2683" t="s">
        <v>188</v>
      </c>
      <c r="D2683" t="s">
        <v>187</v>
      </c>
    </row>
    <row r="2684" spans="1:6" x14ac:dyDescent="0.3">
      <c r="A2684" t="str">
        <f>"61"</f>
        <v>61</v>
      </c>
      <c r="B2684" t="str">
        <f>"61.0502"</f>
        <v>61.0502</v>
      </c>
      <c r="C2684" t="s">
        <v>4753</v>
      </c>
      <c r="D2684" t="s">
        <v>4752</v>
      </c>
    </row>
    <row r="2685" spans="1:6" x14ac:dyDescent="0.3">
      <c r="A2685" t="str">
        <f>"61"</f>
        <v>61</v>
      </c>
      <c r="B2685" t="str">
        <f>"61.0503"</f>
        <v>61.0503</v>
      </c>
      <c r="C2685" t="s">
        <v>4751</v>
      </c>
      <c r="D2685" t="s">
        <v>4750</v>
      </c>
    </row>
    <row r="2686" spans="1:6" x14ac:dyDescent="0.3">
      <c r="A2686" t="str">
        <f>"61"</f>
        <v>61</v>
      </c>
      <c r="B2686" t="str">
        <f>"61.0599"</f>
        <v>61.0599</v>
      </c>
      <c r="C2686" t="s">
        <v>4749</v>
      </c>
      <c r="D2686" t="s">
        <v>4748</v>
      </c>
    </row>
    <row r="2687" spans="1:6" x14ac:dyDescent="0.3">
      <c r="A2687" t="str">
        <f>"61"</f>
        <v>61</v>
      </c>
      <c r="B2687" t="str">
        <f>"61.06"</f>
        <v>61.06</v>
      </c>
      <c r="C2687" t="s">
        <v>4747</v>
      </c>
      <c r="D2687" t="s">
        <v>4746</v>
      </c>
    </row>
    <row r="2688" spans="1:6" x14ac:dyDescent="0.3">
      <c r="A2688" t="str">
        <f>"61"</f>
        <v>61</v>
      </c>
      <c r="B2688" t="str">
        <f>"61.0601"</f>
        <v>61.0601</v>
      </c>
      <c r="C2688" t="s">
        <v>184</v>
      </c>
      <c r="D2688" t="s">
        <v>183</v>
      </c>
    </row>
    <row r="2689" spans="1:6" x14ac:dyDescent="0.3">
      <c r="A2689" t="str">
        <f>"61"</f>
        <v>61</v>
      </c>
      <c r="B2689" t="str">
        <f>"61.0602"</f>
        <v>61.0602</v>
      </c>
      <c r="C2689" t="s">
        <v>4745</v>
      </c>
      <c r="D2689" t="s">
        <v>4744</v>
      </c>
      <c r="F2689" t="s">
        <v>4743</v>
      </c>
    </row>
    <row r="2690" spans="1:6" x14ac:dyDescent="0.3">
      <c r="A2690" t="str">
        <f>"61"</f>
        <v>61</v>
      </c>
      <c r="B2690" t="str">
        <f>"61.0603"</f>
        <v>61.0603</v>
      </c>
      <c r="C2690" t="s">
        <v>4742</v>
      </c>
      <c r="D2690" t="s">
        <v>4741</v>
      </c>
    </row>
    <row r="2691" spans="1:6" x14ac:dyDescent="0.3">
      <c r="A2691" t="str">
        <f>"61"</f>
        <v>61</v>
      </c>
      <c r="B2691" t="str">
        <f>"61.0699"</f>
        <v>61.0699</v>
      </c>
      <c r="C2691" t="s">
        <v>4740</v>
      </c>
      <c r="D2691" t="s">
        <v>4739</v>
      </c>
    </row>
    <row r="2692" spans="1:6" x14ac:dyDescent="0.3">
      <c r="A2692" t="str">
        <f>"61"</f>
        <v>61</v>
      </c>
      <c r="B2692" t="str">
        <f>"61.07"</f>
        <v>61.07</v>
      </c>
      <c r="C2692" t="s">
        <v>4738</v>
      </c>
      <c r="D2692" t="s">
        <v>4737</v>
      </c>
    </row>
    <row r="2693" spans="1:6" x14ac:dyDescent="0.3">
      <c r="A2693" t="str">
        <f>"61"</f>
        <v>61</v>
      </c>
      <c r="B2693" t="str">
        <f>"61.0701"</f>
        <v>61.0701</v>
      </c>
      <c r="C2693" t="s">
        <v>182</v>
      </c>
      <c r="D2693" t="s">
        <v>181</v>
      </c>
    </row>
    <row r="2694" spans="1:6" x14ac:dyDescent="0.3">
      <c r="A2694" t="str">
        <f>"61"</f>
        <v>61</v>
      </c>
      <c r="B2694" t="str">
        <f>"61.0799"</f>
        <v>61.0799</v>
      </c>
      <c r="C2694" t="s">
        <v>4736</v>
      </c>
      <c r="D2694" t="s">
        <v>4735</v>
      </c>
    </row>
    <row r="2695" spans="1:6" x14ac:dyDescent="0.3">
      <c r="A2695" t="str">
        <f>"61"</f>
        <v>61</v>
      </c>
      <c r="B2695" t="str">
        <f>"61.08"</f>
        <v>61.08</v>
      </c>
      <c r="C2695" t="s">
        <v>4734</v>
      </c>
      <c r="D2695" t="s">
        <v>4733</v>
      </c>
    </row>
    <row r="2696" spans="1:6" x14ac:dyDescent="0.3">
      <c r="A2696" t="str">
        <f>"61"</f>
        <v>61</v>
      </c>
      <c r="B2696" t="str">
        <f>"61.0801"</f>
        <v>61.0801</v>
      </c>
      <c r="C2696" t="s">
        <v>177</v>
      </c>
      <c r="D2696" t="s">
        <v>176</v>
      </c>
    </row>
    <row r="2697" spans="1:6" x14ac:dyDescent="0.3">
      <c r="A2697" t="str">
        <f>"61"</f>
        <v>61</v>
      </c>
      <c r="B2697" t="str">
        <f>"61.0804"</f>
        <v>61.0804</v>
      </c>
      <c r="C2697" t="s">
        <v>4732</v>
      </c>
      <c r="D2697" t="s">
        <v>4731</v>
      </c>
      <c r="F2697" t="s">
        <v>4730</v>
      </c>
    </row>
    <row r="2698" spans="1:6" x14ac:dyDescent="0.3">
      <c r="A2698" t="str">
        <f>"61"</f>
        <v>61</v>
      </c>
      <c r="B2698" t="str">
        <f>"61.0805"</f>
        <v>61.0805</v>
      </c>
      <c r="C2698" t="s">
        <v>4729</v>
      </c>
      <c r="D2698" t="s">
        <v>4728</v>
      </c>
    </row>
    <row r="2699" spans="1:6" x14ac:dyDescent="0.3">
      <c r="A2699" t="str">
        <f>"61"</f>
        <v>61</v>
      </c>
      <c r="B2699" t="str">
        <f>"61.0806"</f>
        <v>61.0806</v>
      </c>
      <c r="C2699" t="s">
        <v>4727</v>
      </c>
      <c r="D2699" t="s">
        <v>4726</v>
      </c>
      <c r="F2699" t="s">
        <v>84</v>
      </c>
    </row>
    <row r="2700" spans="1:6" x14ac:dyDescent="0.3">
      <c r="A2700" t="str">
        <f>"61"</f>
        <v>61</v>
      </c>
      <c r="B2700" t="str">
        <f>"61.0807"</f>
        <v>61.0807</v>
      </c>
      <c r="C2700" t="s">
        <v>4725</v>
      </c>
      <c r="D2700" t="s">
        <v>4724</v>
      </c>
    </row>
    <row r="2701" spans="1:6" x14ac:dyDescent="0.3">
      <c r="A2701" t="str">
        <f>"61"</f>
        <v>61</v>
      </c>
      <c r="B2701" t="str">
        <f>"61.0808"</f>
        <v>61.0808</v>
      </c>
      <c r="C2701" t="s">
        <v>4723</v>
      </c>
      <c r="D2701" t="s">
        <v>4722</v>
      </c>
    </row>
    <row r="2702" spans="1:6" x14ac:dyDescent="0.3">
      <c r="A2702" t="str">
        <f>"61"</f>
        <v>61</v>
      </c>
      <c r="B2702" t="str">
        <f>"61.0809"</f>
        <v>61.0809</v>
      </c>
      <c r="C2702" t="s">
        <v>4721</v>
      </c>
      <c r="D2702" t="s">
        <v>4720</v>
      </c>
    </row>
    <row r="2703" spans="1:6" x14ac:dyDescent="0.3">
      <c r="A2703" t="str">
        <f>"61"</f>
        <v>61</v>
      </c>
      <c r="B2703" t="str">
        <f>"61.0810"</f>
        <v>61.0810</v>
      </c>
      <c r="C2703" t="s">
        <v>4719</v>
      </c>
      <c r="D2703" t="s">
        <v>4718</v>
      </c>
    </row>
    <row r="2704" spans="1:6" x14ac:dyDescent="0.3">
      <c r="A2704" t="str">
        <f>"61"</f>
        <v>61</v>
      </c>
      <c r="B2704" t="str">
        <f>"61.0811"</f>
        <v>61.0811</v>
      </c>
      <c r="C2704" t="s">
        <v>4717</v>
      </c>
      <c r="D2704" t="s">
        <v>4716</v>
      </c>
    </row>
    <row r="2705" spans="1:6" x14ac:dyDescent="0.3">
      <c r="A2705" t="str">
        <f>"61"</f>
        <v>61</v>
      </c>
      <c r="B2705" t="str">
        <f>"61.0812"</f>
        <v>61.0812</v>
      </c>
      <c r="C2705" t="s">
        <v>4715</v>
      </c>
      <c r="D2705" t="s">
        <v>4714</v>
      </c>
    </row>
    <row r="2706" spans="1:6" x14ac:dyDescent="0.3">
      <c r="A2706" t="str">
        <f>"61"</f>
        <v>61</v>
      </c>
      <c r="B2706" t="str">
        <f>"61.0813"</f>
        <v>61.0813</v>
      </c>
      <c r="C2706" t="s">
        <v>4713</v>
      </c>
      <c r="D2706" t="s">
        <v>4712</v>
      </c>
    </row>
    <row r="2707" spans="1:6" x14ac:dyDescent="0.3">
      <c r="A2707" t="str">
        <f>"61"</f>
        <v>61</v>
      </c>
      <c r="B2707" t="str">
        <f>"61.0814"</f>
        <v>61.0814</v>
      </c>
      <c r="C2707" t="s">
        <v>4711</v>
      </c>
      <c r="D2707" t="s">
        <v>4710</v>
      </c>
    </row>
    <row r="2708" spans="1:6" x14ac:dyDescent="0.3">
      <c r="A2708" t="str">
        <f>"61"</f>
        <v>61</v>
      </c>
      <c r="B2708" t="str">
        <f>"61.0816"</f>
        <v>61.0816</v>
      </c>
      <c r="C2708" t="s">
        <v>4709</v>
      </c>
      <c r="D2708" t="s">
        <v>4708</v>
      </c>
    </row>
    <row r="2709" spans="1:6" x14ac:dyDescent="0.3">
      <c r="A2709" t="str">
        <f>"61"</f>
        <v>61</v>
      </c>
      <c r="B2709" t="str">
        <f>"61.0818"</f>
        <v>61.0818</v>
      </c>
      <c r="C2709" t="s">
        <v>4707</v>
      </c>
      <c r="D2709" t="s">
        <v>4706</v>
      </c>
    </row>
    <row r="2710" spans="1:6" x14ac:dyDescent="0.3">
      <c r="A2710" t="str">
        <f>"61"</f>
        <v>61</v>
      </c>
      <c r="B2710" t="str">
        <f>"61.0899"</f>
        <v>61.0899</v>
      </c>
      <c r="C2710" t="s">
        <v>4705</v>
      </c>
      <c r="D2710" t="s">
        <v>4704</v>
      </c>
    </row>
    <row r="2711" spans="1:6" x14ac:dyDescent="0.3">
      <c r="A2711" t="str">
        <f>"61"</f>
        <v>61</v>
      </c>
      <c r="B2711" t="str">
        <f>"61.09"</f>
        <v>61.09</v>
      </c>
      <c r="C2711" t="s">
        <v>4703</v>
      </c>
      <c r="D2711" t="s">
        <v>4702</v>
      </c>
    </row>
    <row r="2712" spans="1:6" x14ac:dyDescent="0.3">
      <c r="A2712" t="str">
        <f>"61"</f>
        <v>61</v>
      </c>
      <c r="B2712" t="str">
        <f>"61.0901"</f>
        <v>61.0901</v>
      </c>
      <c r="C2712" t="s">
        <v>193</v>
      </c>
      <c r="D2712" t="s">
        <v>4701</v>
      </c>
    </row>
    <row r="2713" spans="1:6" x14ac:dyDescent="0.3">
      <c r="A2713" t="str">
        <f>"61"</f>
        <v>61</v>
      </c>
      <c r="B2713" t="str">
        <f>"61.0902"</f>
        <v>61.0902</v>
      </c>
      <c r="C2713" t="s">
        <v>4700</v>
      </c>
      <c r="D2713" t="s">
        <v>4699</v>
      </c>
    </row>
    <row r="2714" spans="1:6" x14ac:dyDescent="0.3">
      <c r="A2714" t="str">
        <f>"61"</f>
        <v>61</v>
      </c>
      <c r="B2714" t="str">
        <f>"61.0903"</f>
        <v>61.0903</v>
      </c>
      <c r="C2714" t="s">
        <v>4698</v>
      </c>
      <c r="D2714" t="s">
        <v>4697</v>
      </c>
      <c r="F2714" t="s">
        <v>4696</v>
      </c>
    </row>
    <row r="2715" spans="1:6" x14ac:dyDescent="0.3">
      <c r="A2715" t="str">
        <f>"61"</f>
        <v>61</v>
      </c>
      <c r="B2715" t="str">
        <f>"61.0904"</f>
        <v>61.0904</v>
      </c>
      <c r="C2715" t="s">
        <v>100</v>
      </c>
      <c r="D2715" t="s">
        <v>4695</v>
      </c>
    </row>
    <row r="2716" spans="1:6" x14ac:dyDescent="0.3">
      <c r="A2716" t="str">
        <f>"61"</f>
        <v>61</v>
      </c>
      <c r="B2716" t="str">
        <f>"61.0999"</f>
        <v>61.0999</v>
      </c>
      <c r="C2716" t="s">
        <v>4694</v>
      </c>
      <c r="D2716" t="s">
        <v>4693</v>
      </c>
    </row>
    <row r="2717" spans="1:6" x14ac:dyDescent="0.3">
      <c r="A2717" t="str">
        <f>"61"</f>
        <v>61</v>
      </c>
      <c r="B2717" t="str">
        <f>"61.10"</f>
        <v>61.10</v>
      </c>
      <c r="C2717" t="s">
        <v>4692</v>
      </c>
      <c r="D2717" t="s">
        <v>4691</v>
      </c>
    </row>
    <row r="2718" spans="1:6" x14ac:dyDescent="0.3">
      <c r="A2718" t="str">
        <f>"61"</f>
        <v>61</v>
      </c>
      <c r="B2718" t="str">
        <f>"61.1001"</f>
        <v>61.1001</v>
      </c>
      <c r="C2718" t="s">
        <v>174</v>
      </c>
      <c r="D2718" t="s">
        <v>173</v>
      </c>
      <c r="F2718" t="s">
        <v>162</v>
      </c>
    </row>
    <row r="2719" spans="1:6" x14ac:dyDescent="0.3">
      <c r="A2719" t="str">
        <f>"61"</f>
        <v>61</v>
      </c>
      <c r="B2719" t="str">
        <f>"61.1099"</f>
        <v>61.1099</v>
      </c>
      <c r="C2719" t="s">
        <v>4690</v>
      </c>
      <c r="D2719" t="s">
        <v>4689</v>
      </c>
    </row>
    <row r="2720" spans="1:6" x14ac:dyDescent="0.3">
      <c r="A2720" t="str">
        <f>"61"</f>
        <v>61</v>
      </c>
      <c r="B2720" t="str">
        <f>"61.11"</f>
        <v>61.11</v>
      </c>
      <c r="C2720" t="s">
        <v>4688</v>
      </c>
      <c r="D2720" t="s">
        <v>4687</v>
      </c>
    </row>
    <row r="2721" spans="1:6" x14ac:dyDescent="0.3">
      <c r="A2721" t="str">
        <f>"61"</f>
        <v>61</v>
      </c>
      <c r="B2721" t="str">
        <f>"61.1101"</f>
        <v>61.1101</v>
      </c>
      <c r="C2721" t="s">
        <v>172</v>
      </c>
      <c r="D2721" t="s">
        <v>171</v>
      </c>
    </row>
    <row r="2722" spans="1:6" x14ac:dyDescent="0.3">
      <c r="A2722" t="str">
        <f>"61"</f>
        <v>61</v>
      </c>
      <c r="B2722" t="str">
        <f>"61.1102"</f>
        <v>61.1102</v>
      </c>
      <c r="C2722" t="s">
        <v>195</v>
      </c>
      <c r="D2722" t="s">
        <v>194</v>
      </c>
      <c r="F2722" t="s">
        <v>180</v>
      </c>
    </row>
    <row r="2723" spans="1:6" x14ac:dyDescent="0.3">
      <c r="A2723" t="str">
        <f>"61"</f>
        <v>61</v>
      </c>
      <c r="B2723" t="str">
        <f>"61.1103"</f>
        <v>61.1103</v>
      </c>
      <c r="C2723" t="s">
        <v>4686</v>
      </c>
      <c r="D2723" t="s">
        <v>4685</v>
      </c>
    </row>
    <row r="2724" spans="1:6" x14ac:dyDescent="0.3">
      <c r="A2724" t="str">
        <f>"61"</f>
        <v>61</v>
      </c>
      <c r="B2724" t="str">
        <f>"61.1104"</f>
        <v>61.1104</v>
      </c>
      <c r="C2724" t="s">
        <v>4684</v>
      </c>
      <c r="D2724" t="s">
        <v>4683</v>
      </c>
    </row>
    <row r="2725" spans="1:6" x14ac:dyDescent="0.3">
      <c r="A2725" t="str">
        <f>"61"</f>
        <v>61</v>
      </c>
      <c r="B2725" t="str">
        <f>"61.1105"</f>
        <v>61.1105</v>
      </c>
      <c r="C2725" t="s">
        <v>4682</v>
      </c>
      <c r="D2725" t="s">
        <v>4681</v>
      </c>
    </row>
    <row r="2726" spans="1:6" x14ac:dyDescent="0.3">
      <c r="A2726" t="str">
        <f>"61"</f>
        <v>61</v>
      </c>
      <c r="B2726" t="str">
        <f>"61.1106"</f>
        <v>61.1106</v>
      </c>
      <c r="C2726" t="s">
        <v>4680</v>
      </c>
      <c r="D2726" t="s">
        <v>4679</v>
      </c>
    </row>
    <row r="2727" spans="1:6" x14ac:dyDescent="0.3">
      <c r="A2727" t="str">
        <f>"61"</f>
        <v>61</v>
      </c>
      <c r="B2727" t="str">
        <f>"61.1107"</f>
        <v>61.1107</v>
      </c>
      <c r="C2727" t="s">
        <v>4678</v>
      </c>
      <c r="D2727" t="s">
        <v>4677</v>
      </c>
    </row>
    <row r="2728" spans="1:6" x14ac:dyDescent="0.3">
      <c r="A2728" t="str">
        <f>"61"</f>
        <v>61</v>
      </c>
      <c r="B2728" t="str">
        <f>"61.1199"</f>
        <v>61.1199</v>
      </c>
      <c r="C2728" t="s">
        <v>4676</v>
      </c>
      <c r="D2728" t="s">
        <v>4675</v>
      </c>
    </row>
    <row r="2729" spans="1:6" x14ac:dyDescent="0.3">
      <c r="A2729" t="str">
        <f>"61"</f>
        <v>61</v>
      </c>
      <c r="B2729" t="str">
        <f>"61.12"</f>
        <v>61.12</v>
      </c>
      <c r="C2729" t="s">
        <v>4674</v>
      </c>
      <c r="D2729" t="s">
        <v>4673</v>
      </c>
    </row>
    <row r="2730" spans="1:6" x14ac:dyDescent="0.3">
      <c r="A2730" t="str">
        <f>"61"</f>
        <v>61</v>
      </c>
      <c r="B2730" t="str">
        <f>"61.1201"</f>
        <v>61.1201</v>
      </c>
      <c r="C2730" t="s">
        <v>170</v>
      </c>
      <c r="D2730" t="s">
        <v>169</v>
      </c>
    </row>
    <row r="2731" spans="1:6" x14ac:dyDescent="0.3">
      <c r="A2731" t="str">
        <f>"61"</f>
        <v>61</v>
      </c>
      <c r="B2731" t="str">
        <f>"61.1299"</f>
        <v>61.1299</v>
      </c>
      <c r="C2731" t="s">
        <v>4672</v>
      </c>
      <c r="D2731" t="s">
        <v>4671</v>
      </c>
    </row>
    <row r="2732" spans="1:6" x14ac:dyDescent="0.3">
      <c r="A2732" t="str">
        <f>"61"</f>
        <v>61</v>
      </c>
      <c r="B2732" t="str">
        <f>"61.13"</f>
        <v>61.13</v>
      </c>
      <c r="C2732" t="s">
        <v>4670</v>
      </c>
      <c r="D2732" t="s">
        <v>4669</v>
      </c>
    </row>
    <row r="2733" spans="1:6" x14ac:dyDescent="0.3">
      <c r="A2733" t="str">
        <f>"61"</f>
        <v>61</v>
      </c>
      <c r="B2733" t="str">
        <f>"61.1301"</f>
        <v>61.1301</v>
      </c>
      <c r="C2733" t="s">
        <v>168</v>
      </c>
      <c r="D2733" t="s">
        <v>167</v>
      </c>
    </row>
    <row r="2734" spans="1:6" x14ac:dyDescent="0.3">
      <c r="A2734" t="str">
        <f>"61"</f>
        <v>61</v>
      </c>
      <c r="B2734" t="str">
        <f>"61.1302"</f>
        <v>61.1302</v>
      </c>
      <c r="C2734" t="s">
        <v>4668</v>
      </c>
      <c r="D2734" t="s">
        <v>4667</v>
      </c>
    </row>
    <row r="2735" spans="1:6" x14ac:dyDescent="0.3">
      <c r="A2735" t="str">
        <f>"61"</f>
        <v>61</v>
      </c>
      <c r="B2735" t="str">
        <f>"61.1303"</f>
        <v>61.1303</v>
      </c>
      <c r="C2735" t="s">
        <v>4666</v>
      </c>
      <c r="D2735" t="s">
        <v>4665</v>
      </c>
    </row>
    <row r="2736" spans="1:6" x14ac:dyDescent="0.3">
      <c r="A2736" t="str">
        <f>"61"</f>
        <v>61</v>
      </c>
      <c r="B2736" t="str">
        <f>"61.1304"</f>
        <v>61.1304</v>
      </c>
      <c r="C2736" t="s">
        <v>4664</v>
      </c>
      <c r="D2736" t="s">
        <v>4663</v>
      </c>
    </row>
    <row r="2737" spans="1:6" x14ac:dyDescent="0.3">
      <c r="A2737" t="str">
        <f>"61"</f>
        <v>61</v>
      </c>
      <c r="B2737" t="str">
        <f>"61.1399"</f>
        <v>61.1399</v>
      </c>
      <c r="C2737" t="s">
        <v>4662</v>
      </c>
      <c r="D2737" t="s">
        <v>4661</v>
      </c>
    </row>
    <row r="2738" spans="1:6" x14ac:dyDescent="0.3">
      <c r="A2738" t="str">
        <f>"61"</f>
        <v>61</v>
      </c>
      <c r="B2738" t="str">
        <f>"61.14"</f>
        <v>61.14</v>
      </c>
      <c r="C2738" t="s">
        <v>4660</v>
      </c>
      <c r="D2738" t="s">
        <v>4659</v>
      </c>
    </row>
    <row r="2739" spans="1:6" x14ac:dyDescent="0.3">
      <c r="A2739" t="str">
        <f>"61"</f>
        <v>61</v>
      </c>
      <c r="B2739" t="str">
        <f>"61.1401"</f>
        <v>61.1401</v>
      </c>
      <c r="C2739" t="s">
        <v>164</v>
      </c>
      <c r="D2739" t="s">
        <v>163</v>
      </c>
    </row>
    <row r="2740" spans="1:6" x14ac:dyDescent="0.3">
      <c r="A2740" t="str">
        <f>"61"</f>
        <v>61</v>
      </c>
      <c r="B2740" t="str">
        <f>"61.1499"</f>
        <v>61.1499</v>
      </c>
      <c r="C2740" t="s">
        <v>4658</v>
      </c>
      <c r="D2740" t="s">
        <v>4657</v>
      </c>
    </row>
    <row r="2741" spans="1:6" x14ac:dyDescent="0.3">
      <c r="A2741" t="str">
        <f>"61"</f>
        <v>61</v>
      </c>
      <c r="B2741" t="str">
        <f>"61.15"</f>
        <v>61.15</v>
      </c>
      <c r="C2741" t="s">
        <v>4656</v>
      </c>
      <c r="D2741" t="s">
        <v>4655</v>
      </c>
    </row>
    <row r="2742" spans="1:6" x14ac:dyDescent="0.3">
      <c r="A2742" t="str">
        <f>"61"</f>
        <v>61</v>
      </c>
      <c r="B2742" t="str">
        <f>"61.1501"</f>
        <v>61.1501</v>
      </c>
      <c r="C2742" t="s">
        <v>161</v>
      </c>
      <c r="D2742" t="s">
        <v>160</v>
      </c>
      <c r="F2742" t="s">
        <v>157</v>
      </c>
    </row>
    <row r="2743" spans="1:6" x14ac:dyDescent="0.3">
      <c r="A2743" t="str">
        <f>"61"</f>
        <v>61</v>
      </c>
      <c r="B2743" t="str">
        <f>"61.1502"</f>
        <v>61.1502</v>
      </c>
      <c r="C2743" t="s">
        <v>4654</v>
      </c>
      <c r="D2743" t="s">
        <v>4653</v>
      </c>
    </row>
    <row r="2744" spans="1:6" x14ac:dyDescent="0.3">
      <c r="A2744" t="str">
        <f>"61"</f>
        <v>61</v>
      </c>
      <c r="B2744" t="str">
        <f>"61.1503"</f>
        <v>61.1503</v>
      </c>
      <c r="C2744" t="s">
        <v>4652</v>
      </c>
      <c r="D2744" t="s">
        <v>4651</v>
      </c>
      <c r="F2744" t="s">
        <v>74</v>
      </c>
    </row>
    <row r="2745" spans="1:6" x14ac:dyDescent="0.3">
      <c r="A2745" t="str">
        <f>"61"</f>
        <v>61</v>
      </c>
      <c r="B2745" t="str">
        <f>"61.1504"</f>
        <v>61.1504</v>
      </c>
      <c r="C2745" t="s">
        <v>4650</v>
      </c>
      <c r="D2745" t="s">
        <v>4649</v>
      </c>
    </row>
    <row r="2746" spans="1:6" x14ac:dyDescent="0.3">
      <c r="A2746" t="str">
        <f>"61"</f>
        <v>61</v>
      </c>
      <c r="B2746" t="str">
        <f>"61.1505"</f>
        <v>61.1505</v>
      </c>
      <c r="C2746" t="s">
        <v>4648</v>
      </c>
      <c r="D2746" t="s">
        <v>4647</v>
      </c>
    </row>
    <row r="2747" spans="1:6" x14ac:dyDescent="0.3">
      <c r="A2747" t="str">
        <f>"61"</f>
        <v>61</v>
      </c>
      <c r="B2747" t="str">
        <f>"61.1599"</f>
        <v>61.1599</v>
      </c>
      <c r="C2747" t="s">
        <v>4646</v>
      </c>
      <c r="D2747" t="s">
        <v>4645</v>
      </c>
    </row>
    <row r="2748" spans="1:6" x14ac:dyDescent="0.3">
      <c r="A2748" t="str">
        <f>"61"</f>
        <v>61</v>
      </c>
      <c r="B2748" t="str">
        <f>"61.16"</f>
        <v>61.16</v>
      </c>
      <c r="C2748" t="s">
        <v>4644</v>
      </c>
      <c r="D2748" t="s">
        <v>4643</v>
      </c>
    </row>
    <row r="2749" spans="1:6" x14ac:dyDescent="0.3">
      <c r="A2749" t="str">
        <f>"61"</f>
        <v>61</v>
      </c>
      <c r="B2749" t="str">
        <f>"61.1601"</f>
        <v>61.1601</v>
      </c>
      <c r="C2749" t="s">
        <v>4642</v>
      </c>
      <c r="D2749" t="s">
        <v>4641</v>
      </c>
    </row>
    <row r="2750" spans="1:6" x14ac:dyDescent="0.3">
      <c r="A2750" t="str">
        <f>"61"</f>
        <v>61</v>
      </c>
      <c r="B2750" t="str">
        <f>"61.1699"</f>
        <v>61.1699</v>
      </c>
      <c r="C2750" t="s">
        <v>4640</v>
      </c>
      <c r="D2750" t="s">
        <v>4639</v>
      </c>
    </row>
    <row r="2751" spans="1:6" x14ac:dyDescent="0.3">
      <c r="A2751" t="str">
        <f>"61"</f>
        <v>61</v>
      </c>
      <c r="B2751" t="str">
        <f>"61.17"</f>
        <v>61.17</v>
      </c>
      <c r="C2751" t="s">
        <v>4638</v>
      </c>
      <c r="D2751" t="s">
        <v>4637</v>
      </c>
    </row>
    <row r="2752" spans="1:6" x14ac:dyDescent="0.3">
      <c r="A2752" t="str">
        <f>"61"</f>
        <v>61</v>
      </c>
      <c r="B2752" t="str">
        <f>"61.1701"</f>
        <v>61.1701</v>
      </c>
      <c r="C2752" t="s">
        <v>159</v>
      </c>
      <c r="D2752" t="s">
        <v>158</v>
      </c>
    </row>
    <row r="2753" spans="1:6" x14ac:dyDescent="0.3">
      <c r="A2753" t="str">
        <f>"61"</f>
        <v>61</v>
      </c>
      <c r="B2753" t="str">
        <f>"61.1702"</f>
        <v>61.1702</v>
      </c>
      <c r="C2753" t="s">
        <v>4636</v>
      </c>
      <c r="D2753" t="s">
        <v>4635</v>
      </c>
    </row>
    <row r="2754" spans="1:6" x14ac:dyDescent="0.3">
      <c r="A2754" t="str">
        <f>"61"</f>
        <v>61</v>
      </c>
      <c r="B2754" t="str">
        <f>"61.1703"</f>
        <v>61.1703</v>
      </c>
      <c r="C2754" t="s">
        <v>4634</v>
      </c>
      <c r="D2754" t="s">
        <v>4633</v>
      </c>
    </row>
    <row r="2755" spans="1:6" x14ac:dyDescent="0.3">
      <c r="A2755" t="str">
        <f>"61"</f>
        <v>61</v>
      </c>
      <c r="B2755" t="str">
        <f>"61.1799"</f>
        <v>61.1799</v>
      </c>
      <c r="C2755" t="s">
        <v>4632</v>
      </c>
      <c r="D2755" t="s">
        <v>4631</v>
      </c>
    </row>
    <row r="2756" spans="1:6" x14ac:dyDescent="0.3">
      <c r="A2756" t="str">
        <f>"61"</f>
        <v>61</v>
      </c>
      <c r="B2756" t="str">
        <f>"61.18"</f>
        <v>61.18</v>
      </c>
      <c r="C2756" t="s">
        <v>4630</v>
      </c>
      <c r="D2756" t="s">
        <v>4629</v>
      </c>
    </row>
    <row r="2757" spans="1:6" x14ac:dyDescent="0.3">
      <c r="A2757" t="str">
        <f>"61"</f>
        <v>61</v>
      </c>
      <c r="B2757" t="str">
        <f>"61.1801"</f>
        <v>61.1801</v>
      </c>
      <c r="C2757" t="s">
        <v>4628</v>
      </c>
      <c r="D2757" t="s">
        <v>4627</v>
      </c>
      <c r="F2757" t="s">
        <v>153</v>
      </c>
    </row>
    <row r="2758" spans="1:6" x14ac:dyDescent="0.3">
      <c r="A2758" t="str">
        <f>"61"</f>
        <v>61</v>
      </c>
      <c r="B2758" t="str">
        <f>"61.1802"</f>
        <v>61.1802</v>
      </c>
      <c r="C2758" t="s">
        <v>4626</v>
      </c>
      <c r="D2758" t="s">
        <v>4625</v>
      </c>
    </row>
    <row r="2759" spans="1:6" x14ac:dyDescent="0.3">
      <c r="A2759" t="str">
        <f>"61"</f>
        <v>61</v>
      </c>
      <c r="B2759" t="str">
        <f>"61.1803"</f>
        <v>61.1803</v>
      </c>
      <c r="C2759" t="s">
        <v>4624</v>
      </c>
      <c r="D2759" t="s">
        <v>4623</v>
      </c>
    </row>
    <row r="2760" spans="1:6" x14ac:dyDescent="0.3">
      <c r="A2760" t="str">
        <f>"61"</f>
        <v>61</v>
      </c>
      <c r="B2760" t="str">
        <f>"61.1804"</f>
        <v>61.1804</v>
      </c>
      <c r="C2760" t="s">
        <v>4622</v>
      </c>
      <c r="D2760" t="s">
        <v>4621</v>
      </c>
      <c r="F2760" t="s">
        <v>131</v>
      </c>
    </row>
    <row r="2761" spans="1:6" x14ac:dyDescent="0.3">
      <c r="A2761" t="str">
        <f>"61"</f>
        <v>61</v>
      </c>
      <c r="B2761" t="str">
        <f>"61.1805"</f>
        <v>61.1805</v>
      </c>
      <c r="C2761" t="s">
        <v>4620</v>
      </c>
      <c r="D2761" t="s">
        <v>4619</v>
      </c>
    </row>
    <row r="2762" spans="1:6" x14ac:dyDescent="0.3">
      <c r="A2762" t="str">
        <f>"61"</f>
        <v>61</v>
      </c>
      <c r="B2762" t="str">
        <f>"61.1806"</f>
        <v>61.1806</v>
      </c>
      <c r="C2762" t="s">
        <v>4618</v>
      </c>
      <c r="D2762" t="s">
        <v>4617</v>
      </c>
    </row>
    <row r="2763" spans="1:6" x14ac:dyDescent="0.3">
      <c r="A2763" t="str">
        <f>"61"</f>
        <v>61</v>
      </c>
      <c r="B2763" t="str">
        <f>"61.1807"</f>
        <v>61.1807</v>
      </c>
      <c r="C2763" t="s">
        <v>4616</v>
      </c>
      <c r="D2763" t="s">
        <v>4615</v>
      </c>
    </row>
    <row r="2764" spans="1:6" x14ac:dyDescent="0.3">
      <c r="A2764" t="str">
        <f>"61"</f>
        <v>61</v>
      </c>
      <c r="B2764" t="str">
        <f>"61.1808"</f>
        <v>61.1808</v>
      </c>
      <c r="C2764" t="s">
        <v>4614</v>
      </c>
      <c r="D2764" t="s">
        <v>4613</v>
      </c>
      <c r="F2764" t="s">
        <v>4612</v>
      </c>
    </row>
    <row r="2765" spans="1:6" x14ac:dyDescent="0.3">
      <c r="A2765" t="str">
        <f>"61"</f>
        <v>61</v>
      </c>
      <c r="B2765" t="str">
        <f>"61.1809"</f>
        <v>61.1809</v>
      </c>
      <c r="C2765" t="s">
        <v>4611</v>
      </c>
      <c r="D2765" t="s">
        <v>4610</v>
      </c>
    </row>
    <row r="2766" spans="1:6" x14ac:dyDescent="0.3">
      <c r="A2766" t="str">
        <f>"61"</f>
        <v>61</v>
      </c>
      <c r="B2766" t="str">
        <f>"61.1810"</f>
        <v>61.1810</v>
      </c>
      <c r="C2766" t="s">
        <v>4609</v>
      </c>
      <c r="D2766" t="s">
        <v>4608</v>
      </c>
    </row>
    <row r="2767" spans="1:6" x14ac:dyDescent="0.3">
      <c r="A2767" t="str">
        <f>"61"</f>
        <v>61</v>
      </c>
      <c r="B2767" t="str">
        <f>"61.1811"</f>
        <v>61.1811</v>
      </c>
      <c r="C2767" t="s">
        <v>4607</v>
      </c>
      <c r="D2767" t="s">
        <v>4606</v>
      </c>
    </row>
    <row r="2768" spans="1:6" x14ac:dyDescent="0.3">
      <c r="A2768" t="str">
        <f>"61"</f>
        <v>61</v>
      </c>
      <c r="B2768" t="str">
        <f>"61.1812"</f>
        <v>61.1812</v>
      </c>
      <c r="C2768" t="s">
        <v>4605</v>
      </c>
      <c r="D2768" t="s">
        <v>4604</v>
      </c>
    </row>
    <row r="2769" spans="1:6" x14ac:dyDescent="0.3">
      <c r="A2769" t="str">
        <f>"61"</f>
        <v>61</v>
      </c>
      <c r="B2769" t="str">
        <f>"61.1813"</f>
        <v>61.1813</v>
      </c>
      <c r="C2769" t="s">
        <v>4603</v>
      </c>
      <c r="D2769" t="s">
        <v>4602</v>
      </c>
    </row>
    <row r="2770" spans="1:6" x14ac:dyDescent="0.3">
      <c r="A2770" t="str">
        <f>"61"</f>
        <v>61</v>
      </c>
      <c r="B2770" t="str">
        <f>"61.1814"</f>
        <v>61.1814</v>
      </c>
      <c r="C2770" t="s">
        <v>4601</v>
      </c>
      <c r="D2770" t="s">
        <v>4600</v>
      </c>
    </row>
    <row r="2771" spans="1:6" x14ac:dyDescent="0.3">
      <c r="A2771" t="str">
        <f>"61"</f>
        <v>61</v>
      </c>
      <c r="B2771" t="str">
        <f>"61.1815"</f>
        <v>61.1815</v>
      </c>
      <c r="C2771" t="s">
        <v>4599</v>
      </c>
      <c r="D2771" t="s">
        <v>4598</v>
      </c>
    </row>
    <row r="2772" spans="1:6" x14ac:dyDescent="0.3">
      <c r="A2772" t="str">
        <f>"61"</f>
        <v>61</v>
      </c>
      <c r="B2772" t="str">
        <f>"61.1899"</f>
        <v>61.1899</v>
      </c>
      <c r="C2772" t="s">
        <v>4597</v>
      </c>
      <c r="D2772" t="s">
        <v>4596</v>
      </c>
    </row>
    <row r="2773" spans="1:6" x14ac:dyDescent="0.3">
      <c r="A2773" t="str">
        <f>"61"</f>
        <v>61</v>
      </c>
      <c r="B2773" t="str">
        <f>"61.19"</f>
        <v>61.19</v>
      </c>
      <c r="C2773" t="s">
        <v>4595</v>
      </c>
      <c r="D2773" t="s">
        <v>4594</v>
      </c>
    </row>
    <row r="2774" spans="1:6" x14ac:dyDescent="0.3">
      <c r="A2774" t="str">
        <f>"61"</f>
        <v>61</v>
      </c>
      <c r="B2774" t="str">
        <f>"61.1901"</f>
        <v>61.1901</v>
      </c>
      <c r="C2774" t="s">
        <v>155</v>
      </c>
      <c r="D2774" t="s">
        <v>154</v>
      </c>
    </row>
    <row r="2775" spans="1:6" x14ac:dyDescent="0.3">
      <c r="A2775" t="str">
        <f>"61"</f>
        <v>61</v>
      </c>
      <c r="B2775" t="str">
        <f>"61.1902"</f>
        <v>61.1902</v>
      </c>
      <c r="C2775" t="s">
        <v>4593</v>
      </c>
      <c r="D2775" t="s">
        <v>4592</v>
      </c>
    </row>
    <row r="2776" spans="1:6" x14ac:dyDescent="0.3">
      <c r="A2776" t="str">
        <f>"61"</f>
        <v>61</v>
      </c>
      <c r="B2776" t="str">
        <f>"61.1903"</f>
        <v>61.1903</v>
      </c>
      <c r="C2776" t="s">
        <v>4591</v>
      </c>
      <c r="D2776" t="s">
        <v>4590</v>
      </c>
    </row>
    <row r="2777" spans="1:6" x14ac:dyDescent="0.3">
      <c r="A2777" t="str">
        <f>"61"</f>
        <v>61</v>
      </c>
      <c r="B2777" t="str">
        <f>"61.1904"</f>
        <v>61.1904</v>
      </c>
      <c r="C2777" t="s">
        <v>4589</v>
      </c>
      <c r="D2777" t="s">
        <v>4588</v>
      </c>
    </row>
    <row r="2778" spans="1:6" x14ac:dyDescent="0.3">
      <c r="A2778" t="str">
        <f>"61"</f>
        <v>61</v>
      </c>
      <c r="B2778" t="str">
        <f>"61.1905"</f>
        <v>61.1905</v>
      </c>
      <c r="C2778" t="s">
        <v>4587</v>
      </c>
      <c r="D2778" t="s">
        <v>4586</v>
      </c>
    </row>
    <row r="2779" spans="1:6" x14ac:dyDescent="0.3">
      <c r="A2779" t="str">
        <f>"61"</f>
        <v>61</v>
      </c>
      <c r="B2779" t="str">
        <f>"61.1906"</f>
        <v>61.1906</v>
      </c>
      <c r="C2779" t="s">
        <v>4585</v>
      </c>
      <c r="D2779" t="s">
        <v>4584</v>
      </c>
    </row>
    <row r="2780" spans="1:6" x14ac:dyDescent="0.3">
      <c r="A2780" t="str">
        <f>"61"</f>
        <v>61</v>
      </c>
      <c r="B2780" t="str">
        <f>"61.1907"</f>
        <v>61.1907</v>
      </c>
      <c r="C2780" t="s">
        <v>4583</v>
      </c>
      <c r="D2780" t="s">
        <v>4582</v>
      </c>
    </row>
    <row r="2781" spans="1:6" x14ac:dyDescent="0.3">
      <c r="A2781" t="str">
        <f>"61"</f>
        <v>61</v>
      </c>
      <c r="B2781" t="str">
        <f>"61.1908"</f>
        <v>61.1908</v>
      </c>
      <c r="C2781" t="s">
        <v>4581</v>
      </c>
      <c r="D2781" t="s">
        <v>4580</v>
      </c>
    </row>
    <row r="2782" spans="1:6" x14ac:dyDescent="0.3">
      <c r="A2782" t="str">
        <f>"61"</f>
        <v>61</v>
      </c>
      <c r="B2782" t="str">
        <f>"61.1909"</f>
        <v>61.1909</v>
      </c>
      <c r="C2782" t="s">
        <v>4579</v>
      </c>
      <c r="D2782" t="s">
        <v>4578</v>
      </c>
    </row>
    <row r="2783" spans="1:6" x14ac:dyDescent="0.3">
      <c r="A2783" t="str">
        <f>"61"</f>
        <v>61</v>
      </c>
      <c r="B2783" t="str">
        <f>"61.1910"</f>
        <v>61.1910</v>
      </c>
      <c r="C2783" t="s">
        <v>4577</v>
      </c>
      <c r="D2783" t="s">
        <v>4576</v>
      </c>
    </row>
    <row r="2784" spans="1:6" x14ac:dyDescent="0.3">
      <c r="A2784" t="str">
        <f>"61"</f>
        <v>61</v>
      </c>
      <c r="B2784" t="str">
        <f>"61.1911"</f>
        <v>61.1911</v>
      </c>
      <c r="C2784" t="s">
        <v>4575</v>
      </c>
      <c r="D2784" t="s">
        <v>4574</v>
      </c>
      <c r="F2784" t="s">
        <v>50</v>
      </c>
    </row>
    <row r="2785" spans="1:6" x14ac:dyDescent="0.3">
      <c r="A2785" t="str">
        <f>"61"</f>
        <v>61</v>
      </c>
      <c r="B2785" t="str">
        <f>"61.1912"</f>
        <v>61.1912</v>
      </c>
      <c r="C2785" t="s">
        <v>4573</v>
      </c>
      <c r="D2785" t="s">
        <v>4572</v>
      </c>
    </row>
    <row r="2786" spans="1:6" x14ac:dyDescent="0.3">
      <c r="A2786" t="str">
        <f>"61"</f>
        <v>61</v>
      </c>
      <c r="B2786" t="str">
        <f>"61.1913"</f>
        <v>61.1913</v>
      </c>
      <c r="C2786" t="s">
        <v>4571</v>
      </c>
      <c r="D2786" t="s">
        <v>4570</v>
      </c>
    </row>
    <row r="2787" spans="1:6" x14ac:dyDescent="0.3">
      <c r="A2787" t="str">
        <f>"61"</f>
        <v>61</v>
      </c>
      <c r="B2787" t="str">
        <f>"61.1914"</f>
        <v>61.1914</v>
      </c>
      <c r="C2787" t="s">
        <v>4569</v>
      </c>
      <c r="D2787" t="s">
        <v>4568</v>
      </c>
    </row>
    <row r="2788" spans="1:6" x14ac:dyDescent="0.3">
      <c r="A2788" t="str">
        <f>"61"</f>
        <v>61</v>
      </c>
      <c r="B2788" t="str">
        <f>"61.1915"</f>
        <v>61.1915</v>
      </c>
      <c r="C2788" t="s">
        <v>4567</v>
      </c>
      <c r="D2788" t="s">
        <v>4566</v>
      </c>
    </row>
    <row r="2789" spans="1:6" x14ac:dyDescent="0.3">
      <c r="A2789" t="str">
        <f>"61"</f>
        <v>61</v>
      </c>
      <c r="B2789" t="str">
        <f>"61.1917"</f>
        <v>61.1917</v>
      </c>
      <c r="C2789" t="s">
        <v>4565</v>
      </c>
      <c r="D2789" t="s">
        <v>4564</v>
      </c>
    </row>
    <row r="2790" spans="1:6" x14ac:dyDescent="0.3">
      <c r="A2790" t="str">
        <f>"61"</f>
        <v>61</v>
      </c>
      <c r="B2790" t="str">
        <f>"61.1999"</f>
        <v>61.1999</v>
      </c>
      <c r="C2790" t="s">
        <v>4563</v>
      </c>
      <c r="D2790" t="s">
        <v>4562</v>
      </c>
    </row>
    <row r="2791" spans="1:6" x14ac:dyDescent="0.3">
      <c r="A2791" t="str">
        <f>"61"</f>
        <v>61</v>
      </c>
      <c r="B2791" t="str">
        <f>"61.20"</f>
        <v>61.20</v>
      </c>
      <c r="C2791" t="s">
        <v>4561</v>
      </c>
      <c r="D2791" t="s">
        <v>4560</v>
      </c>
    </row>
    <row r="2792" spans="1:6" x14ac:dyDescent="0.3">
      <c r="A2792" t="str">
        <f>"61"</f>
        <v>61</v>
      </c>
      <c r="B2792" t="str">
        <f>"61.2001"</f>
        <v>61.2001</v>
      </c>
      <c r="C2792" t="s">
        <v>152</v>
      </c>
      <c r="D2792" t="s">
        <v>151</v>
      </c>
      <c r="F2792" t="s">
        <v>147</v>
      </c>
    </row>
    <row r="2793" spans="1:6" x14ac:dyDescent="0.3">
      <c r="A2793" t="str">
        <f>"61"</f>
        <v>61</v>
      </c>
      <c r="B2793" t="str">
        <f>"61.2002"</f>
        <v>61.2002</v>
      </c>
      <c r="C2793" t="s">
        <v>4559</v>
      </c>
      <c r="D2793" t="s">
        <v>4558</v>
      </c>
    </row>
    <row r="2794" spans="1:6" x14ac:dyDescent="0.3">
      <c r="A2794" t="str">
        <f>"61"</f>
        <v>61</v>
      </c>
      <c r="B2794" t="str">
        <f>"61.2003"</f>
        <v>61.2003</v>
      </c>
      <c r="C2794" t="s">
        <v>4557</v>
      </c>
      <c r="D2794" t="s">
        <v>4556</v>
      </c>
    </row>
    <row r="2795" spans="1:6" x14ac:dyDescent="0.3">
      <c r="A2795" t="str">
        <f>"61"</f>
        <v>61</v>
      </c>
      <c r="B2795" t="str">
        <f>"61.2099"</f>
        <v>61.2099</v>
      </c>
      <c r="C2795" t="s">
        <v>4555</v>
      </c>
      <c r="D2795" t="s">
        <v>4554</v>
      </c>
    </row>
    <row r="2796" spans="1:6" x14ac:dyDescent="0.3">
      <c r="A2796" t="str">
        <f>"61"</f>
        <v>61</v>
      </c>
      <c r="B2796" t="str">
        <f>"61.21"</f>
        <v>61.21</v>
      </c>
      <c r="C2796" t="s">
        <v>4553</v>
      </c>
      <c r="D2796" t="s">
        <v>4552</v>
      </c>
    </row>
    <row r="2797" spans="1:6" x14ac:dyDescent="0.3">
      <c r="A2797" t="str">
        <f>"61"</f>
        <v>61</v>
      </c>
      <c r="B2797" t="str">
        <f>"61.2101"</f>
        <v>61.2101</v>
      </c>
      <c r="C2797" t="s">
        <v>150</v>
      </c>
      <c r="D2797" t="s">
        <v>4551</v>
      </c>
    </row>
    <row r="2798" spans="1:6" x14ac:dyDescent="0.3">
      <c r="A2798" t="str">
        <f>"61"</f>
        <v>61</v>
      </c>
      <c r="B2798" t="str">
        <f>"61.2102"</f>
        <v>61.2102</v>
      </c>
      <c r="C2798" t="s">
        <v>4550</v>
      </c>
      <c r="D2798" t="s">
        <v>4549</v>
      </c>
    </row>
    <row r="2799" spans="1:6" x14ac:dyDescent="0.3">
      <c r="A2799" t="str">
        <f>"61"</f>
        <v>61</v>
      </c>
      <c r="B2799" t="str">
        <f>"61.2103"</f>
        <v>61.2103</v>
      </c>
      <c r="C2799" t="s">
        <v>4548</v>
      </c>
      <c r="D2799" t="s">
        <v>4547</v>
      </c>
    </row>
    <row r="2800" spans="1:6" x14ac:dyDescent="0.3">
      <c r="A2800" t="str">
        <f>"61"</f>
        <v>61</v>
      </c>
      <c r="B2800" t="str">
        <f>"61.2199"</f>
        <v>61.2199</v>
      </c>
      <c r="C2800" t="s">
        <v>4546</v>
      </c>
      <c r="D2800" t="s">
        <v>4545</v>
      </c>
    </row>
    <row r="2801" spans="1:6" x14ac:dyDescent="0.3">
      <c r="A2801" t="str">
        <f>"61"</f>
        <v>61</v>
      </c>
      <c r="B2801" t="str">
        <f>"61.22"</f>
        <v>61.22</v>
      </c>
      <c r="C2801" t="s">
        <v>4544</v>
      </c>
      <c r="D2801" t="s">
        <v>4543</v>
      </c>
    </row>
    <row r="2802" spans="1:6" x14ac:dyDescent="0.3">
      <c r="A2802" t="str">
        <f>"61"</f>
        <v>61</v>
      </c>
      <c r="B2802" t="str">
        <f>"61.2201"</f>
        <v>61.2201</v>
      </c>
      <c r="C2802" t="s">
        <v>4542</v>
      </c>
      <c r="D2802" t="s">
        <v>4541</v>
      </c>
    </row>
    <row r="2803" spans="1:6" x14ac:dyDescent="0.3">
      <c r="A2803" t="str">
        <f>"61"</f>
        <v>61</v>
      </c>
      <c r="B2803" t="str">
        <f>"61.2299"</f>
        <v>61.2299</v>
      </c>
      <c r="C2803" t="s">
        <v>4540</v>
      </c>
      <c r="D2803" t="s">
        <v>4539</v>
      </c>
    </row>
    <row r="2804" spans="1:6" x14ac:dyDescent="0.3">
      <c r="A2804" t="str">
        <f>"61"</f>
        <v>61</v>
      </c>
      <c r="B2804" t="str">
        <f>"61.23"</f>
        <v>61.23</v>
      </c>
      <c r="C2804" t="s">
        <v>4538</v>
      </c>
      <c r="D2804" t="s">
        <v>4537</v>
      </c>
    </row>
    <row r="2805" spans="1:6" x14ac:dyDescent="0.3">
      <c r="A2805" t="str">
        <f>"61"</f>
        <v>61</v>
      </c>
      <c r="B2805" t="str">
        <f>"61.2301"</f>
        <v>61.2301</v>
      </c>
      <c r="C2805" t="s">
        <v>146</v>
      </c>
      <c r="D2805" t="s">
        <v>145</v>
      </c>
      <c r="F2805" t="s">
        <v>133</v>
      </c>
    </row>
    <row r="2806" spans="1:6" x14ac:dyDescent="0.3">
      <c r="A2806" t="str">
        <f>"61"</f>
        <v>61</v>
      </c>
      <c r="B2806" t="str">
        <f>"61.2302"</f>
        <v>61.2302</v>
      </c>
      <c r="C2806" t="s">
        <v>200</v>
      </c>
      <c r="D2806" t="s">
        <v>199</v>
      </c>
    </row>
    <row r="2807" spans="1:6" x14ac:dyDescent="0.3">
      <c r="A2807" t="str">
        <f>"61"</f>
        <v>61</v>
      </c>
      <c r="B2807" t="str">
        <f>"61.2303"</f>
        <v>61.2303</v>
      </c>
      <c r="C2807" t="s">
        <v>166</v>
      </c>
      <c r="D2807" t="s">
        <v>165</v>
      </c>
    </row>
    <row r="2808" spans="1:6" x14ac:dyDescent="0.3">
      <c r="A2808" t="str">
        <f>"61"</f>
        <v>61</v>
      </c>
      <c r="B2808" t="str">
        <f>"61.2399"</f>
        <v>61.2399</v>
      </c>
      <c r="C2808" t="s">
        <v>4536</v>
      </c>
      <c r="D2808" t="s">
        <v>4535</v>
      </c>
    </row>
    <row r="2809" spans="1:6" x14ac:dyDescent="0.3">
      <c r="A2809" t="str">
        <f>"61"</f>
        <v>61</v>
      </c>
      <c r="B2809" t="str">
        <f>"61.24"</f>
        <v>61.24</v>
      </c>
      <c r="C2809" t="s">
        <v>4534</v>
      </c>
      <c r="D2809" t="s">
        <v>4533</v>
      </c>
    </row>
    <row r="2810" spans="1:6" x14ac:dyDescent="0.3">
      <c r="A2810" t="str">
        <f>"61"</f>
        <v>61</v>
      </c>
      <c r="B2810" t="str">
        <f>"61.2401"</f>
        <v>61.2401</v>
      </c>
      <c r="C2810" t="s">
        <v>149</v>
      </c>
      <c r="D2810" t="s">
        <v>148</v>
      </c>
    </row>
    <row r="2811" spans="1:6" x14ac:dyDescent="0.3">
      <c r="A2811" t="str">
        <f>"61"</f>
        <v>61</v>
      </c>
      <c r="B2811" t="str">
        <f>"61.2402"</f>
        <v>61.2402</v>
      </c>
      <c r="C2811" t="s">
        <v>4532</v>
      </c>
      <c r="D2811" t="s">
        <v>4531</v>
      </c>
    </row>
    <row r="2812" spans="1:6" x14ac:dyDescent="0.3">
      <c r="A2812" t="str">
        <f>"61"</f>
        <v>61</v>
      </c>
      <c r="B2812" t="str">
        <f>"61.2403"</f>
        <v>61.2403</v>
      </c>
      <c r="C2812" t="s">
        <v>4530</v>
      </c>
      <c r="D2812" t="s">
        <v>4529</v>
      </c>
      <c r="F2812" t="s">
        <v>123</v>
      </c>
    </row>
    <row r="2813" spans="1:6" x14ac:dyDescent="0.3">
      <c r="A2813" t="str">
        <f>"61"</f>
        <v>61</v>
      </c>
      <c r="B2813" t="str">
        <f>"61.2404"</f>
        <v>61.2404</v>
      </c>
      <c r="C2813" t="s">
        <v>4528</v>
      </c>
      <c r="D2813" t="s">
        <v>4527</v>
      </c>
      <c r="F2813" t="s">
        <v>4526</v>
      </c>
    </row>
    <row r="2814" spans="1:6" x14ac:dyDescent="0.3">
      <c r="A2814" t="str">
        <f>"61"</f>
        <v>61</v>
      </c>
      <c r="B2814" t="str">
        <f>"61.2405"</f>
        <v>61.2405</v>
      </c>
      <c r="C2814" t="s">
        <v>4525</v>
      </c>
      <c r="D2814" t="s">
        <v>4524</v>
      </c>
    </row>
    <row r="2815" spans="1:6" x14ac:dyDescent="0.3">
      <c r="A2815" t="str">
        <f>"61"</f>
        <v>61</v>
      </c>
      <c r="B2815" t="str">
        <f>"61.2406"</f>
        <v>61.2406</v>
      </c>
      <c r="C2815" t="s">
        <v>4523</v>
      </c>
      <c r="D2815" t="s">
        <v>4522</v>
      </c>
    </row>
    <row r="2816" spans="1:6" x14ac:dyDescent="0.3">
      <c r="A2816" t="str">
        <f>"61"</f>
        <v>61</v>
      </c>
      <c r="B2816" t="str">
        <f>"61.2499"</f>
        <v>61.2499</v>
      </c>
      <c r="C2816" t="s">
        <v>4521</v>
      </c>
      <c r="D2816" t="s">
        <v>4520</v>
      </c>
    </row>
    <row r="2817" spans="1:4" x14ac:dyDescent="0.3">
      <c r="A2817" t="str">
        <f>"61"</f>
        <v>61</v>
      </c>
      <c r="B2817" t="str">
        <f>"61.25"</f>
        <v>61.25</v>
      </c>
      <c r="C2817" t="s">
        <v>4519</v>
      </c>
      <c r="D2817" t="s">
        <v>4518</v>
      </c>
    </row>
    <row r="2818" spans="1:4" x14ac:dyDescent="0.3">
      <c r="A2818" t="str">
        <f>"61"</f>
        <v>61</v>
      </c>
      <c r="B2818" t="str">
        <f>"61.2501"</f>
        <v>61.2501</v>
      </c>
      <c r="C2818" t="s">
        <v>144</v>
      </c>
      <c r="D2818" t="s">
        <v>143</v>
      </c>
    </row>
    <row r="2819" spans="1:4" x14ac:dyDescent="0.3">
      <c r="A2819" t="str">
        <f>"61"</f>
        <v>61</v>
      </c>
      <c r="B2819" t="str">
        <f>"61.2599"</f>
        <v>61.2599</v>
      </c>
      <c r="C2819" t="s">
        <v>4517</v>
      </c>
      <c r="D2819" t="s">
        <v>4516</v>
      </c>
    </row>
    <row r="2820" spans="1:4" x14ac:dyDescent="0.3">
      <c r="A2820" t="str">
        <f>"61"</f>
        <v>61</v>
      </c>
      <c r="B2820" t="str">
        <f>"61.26"</f>
        <v>61.26</v>
      </c>
      <c r="C2820" t="s">
        <v>4515</v>
      </c>
      <c r="D2820" t="s">
        <v>4514</v>
      </c>
    </row>
    <row r="2821" spans="1:4" x14ac:dyDescent="0.3">
      <c r="A2821" t="str">
        <f>"61"</f>
        <v>61</v>
      </c>
      <c r="B2821" t="str">
        <f>"61.2601"</f>
        <v>61.2601</v>
      </c>
      <c r="C2821" t="s">
        <v>186</v>
      </c>
      <c r="D2821" t="s">
        <v>185</v>
      </c>
    </row>
    <row r="2822" spans="1:4" x14ac:dyDescent="0.3">
      <c r="A2822" t="str">
        <f>"61"</f>
        <v>61</v>
      </c>
      <c r="B2822" t="str">
        <f>"61.2602"</f>
        <v>61.2602</v>
      </c>
      <c r="C2822" t="s">
        <v>4513</v>
      </c>
      <c r="D2822" t="s">
        <v>4512</v>
      </c>
    </row>
    <row r="2823" spans="1:4" x14ac:dyDescent="0.3">
      <c r="A2823" t="str">
        <f>"61"</f>
        <v>61</v>
      </c>
      <c r="B2823" t="str">
        <f>"61.2603"</f>
        <v>61.2603</v>
      </c>
      <c r="C2823" t="s">
        <v>4511</v>
      </c>
      <c r="D2823" t="s">
        <v>4510</v>
      </c>
    </row>
    <row r="2824" spans="1:4" x14ac:dyDescent="0.3">
      <c r="A2824" t="str">
        <f>"61"</f>
        <v>61</v>
      </c>
      <c r="B2824" t="str">
        <f>"61.2604"</f>
        <v>61.2604</v>
      </c>
      <c r="C2824" t="s">
        <v>118</v>
      </c>
      <c r="D2824" t="s">
        <v>117</v>
      </c>
    </row>
    <row r="2825" spans="1:4" x14ac:dyDescent="0.3">
      <c r="A2825" t="str">
        <f>"61"</f>
        <v>61</v>
      </c>
      <c r="B2825" t="str">
        <f>"61.2605"</f>
        <v>61.2605</v>
      </c>
      <c r="C2825" t="s">
        <v>98</v>
      </c>
      <c r="D2825" t="s">
        <v>97</v>
      </c>
    </row>
    <row r="2826" spans="1:4" x14ac:dyDescent="0.3">
      <c r="A2826" t="str">
        <f>"61"</f>
        <v>61</v>
      </c>
      <c r="B2826" t="str">
        <f>"61.2606"</f>
        <v>61.2606</v>
      </c>
      <c r="C2826" t="s">
        <v>4509</v>
      </c>
      <c r="D2826" t="s">
        <v>4508</v>
      </c>
    </row>
    <row r="2827" spans="1:4" x14ac:dyDescent="0.3">
      <c r="A2827" t="str">
        <f>"61"</f>
        <v>61</v>
      </c>
      <c r="B2827" t="str">
        <f>"61.2607"</f>
        <v>61.2607</v>
      </c>
      <c r="C2827" t="s">
        <v>4507</v>
      </c>
      <c r="D2827" t="s">
        <v>4506</v>
      </c>
    </row>
    <row r="2828" spans="1:4" x14ac:dyDescent="0.3">
      <c r="A2828" t="str">
        <f>"61"</f>
        <v>61</v>
      </c>
      <c r="B2828" t="str">
        <f>"61.2608"</f>
        <v>61.2608</v>
      </c>
      <c r="C2828" t="s">
        <v>4505</v>
      </c>
      <c r="D2828" t="s">
        <v>4504</v>
      </c>
    </row>
    <row r="2829" spans="1:4" x14ac:dyDescent="0.3">
      <c r="A2829" t="str">
        <f>"61"</f>
        <v>61</v>
      </c>
      <c r="B2829" t="str">
        <f>"61.2609"</f>
        <v>61.2609</v>
      </c>
      <c r="C2829" t="s">
        <v>4503</v>
      </c>
      <c r="D2829" t="s">
        <v>4502</v>
      </c>
    </row>
    <row r="2830" spans="1:4" x14ac:dyDescent="0.3">
      <c r="A2830" t="str">
        <f>"61"</f>
        <v>61</v>
      </c>
      <c r="B2830" t="str">
        <f>"61.2610"</f>
        <v>61.2610</v>
      </c>
      <c r="C2830" t="s">
        <v>142</v>
      </c>
      <c r="D2830" t="s">
        <v>141</v>
      </c>
    </row>
    <row r="2831" spans="1:4" x14ac:dyDescent="0.3">
      <c r="A2831" t="str">
        <f>"61"</f>
        <v>61</v>
      </c>
      <c r="B2831" t="str">
        <f>"61.2611"</f>
        <v>61.2611</v>
      </c>
      <c r="C2831" t="s">
        <v>46</v>
      </c>
      <c r="D2831" t="s">
        <v>45</v>
      </c>
    </row>
    <row r="2832" spans="1:4" x14ac:dyDescent="0.3">
      <c r="A2832" t="str">
        <f>"61"</f>
        <v>61</v>
      </c>
      <c r="B2832" t="str">
        <f>"61.2612"</f>
        <v>61.2612</v>
      </c>
      <c r="C2832" t="s">
        <v>4501</v>
      </c>
      <c r="D2832" t="s">
        <v>4500</v>
      </c>
    </row>
    <row r="2833" spans="1:6" x14ac:dyDescent="0.3">
      <c r="A2833" t="str">
        <f>"61"</f>
        <v>61</v>
      </c>
      <c r="B2833" t="str">
        <f>"61.2699"</f>
        <v>61.2699</v>
      </c>
      <c r="C2833" t="s">
        <v>4499</v>
      </c>
      <c r="D2833" t="s">
        <v>4498</v>
      </c>
    </row>
    <row r="2834" spans="1:6" x14ac:dyDescent="0.3">
      <c r="A2834" t="str">
        <f>"61"</f>
        <v>61</v>
      </c>
      <c r="B2834" t="str">
        <f>"61.27"</f>
        <v>61.27</v>
      </c>
      <c r="C2834" t="s">
        <v>4497</v>
      </c>
      <c r="D2834" t="s">
        <v>4496</v>
      </c>
    </row>
    <row r="2835" spans="1:6" x14ac:dyDescent="0.3">
      <c r="A2835" t="str">
        <f>"61"</f>
        <v>61</v>
      </c>
      <c r="B2835" t="str">
        <f>"61.2701"</f>
        <v>61.2701</v>
      </c>
      <c r="C2835" t="s">
        <v>179</v>
      </c>
      <c r="D2835" t="s">
        <v>178</v>
      </c>
      <c r="F2835" t="s">
        <v>175</v>
      </c>
    </row>
    <row r="2836" spans="1:6" x14ac:dyDescent="0.3">
      <c r="A2836" t="str">
        <f>"61"</f>
        <v>61</v>
      </c>
      <c r="B2836" t="str">
        <f>"61.2702"</f>
        <v>61.2702</v>
      </c>
      <c r="C2836" t="s">
        <v>189</v>
      </c>
      <c r="D2836" t="s">
        <v>4495</v>
      </c>
    </row>
    <row r="2837" spans="1:6" x14ac:dyDescent="0.3">
      <c r="A2837" t="str">
        <f>"61"</f>
        <v>61</v>
      </c>
      <c r="B2837" t="str">
        <f>"61.2703"</f>
        <v>61.2703</v>
      </c>
      <c r="C2837" t="s">
        <v>4494</v>
      </c>
      <c r="D2837" t="s">
        <v>4493</v>
      </c>
    </row>
    <row r="2838" spans="1:6" x14ac:dyDescent="0.3">
      <c r="A2838" t="str">
        <f>"61"</f>
        <v>61</v>
      </c>
      <c r="B2838" t="str">
        <f>"61.2704"</f>
        <v>61.2704</v>
      </c>
      <c r="C2838" t="s">
        <v>4492</v>
      </c>
      <c r="D2838" t="s">
        <v>4491</v>
      </c>
    </row>
    <row r="2839" spans="1:6" x14ac:dyDescent="0.3">
      <c r="A2839" t="str">
        <f>"61"</f>
        <v>61</v>
      </c>
      <c r="B2839" t="str">
        <f>"61.2705"</f>
        <v>61.2705</v>
      </c>
      <c r="C2839" t="s">
        <v>4490</v>
      </c>
      <c r="D2839" t="s">
        <v>4489</v>
      </c>
    </row>
    <row r="2840" spans="1:6" x14ac:dyDescent="0.3">
      <c r="A2840" t="str">
        <f>"61"</f>
        <v>61</v>
      </c>
      <c r="B2840" t="str">
        <f>"61.2706"</f>
        <v>61.2706</v>
      </c>
      <c r="C2840" t="s">
        <v>4488</v>
      </c>
      <c r="D2840" t="s">
        <v>4487</v>
      </c>
      <c r="F2840" t="s">
        <v>36</v>
      </c>
    </row>
    <row r="2841" spans="1:6" x14ac:dyDescent="0.3">
      <c r="A2841" t="str">
        <f>"61"</f>
        <v>61</v>
      </c>
      <c r="B2841" t="str">
        <f>"61.2707"</f>
        <v>61.2707</v>
      </c>
      <c r="C2841" t="s">
        <v>4486</v>
      </c>
      <c r="D2841" t="s">
        <v>4485</v>
      </c>
      <c r="F2841" t="s">
        <v>4484</v>
      </c>
    </row>
    <row r="2842" spans="1:6" x14ac:dyDescent="0.3">
      <c r="A2842" t="str">
        <f>"61"</f>
        <v>61</v>
      </c>
      <c r="B2842" t="str">
        <f>"61.2708"</f>
        <v>61.2708</v>
      </c>
      <c r="C2842" t="s">
        <v>4483</v>
      </c>
      <c r="D2842" t="s">
        <v>4482</v>
      </c>
    </row>
    <row r="2843" spans="1:6" x14ac:dyDescent="0.3">
      <c r="A2843" t="str">
        <f>"61"</f>
        <v>61</v>
      </c>
      <c r="B2843" t="str">
        <f>"61.2799"</f>
        <v>61.2799</v>
      </c>
      <c r="C2843" t="s">
        <v>4481</v>
      </c>
      <c r="D2843" t="s">
        <v>4480</v>
      </c>
    </row>
    <row r="2844" spans="1:6" x14ac:dyDescent="0.3">
      <c r="A2844" t="str">
        <f>"61"</f>
        <v>61</v>
      </c>
      <c r="B2844" t="str">
        <f>"61.28"</f>
        <v>61.28</v>
      </c>
      <c r="C2844" t="s">
        <v>4479</v>
      </c>
      <c r="D2844" t="s">
        <v>4478</v>
      </c>
    </row>
    <row r="2845" spans="1:6" x14ac:dyDescent="0.3">
      <c r="A2845" t="str">
        <f>"61"</f>
        <v>61</v>
      </c>
      <c r="B2845" t="str">
        <f>"61.2801"</f>
        <v>61.2801</v>
      </c>
      <c r="C2845" t="s">
        <v>139</v>
      </c>
      <c r="D2845" t="s">
        <v>4477</v>
      </c>
    </row>
    <row r="2846" spans="1:6" x14ac:dyDescent="0.3">
      <c r="A2846" t="str">
        <f>"61"</f>
        <v>61</v>
      </c>
      <c r="B2846" t="str">
        <f>"61.2802"</f>
        <v>61.2802</v>
      </c>
      <c r="C2846" t="s">
        <v>4476</v>
      </c>
      <c r="D2846" t="s">
        <v>4475</v>
      </c>
    </row>
    <row r="2847" spans="1:6" x14ac:dyDescent="0.3">
      <c r="A2847" t="str">
        <f>"61"</f>
        <v>61</v>
      </c>
      <c r="B2847" t="str">
        <f>"61.2899"</f>
        <v>61.2899</v>
      </c>
      <c r="C2847" t="s">
        <v>4474</v>
      </c>
      <c r="D2847" t="s">
        <v>4473</v>
      </c>
    </row>
    <row r="2848" spans="1:6" x14ac:dyDescent="0.3">
      <c r="A2848" t="str">
        <f>"61"</f>
        <v>61</v>
      </c>
      <c r="B2848" t="str">
        <f>"61.99"</f>
        <v>61.99</v>
      </c>
      <c r="C2848" t="s">
        <v>4471</v>
      </c>
      <c r="D2848" t="s">
        <v>4472</v>
      </c>
    </row>
    <row r="2849" spans="1:4" x14ac:dyDescent="0.3">
      <c r="A2849" t="str">
        <f>"61"</f>
        <v>61</v>
      </c>
      <c r="B2849" t="str">
        <f>"61.9999"</f>
        <v>61.9999</v>
      </c>
      <c r="C2849" t="s">
        <v>4471</v>
      </c>
      <c r="D2849" t="s">
        <v>4470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98DF70DDF5F648ABCC0F74B3A4A351" ma:contentTypeVersion="3" ma:contentTypeDescription="Create a new document." ma:contentTypeScope="" ma:versionID="e823d5ce5c8b673975f937da93950f42">
  <xsd:schema xmlns:xsd="http://www.w3.org/2001/XMLSchema" xmlns:xs="http://www.w3.org/2001/XMLSchema" xmlns:p="http://schemas.microsoft.com/office/2006/metadata/properties" xmlns:ns2="eb6628f2-9772-4e7f-bc95-36ea0ecc01ff" targetNamespace="http://schemas.microsoft.com/office/2006/metadata/properties" ma:root="true" ma:fieldsID="afc906e12d5e2f8d1d2be880f9813648" ns2:_="">
    <xsd:import namespace="eb6628f2-9772-4e7f-bc95-36ea0ecc01f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628f2-9772-4e7f-bc95-36ea0ecc0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AAB694-8599-4FC8-9E87-AC503328FC72}"/>
</file>

<file path=customXml/itemProps2.xml><?xml version="1.0" encoding="utf-8"?>
<ds:datastoreItem xmlns:ds="http://schemas.openxmlformats.org/officeDocument/2006/customXml" ds:itemID="{E590F8E7-1171-4F58-A9FE-C02256118681}"/>
</file>

<file path=customXml/itemProps3.xml><?xml version="1.0" encoding="utf-8"?>
<ds:datastoreItem xmlns:ds="http://schemas.openxmlformats.org/officeDocument/2006/customXml" ds:itemID="{F9F7DE24-EB3F-4C15-81A8-00990BBB11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Report</vt:lpstr>
      <vt:lpstr>Definitions</vt:lpstr>
      <vt:lpstr>CIPCode2020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Laude</dc:creator>
  <cp:lastModifiedBy>Cate Collins</cp:lastModifiedBy>
  <cp:lastPrinted>2019-04-10T21:37:55Z</cp:lastPrinted>
  <dcterms:created xsi:type="dcterms:W3CDTF">2019-03-27T17:48:56Z</dcterms:created>
  <dcterms:modified xsi:type="dcterms:W3CDTF">2023-01-26T17:24:52Z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0x0101000B98DF70DDF5F648ABCC0F74B3A4A351</vt:lpwstr>
  </property>
</Properties>
</file>